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13_ncr:1_{955B0A04-0AFF-467E-9A5D-F5E6026570CE}" xr6:coauthVersionLast="46" xr6:coauthVersionMax="46" xr10:uidLastSave="{00000000-0000-0000-0000-000000000000}"/>
  <bookViews>
    <workbookView xWindow="-120" yWindow="-120" windowWidth="29040" windowHeight="17640" tabRatio="613" activeTab="1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natjecanje!$BZ$13:$BZ$412</definedName>
    <definedName name="nat_kategorija">natjecanje!$Q$13:$Q$412</definedName>
    <definedName name="nat_katnatid">natjecanje!$R$13:$R$412</definedName>
    <definedName name="nat_klubAliasId">natjecanje!$CG$13:$CG$412</definedName>
    <definedName name="nat_kluboviAliasi">natjecanje!$CO$13:$CO$412</definedName>
    <definedName name="nat_noviKluboviAliasi">natjecanje!$BX$13:$BX$412</definedName>
    <definedName name="natKategorija_alias_Id">'natjecanje-kategorije'!$K$8:$K$57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20" i="1" l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19" i="1"/>
  <c r="AY18" i="1"/>
  <c r="AY17" i="1"/>
  <c r="AY16" i="1"/>
  <c r="AY15" i="1"/>
  <c r="AY14" i="1"/>
  <c r="AY13" i="1"/>
  <c r="BA412" i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BA343" i="1"/>
  <c r="BA342" i="1"/>
  <c r="BA341" i="1"/>
  <c r="BA340" i="1"/>
  <c r="BA339" i="1"/>
  <c r="BA338" i="1"/>
  <c r="BA337" i="1"/>
  <c r="BA336" i="1"/>
  <c r="BA335" i="1"/>
  <c r="BA334" i="1"/>
  <c r="BA333" i="1"/>
  <c r="BA332" i="1"/>
  <c r="BA331" i="1"/>
  <c r="BA330" i="1"/>
  <c r="BA329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7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7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30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3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71" i="1"/>
  <c r="BA70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328" i="1"/>
  <c r="C25" i="8"/>
  <c r="B35" i="8" l="1"/>
  <c r="DM412" i="1"/>
  <c r="DF412" i="1"/>
  <c r="DM411" i="1"/>
  <c r="DF411" i="1"/>
  <c r="DM410" i="1"/>
  <c r="DF410" i="1"/>
  <c r="DM409" i="1"/>
  <c r="DF409" i="1"/>
  <c r="DM408" i="1"/>
  <c r="DF408" i="1"/>
  <c r="DM407" i="1"/>
  <c r="DF407" i="1"/>
  <c r="DM406" i="1"/>
  <c r="DF406" i="1"/>
  <c r="DM405" i="1"/>
  <c r="DF405" i="1"/>
  <c r="DM404" i="1"/>
  <c r="DF404" i="1"/>
  <c r="DM403" i="1"/>
  <c r="DF403" i="1"/>
  <c r="DM402" i="1"/>
  <c r="DF402" i="1"/>
  <c r="DM401" i="1"/>
  <c r="DF401" i="1"/>
  <c r="DM400" i="1"/>
  <c r="DF400" i="1"/>
  <c r="DM399" i="1"/>
  <c r="DF399" i="1"/>
  <c r="DM398" i="1"/>
  <c r="DF398" i="1"/>
  <c r="DM397" i="1"/>
  <c r="DF397" i="1"/>
  <c r="DM396" i="1"/>
  <c r="DF396" i="1"/>
  <c r="DM395" i="1"/>
  <c r="DF395" i="1"/>
  <c r="DM394" i="1"/>
  <c r="DF394" i="1"/>
  <c r="DM393" i="1"/>
  <c r="DF393" i="1"/>
  <c r="DM392" i="1"/>
  <c r="DF392" i="1"/>
  <c r="DM391" i="1"/>
  <c r="DF391" i="1"/>
  <c r="DM390" i="1"/>
  <c r="DF390" i="1"/>
  <c r="DM389" i="1"/>
  <c r="DF389" i="1"/>
  <c r="DM388" i="1"/>
  <c r="DF388" i="1"/>
  <c r="DM387" i="1"/>
  <c r="DF387" i="1"/>
  <c r="DM386" i="1"/>
  <c r="DF386" i="1"/>
  <c r="DM385" i="1"/>
  <c r="DF385" i="1"/>
  <c r="DM384" i="1"/>
  <c r="DF384" i="1"/>
  <c r="DM383" i="1"/>
  <c r="DF383" i="1"/>
  <c r="DM382" i="1"/>
  <c r="DF382" i="1"/>
  <c r="DM381" i="1"/>
  <c r="DF381" i="1"/>
  <c r="DM380" i="1"/>
  <c r="DF380" i="1"/>
  <c r="DM379" i="1"/>
  <c r="DF379" i="1"/>
  <c r="DM378" i="1"/>
  <c r="DF378" i="1"/>
  <c r="DM377" i="1"/>
  <c r="DF377" i="1"/>
  <c r="DM376" i="1"/>
  <c r="DF376" i="1"/>
  <c r="DM375" i="1"/>
  <c r="DF375" i="1"/>
  <c r="DM374" i="1"/>
  <c r="DF374" i="1"/>
  <c r="DM373" i="1"/>
  <c r="DF373" i="1"/>
  <c r="DM372" i="1"/>
  <c r="DF372" i="1"/>
  <c r="DM371" i="1"/>
  <c r="DF371" i="1"/>
  <c r="DM370" i="1"/>
  <c r="DF370" i="1"/>
  <c r="DM369" i="1"/>
  <c r="DF369" i="1"/>
  <c r="DM368" i="1"/>
  <c r="DF368" i="1"/>
  <c r="DM367" i="1"/>
  <c r="DF367" i="1"/>
  <c r="DM366" i="1"/>
  <c r="DF366" i="1"/>
  <c r="DM365" i="1"/>
  <c r="DF365" i="1"/>
  <c r="DM364" i="1"/>
  <c r="DF364" i="1"/>
  <c r="DM363" i="1"/>
  <c r="DF363" i="1"/>
  <c r="DM362" i="1"/>
  <c r="DF362" i="1"/>
  <c r="DM361" i="1"/>
  <c r="DF361" i="1"/>
  <c r="DM360" i="1"/>
  <c r="DF360" i="1"/>
  <c r="DM359" i="1"/>
  <c r="DF359" i="1"/>
  <c r="DM358" i="1"/>
  <c r="DF358" i="1"/>
  <c r="DM357" i="1"/>
  <c r="DF357" i="1"/>
  <c r="DM356" i="1"/>
  <c r="DF356" i="1"/>
  <c r="DM355" i="1"/>
  <c r="DF355" i="1"/>
  <c r="DM354" i="1"/>
  <c r="DF354" i="1"/>
  <c r="DM353" i="1"/>
  <c r="DF353" i="1"/>
  <c r="DM352" i="1"/>
  <c r="DF352" i="1"/>
  <c r="DM351" i="1"/>
  <c r="DF351" i="1"/>
  <c r="DM350" i="1"/>
  <c r="DF350" i="1"/>
  <c r="DM349" i="1"/>
  <c r="DF349" i="1"/>
  <c r="DM348" i="1"/>
  <c r="DF348" i="1"/>
  <c r="DM347" i="1"/>
  <c r="DF347" i="1"/>
  <c r="DM346" i="1"/>
  <c r="DM345" i="1"/>
  <c r="DM344" i="1"/>
  <c r="DM343" i="1"/>
  <c r="DM342" i="1"/>
  <c r="DM341" i="1"/>
  <c r="DM340" i="1"/>
  <c r="DM339" i="1"/>
  <c r="DM338" i="1"/>
  <c r="DM337" i="1"/>
  <c r="DM336" i="1"/>
  <c r="DM335" i="1"/>
  <c r="DM334" i="1"/>
  <c r="DM333" i="1"/>
  <c r="DM332" i="1"/>
  <c r="DM331" i="1"/>
  <c r="DM330" i="1"/>
  <c r="DM329" i="1"/>
  <c r="DM327" i="1"/>
  <c r="DM326" i="1"/>
  <c r="DM325" i="1"/>
  <c r="DM324" i="1"/>
  <c r="DM323" i="1"/>
  <c r="DM322" i="1"/>
  <c r="DM321" i="1"/>
  <c r="DM320" i="1"/>
  <c r="DM319" i="1"/>
  <c r="DM318" i="1"/>
  <c r="DM317" i="1"/>
  <c r="DM316" i="1"/>
  <c r="DM315" i="1"/>
  <c r="DM314" i="1"/>
  <c r="DM313" i="1"/>
  <c r="DM312" i="1"/>
  <c r="DM311" i="1"/>
  <c r="DM310" i="1"/>
  <c r="DM309" i="1"/>
  <c r="DM308" i="1"/>
  <c r="DM307" i="1"/>
  <c r="DM306" i="1"/>
  <c r="DM305" i="1"/>
  <c r="DM304" i="1"/>
  <c r="DM303" i="1"/>
  <c r="DM302" i="1"/>
  <c r="DM301" i="1"/>
  <c r="DM300" i="1"/>
  <c r="DM299" i="1"/>
  <c r="DM298" i="1"/>
  <c r="DM297" i="1"/>
  <c r="DM296" i="1"/>
  <c r="DM295" i="1"/>
  <c r="DM294" i="1"/>
  <c r="DM293" i="1"/>
  <c r="DM292" i="1"/>
  <c r="DM291" i="1"/>
  <c r="DM290" i="1"/>
  <c r="DM289" i="1"/>
  <c r="DM288" i="1"/>
  <c r="DM287" i="1"/>
  <c r="DM286" i="1"/>
  <c r="DM285" i="1"/>
  <c r="DM284" i="1"/>
  <c r="DM283" i="1"/>
  <c r="DM282" i="1"/>
  <c r="DM281" i="1"/>
  <c r="DM280" i="1"/>
  <c r="DM279" i="1"/>
  <c r="DM278" i="1"/>
  <c r="DM277" i="1"/>
  <c r="DM276" i="1"/>
  <c r="DM275" i="1"/>
  <c r="DM274" i="1"/>
  <c r="DM273" i="1"/>
  <c r="DM272" i="1"/>
  <c r="DM271" i="1"/>
  <c r="DM270" i="1"/>
  <c r="DM269" i="1"/>
  <c r="DM268" i="1"/>
  <c r="DM267" i="1"/>
  <c r="DM266" i="1"/>
  <c r="DM265" i="1"/>
  <c r="DM264" i="1"/>
  <c r="DM263" i="1"/>
  <c r="DM262" i="1"/>
  <c r="DM261" i="1"/>
  <c r="DM260" i="1"/>
  <c r="DM259" i="1"/>
  <c r="DM258" i="1"/>
  <c r="DM257" i="1"/>
  <c r="DM256" i="1"/>
  <c r="DM255" i="1"/>
  <c r="DM254" i="1"/>
  <c r="DM253" i="1"/>
  <c r="DM252" i="1"/>
  <c r="DM251" i="1"/>
  <c r="DM250" i="1"/>
  <c r="DM249" i="1"/>
  <c r="DM248" i="1"/>
  <c r="DM247" i="1"/>
  <c r="DM246" i="1"/>
  <c r="DM245" i="1"/>
  <c r="DM244" i="1"/>
  <c r="DM243" i="1"/>
  <c r="DM242" i="1"/>
  <c r="DM241" i="1"/>
  <c r="DM240" i="1"/>
  <c r="DM239" i="1"/>
  <c r="DM238" i="1"/>
  <c r="DM237" i="1"/>
  <c r="DM236" i="1"/>
  <c r="DM235" i="1"/>
  <c r="DM234" i="1"/>
  <c r="DM233" i="1"/>
  <c r="DM232" i="1"/>
  <c r="DM231" i="1"/>
  <c r="DM230" i="1"/>
  <c r="DM229" i="1"/>
  <c r="DM228" i="1"/>
  <c r="DM227" i="1"/>
  <c r="DM226" i="1"/>
  <c r="DM225" i="1"/>
  <c r="DM224" i="1"/>
  <c r="DM223" i="1"/>
  <c r="DM222" i="1"/>
  <c r="DM221" i="1"/>
  <c r="DM220" i="1"/>
  <c r="DM219" i="1"/>
  <c r="DM218" i="1"/>
  <c r="DM217" i="1"/>
  <c r="DM216" i="1"/>
  <c r="DM215" i="1"/>
  <c r="DM214" i="1"/>
  <c r="DM213" i="1"/>
  <c r="DM212" i="1"/>
  <c r="DM211" i="1"/>
  <c r="DM210" i="1"/>
  <c r="DM209" i="1"/>
  <c r="DM208" i="1"/>
  <c r="DM205" i="1"/>
  <c r="DM204" i="1"/>
  <c r="DM203" i="1"/>
  <c r="DM202" i="1"/>
  <c r="DM201" i="1"/>
  <c r="DM200" i="1"/>
  <c r="DM199" i="1"/>
  <c r="DM198" i="1"/>
  <c r="DM197" i="1"/>
  <c r="DM196" i="1"/>
  <c r="DM195" i="1"/>
  <c r="DM194" i="1"/>
  <c r="DM193" i="1"/>
  <c r="DM192" i="1"/>
  <c r="DM191" i="1"/>
  <c r="DM190" i="1"/>
  <c r="DM189" i="1"/>
  <c r="DM188" i="1"/>
  <c r="DM187" i="1"/>
  <c r="DM186" i="1"/>
  <c r="DM185" i="1"/>
  <c r="DM184" i="1"/>
  <c r="DM183" i="1"/>
  <c r="DM182" i="1"/>
  <c r="DM181" i="1"/>
  <c r="DM180" i="1"/>
  <c r="DM179" i="1"/>
  <c r="DM178" i="1"/>
  <c r="DM177" i="1"/>
  <c r="DM176" i="1"/>
  <c r="DM175" i="1"/>
  <c r="DM174" i="1"/>
  <c r="DM173" i="1"/>
  <c r="DM172" i="1"/>
  <c r="DM171" i="1"/>
  <c r="DM170" i="1"/>
  <c r="DM169" i="1"/>
  <c r="DM168" i="1"/>
  <c r="DM167" i="1"/>
  <c r="DM166" i="1"/>
  <c r="DM165" i="1"/>
  <c r="DM164" i="1"/>
  <c r="DM163" i="1"/>
  <c r="DM162" i="1"/>
  <c r="DM161" i="1"/>
  <c r="DM160" i="1"/>
  <c r="DM159" i="1"/>
  <c r="DM158" i="1"/>
  <c r="DM157" i="1"/>
  <c r="DM156" i="1"/>
  <c r="DM155" i="1"/>
  <c r="DM154" i="1"/>
  <c r="DM153" i="1"/>
  <c r="DM152" i="1"/>
  <c r="DM151" i="1"/>
  <c r="DM150" i="1"/>
  <c r="DM149" i="1"/>
  <c r="DM148" i="1"/>
  <c r="DM147" i="1"/>
  <c r="DM146" i="1"/>
  <c r="DM145" i="1"/>
  <c r="DM144" i="1"/>
  <c r="DM143" i="1"/>
  <c r="DM142" i="1"/>
  <c r="DM141" i="1"/>
  <c r="DM140" i="1"/>
  <c r="DM139" i="1"/>
  <c r="DM138" i="1"/>
  <c r="DM137" i="1"/>
  <c r="DM136" i="1"/>
  <c r="DM135" i="1"/>
  <c r="DM134" i="1"/>
  <c r="DM133" i="1"/>
  <c r="DM132" i="1"/>
  <c r="DM131" i="1"/>
  <c r="DM130" i="1"/>
  <c r="DM129" i="1"/>
  <c r="DM128" i="1"/>
  <c r="DM127" i="1"/>
  <c r="DM126" i="1"/>
  <c r="DM125" i="1"/>
  <c r="DM124" i="1"/>
  <c r="DM123" i="1"/>
  <c r="DM122" i="1"/>
  <c r="DM121" i="1"/>
  <c r="DM120" i="1"/>
  <c r="DM119" i="1"/>
  <c r="DM118" i="1"/>
  <c r="DM117" i="1"/>
  <c r="DM116" i="1"/>
  <c r="DM115" i="1"/>
  <c r="DM114" i="1"/>
  <c r="DM113" i="1"/>
  <c r="DM112" i="1"/>
  <c r="DM111" i="1"/>
  <c r="DM110" i="1"/>
  <c r="DM109" i="1"/>
  <c r="DM108" i="1"/>
  <c r="DM107" i="1"/>
  <c r="DM106" i="1"/>
  <c r="DM104" i="1"/>
  <c r="DM103" i="1"/>
  <c r="DM102" i="1"/>
  <c r="DM101" i="1"/>
  <c r="DM100" i="1"/>
  <c r="DM99" i="1"/>
  <c r="DM98" i="1"/>
  <c r="DM97" i="1"/>
  <c r="DM96" i="1"/>
  <c r="DM95" i="1"/>
  <c r="DM94" i="1"/>
  <c r="DM93" i="1"/>
  <c r="DM92" i="1"/>
  <c r="DM91" i="1"/>
  <c r="DM90" i="1"/>
  <c r="DM89" i="1"/>
  <c r="DM88" i="1"/>
  <c r="DM87" i="1"/>
  <c r="DM86" i="1"/>
  <c r="DM85" i="1"/>
  <c r="DM84" i="1"/>
  <c r="DM83" i="1"/>
  <c r="DM82" i="1"/>
  <c r="DM81" i="1"/>
  <c r="DM80" i="1"/>
  <c r="DM79" i="1"/>
  <c r="DM78" i="1"/>
  <c r="DM77" i="1"/>
  <c r="DM76" i="1"/>
  <c r="DM75" i="1"/>
  <c r="DM74" i="1"/>
  <c r="DM73" i="1"/>
  <c r="DM72" i="1"/>
  <c r="DM71" i="1"/>
  <c r="DM70" i="1"/>
  <c r="DM69" i="1"/>
  <c r="DM68" i="1"/>
  <c r="DM67" i="1"/>
  <c r="DM66" i="1"/>
  <c r="DM65" i="1"/>
  <c r="DM64" i="1"/>
  <c r="DM63" i="1"/>
  <c r="DM62" i="1"/>
  <c r="DM61" i="1"/>
  <c r="DM60" i="1"/>
  <c r="DM59" i="1"/>
  <c r="DM58" i="1"/>
  <c r="DM57" i="1"/>
  <c r="DM56" i="1"/>
  <c r="DM55" i="1"/>
  <c r="DM54" i="1"/>
  <c r="DM53" i="1"/>
  <c r="DM52" i="1"/>
  <c r="DM51" i="1"/>
  <c r="DM50" i="1"/>
  <c r="DM49" i="1"/>
  <c r="DM48" i="1"/>
  <c r="DM47" i="1"/>
  <c r="DM46" i="1"/>
  <c r="DM45" i="1"/>
  <c r="DM44" i="1"/>
  <c r="DM43" i="1"/>
  <c r="DM42" i="1"/>
  <c r="DM41" i="1"/>
  <c r="DM40" i="1"/>
  <c r="DM39" i="1"/>
  <c r="DM38" i="1"/>
  <c r="DM37" i="1"/>
  <c r="DM36" i="1"/>
  <c r="DM35" i="1"/>
  <c r="DM34" i="1"/>
  <c r="DM33" i="1"/>
  <c r="DM32" i="1"/>
  <c r="DM31" i="1"/>
  <c r="DM30" i="1"/>
  <c r="DM29" i="1"/>
  <c r="DM28" i="1"/>
  <c r="DM27" i="1"/>
  <c r="DM26" i="1"/>
  <c r="DM25" i="1"/>
  <c r="DM24" i="1"/>
  <c r="DM23" i="1"/>
  <c r="DM22" i="1"/>
  <c r="DM21" i="1"/>
  <c r="DM19" i="1"/>
  <c r="DM18" i="1"/>
  <c r="DM17" i="1"/>
  <c r="DM16" i="1"/>
  <c r="DM15" i="1"/>
  <c r="DM14" i="1"/>
  <c r="DM13" i="1"/>
  <c r="BD12" i="1" a="1"/>
  <c r="BD12" i="1" s="1"/>
  <c r="BC412" i="1" l="1"/>
  <c r="BB412" i="1"/>
  <c r="BC411" i="1"/>
  <c r="BB411" i="1"/>
  <c r="BC410" i="1"/>
  <c r="BB410" i="1"/>
  <c r="BC409" i="1"/>
  <c r="BB409" i="1"/>
  <c r="BC408" i="1"/>
  <c r="BB408" i="1"/>
  <c r="BC407" i="1"/>
  <c r="BB407" i="1"/>
  <c r="BC406" i="1"/>
  <c r="BB406" i="1"/>
  <c r="BC405" i="1"/>
  <c r="BB405" i="1"/>
  <c r="BC404" i="1"/>
  <c r="BB404" i="1"/>
  <c r="BC403" i="1"/>
  <c r="BB403" i="1"/>
  <c r="BC402" i="1"/>
  <c r="BB402" i="1"/>
  <c r="BC401" i="1"/>
  <c r="BB401" i="1"/>
  <c r="BC400" i="1"/>
  <c r="BB400" i="1"/>
  <c r="BC399" i="1"/>
  <c r="BB399" i="1"/>
  <c r="BC398" i="1"/>
  <c r="BB398" i="1"/>
  <c r="BC397" i="1"/>
  <c r="BB397" i="1"/>
  <c r="BC396" i="1"/>
  <c r="BB396" i="1"/>
  <c r="BC395" i="1"/>
  <c r="BB395" i="1"/>
  <c r="BC394" i="1"/>
  <c r="BB394" i="1"/>
  <c r="BC393" i="1"/>
  <c r="BB393" i="1"/>
  <c r="BC392" i="1"/>
  <c r="BB392" i="1"/>
  <c r="BC391" i="1"/>
  <c r="BB391" i="1"/>
  <c r="BC390" i="1"/>
  <c r="BB390" i="1"/>
  <c r="BC389" i="1"/>
  <c r="BB389" i="1"/>
  <c r="BC388" i="1"/>
  <c r="BB388" i="1"/>
  <c r="BC387" i="1"/>
  <c r="BB387" i="1"/>
  <c r="BC386" i="1"/>
  <c r="BB386" i="1"/>
  <c r="BC385" i="1"/>
  <c r="BB385" i="1"/>
  <c r="BC384" i="1"/>
  <c r="BB384" i="1"/>
  <c r="BC383" i="1"/>
  <c r="BB383" i="1"/>
  <c r="BC382" i="1"/>
  <c r="BB382" i="1"/>
  <c r="BC381" i="1"/>
  <c r="BB381" i="1"/>
  <c r="BC380" i="1"/>
  <c r="BB380" i="1"/>
  <c r="BC379" i="1"/>
  <c r="BB379" i="1"/>
  <c r="BC378" i="1"/>
  <c r="BB378" i="1"/>
  <c r="BC377" i="1"/>
  <c r="BB377" i="1"/>
  <c r="BC376" i="1"/>
  <c r="BB376" i="1"/>
  <c r="BC375" i="1"/>
  <c r="BB375" i="1"/>
  <c r="BC374" i="1"/>
  <c r="BB374" i="1"/>
  <c r="BC373" i="1"/>
  <c r="BB373" i="1"/>
  <c r="BC372" i="1"/>
  <c r="BB372" i="1"/>
  <c r="BC371" i="1"/>
  <c r="BB371" i="1"/>
  <c r="BC370" i="1"/>
  <c r="BB370" i="1"/>
  <c r="BC369" i="1"/>
  <c r="BB369" i="1"/>
  <c r="BC368" i="1"/>
  <c r="BB368" i="1"/>
  <c r="BC367" i="1"/>
  <c r="BB367" i="1"/>
  <c r="BC366" i="1"/>
  <c r="BB366" i="1"/>
  <c r="BC365" i="1"/>
  <c r="BB365" i="1"/>
  <c r="BC364" i="1"/>
  <c r="BB364" i="1"/>
  <c r="BC363" i="1"/>
  <c r="BB363" i="1"/>
  <c r="BC362" i="1"/>
  <c r="BB362" i="1"/>
  <c r="BC361" i="1"/>
  <c r="BB361" i="1"/>
  <c r="BC360" i="1"/>
  <c r="BB360" i="1"/>
  <c r="BC359" i="1"/>
  <c r="BB359" i="1"/>
  <c r="BC358" i="1"/>
  <c r="BB358" i="1"/>
  <c r="BC357" i="1"/>
  <c r="BB357" i="1"/>
  <c r="BC356" i="1"/>
  <c r="BB356" i="1"/>
  <c r="BC355" i="1"/>
  <c r="BB355" i="1"/>
  <c r="BC354" i="1"/>
  <c r="BB354" i="1"/>
  <c r="BC353" i="1"/>
  <c r="BB353" i="1"/>
  <c r="BC352" i="1"/>
  <c r="BB352" i="1"/>
  <c r="BC351" i="1"/>
  <c r="BB351" i="1"/>
  <c r="BC350" i="1"/>
  <c r="BB350" i="1"/>
  <c r="BC349" i="1"/>
  <c r="BB349" i="1"/>
  <c r="BC348" i="1"/>
  <c r="BB348" i="1"/>
  <c r="BC347" i="1"/>
  <c r="BB347" i="1"/>
  <c r="BC346" i="1"/>
  <c r="BB346" i="1"/>
  <c r="BC345" i="1"/>
  <c r="BB345" i="1"/>
  <c r="BC344" i="1"/>
  <c r="BB344" i="1"/>
  <c r="BC343" i="1"/>
  <c r="BB343" i="1"/>
  <c r="BC342" i="1"/>
  <c r="BB342" i="1"/>
  <c r="BC341" i="1"/>
  <c r="BB341" i="1"/>
  <c r="BC340" i="1"/>
  <c r="BB340" i="1"/>
  <c r="BC339" i="1"/>
  <c r="BB339" i="1"/>
  <c r="BC338" i="1"/>
  <c r="BB338" i="1"/>
  <c r="BC337" i="1"/>
  <c r="BB337" i="1"/>
  <c r="BC336" i="1"/>
  <c r="BB336" i="1"/>
  <c r="BC335" i="1"/>
  <c r="BB335" i="1"/>
  <c r="BC334" i="1"/>
  <c r="BB334" i="1"/>
  <c r="BC333" i="1"/>
  <c r="BB333" i="1"/>
  <c r="BC332" i="1"/>
  <c r="BB332" i="1"/>
  <c r="BC331" i="1"/>
  <c r="BB331" i="1"/>
  <c r="BC330" i="1"/>
  <c r="BB330" i="1"/>
  <c r="BC329" i="1"/>
  <c r="BB329" i="1"/>
  <c r="BC328" i="1"/>
  <c r="BC327" i="1"/>
  <c r="BB327" i="1"/>
  <c r="BC326" i="1"/>
  <c r="BB326" i="1"/>
  <c r="BC325" i="1"/>
  <c r="BB325" i="1"/>
  <c r="BC324" i="1"/>
  <c r="BB324" i="1"/>
  <c r="BC323" i="1"/>
  <c r="BB323" i="1"/>
  <c r="BC322" i="1"/>
  <c r="BB322" i="1"/>
  <c r="BC321" i="1"/>
  <c r="BB321" i="1"/>
  <c r="BC320" i="1"/>
  <c r="BB320" i="1"/>
  <c r="BC319" i="1"/>
  <c r="BB319" i="1"/>
  <c r="BC318" i="1"/>
  <c r="BB318" i="1"/>
  <c r="BC317" i="1"/>
  <c r="BB317" i="1"/>
  <c r="BC316" i="1"/>
  <c r="BB316" i="1"/>
  <c r="BC315" i="1"/>
  <c r="BB315" i="1"/>
  <c r="BC314" i="1"/>
  <c r="BB314" i="1"/>
  <c r="BC313" i="1"/>
  <c r="BB313" i="1"/>
  <c r="BC312" i="1"/>
  <c r="BB312" i="1"/>
  <c r="BC311" i="1"/>
  <c r="BB311" i="1"/>
  <c r="BC310" i="1"/>
  <c r="BB310" i="1"/>
  <c r="BC309" i="1"/>
  <c r="BB309" i="1"/>
  <c r="BC308" i="1"/>
  <c r="BB308" i="1"/>
  <c r="BC307" i="1"/>
  <c r="BB307" i="1"/>
  <c r="BC306" i="1"/>
  <c r="BB306" i="1"/>
  <c r="BC305" i="1"/>
  <c r="BB305" i="1"/>
  <c r="BC304" i="1"/>
  <c r="BB304" i="1"/>
  <c r="BC303" i="1"/>
  <c r="BB303" i="1"/>
  <c r="BC302" i="1"/>
  <c r="BB302" i="1"/>
  <c r="BC301" i="1"/>
  <c r="BB301" i="1"/>
  <c r="BC300" i="1"/>
  <c r="BB300" i="1"/>
  <c r="BC299" i="1"/>
  <c r="BB299" i="1"/>
  <c r="BC298" i="1"/>
  <c r="BB298" i="1"/>
  <c r="BC297" i="1"/>
  <c r="BB297" i="1"/>
  <c r="BC296" i="1"/>
  <c r="BB296" i="1"/>
  <c r="BC295" i="1"/>
  <c r="BB295" i="1"/>
  <c r="BC294" i="1"/>
  <c r="BB294" i="1"/>
  <c r="BC293" i="1"/>
  <c r="BB293" i="1"/>
  <c r="BC292" i="1"/>
  <c r="BB292" i="1"/>
  <c r="BC291" i="1"/>
  <c r="BB291" i="1"/>
  <c r="BC290" i="1"/>
  <c r="BB290" i="1"/>
  <c r="BC289" i="1"/>
  <c r="BB289" i="1"/>
  <c r="BC288" i="1"/>
  <c r="BB288" i="1"/>
  <c r="BC287" i="1"/>
  <c r="BB287" i="1"/>
  <c r="BC286" i="1"/>
  <c r="BB286" i="1"/>
  <c r="BC285" i="1"/>
  <c r="BB285" i="1"/>
  <c r="BC284" i="1"/>
  <c r="BB284" i="1"/>
  <c r="BC283" i="1"/>
  <c r="BB283" i="1"/>
  <c r="BC282" i="1"/>
  <c r="BB282" i="1"/>
  <c r="BC281" i="1"/>
  <c r="BB281" i="1"/>
  <c r="BC280" i="1"/>
  <c r="BB280" i="1"/>
  <c r="BC279" i="1"/>
  <c r="BB279" i="1"/>
  <c r="BC278" i="1"/>
  <c r="BB278" i="1"/>
  <c r="BC277" i="1"/>
  <c r="BB277" i="1"/>
  <c r="BC276" i="1"/>
  <c r="BB276" i="1"/>
  <c r="BC275" i="1"/>
  <c r="BB275" i="1"/>
  <c r="BC274" i="1"/>
  <c r="BB274" i="1"/>
  <c r="BC273" i="1"/>
  <c r="BB273" i="1"/>
  <c r="BC272" i="1"/>
  <c r="BB272" i="1"/>
  <c r="BC271" i="1"/>
  <c r="BB271" i="1"/>
  <c r="BC270" i="1"/>
  <c r="BB270" i="1"/>
  <c r="BC269" i="1"/>
  <c r="BB269" i="1"/>
  <c r="BC268" i="1"/>
  <c r="BB268" i="1"/>
  <c r="BC267" i="1"/>
  <c r="BB267" i="1"/>
  <c r="BC266" i="1"/>
  <c r="BB266" i="1"/>
  <c r="BC265" i="1"/>
  <c r="BB265" i="1"/>
  <c r="BC264" i="1"/>
  <c r="BB264" i="1"/>
  <c r="BC263" i="1"/>
  <c r="BB263" i="1"/>
  <c r="BC262" i="1"/>
  <c r="BB262" i="1"/>
  <c r="BC261" i="1"/>
  <c r="BB261" i="1"/>
  <c r="BC260" i="1"/>
  <c r="BB260" i="1"/>
  <c r="BC259" i="1"/>
  <c r="BB259" i="1"/>
  <c r="BC258" i="1"/>
  <c r="BB258" i="1"/>
  <c r="BC257" i="1"/>
  <c r="BB257" i="1"/>
  <c r="BC256" i="1"/>
  <c r="BB256" i="1"/>
  <c r="BC255" i="1"/>
  <c r="BB255" i="1"/>
  <c r="BC254" i="1"/>
  <c r="BB254" i="1"/>
  <c r="BC253" i="1"/>
  <c r="BB253" i="1"/>
  <c r="BC252" i="1"/>
  <c r="BB252" i="1"/>
  <c r="BC251" i="1"/>
  <c r="BB251" i="1"/>
  <c r="BC250" i="1"/>
  <c r="BB250" i="1"/>
  <c r="BC249" i="1"/>
  <c r="BB249" i="1"/>
  <c r="BC248" i="1"/>
  <c r="BB248" i="1"/>
  <c r="BC247" i="1"/>
  <c r="BB247" i="1"/>
  <c r="BC246" i="1"/>
  <c r="BB246" i="1"/>
  <c r="BC245" i="1"/>
  <c r="BB245" i="1"/>
  <c r="BC244" i="1"/>
  <c r="BB244" i="1"/>
  <c r="BC243" i="1"/>
  <c r="BB243" i="1"/>
  <c r="BC242" i="1"/>
  <c r="BB242" i="1"/>
  <c r="BC241" i="1"/>
  <c r="BB241" i="1"/>
  <c r="BC240" i="1"/>
  <c r="BB240" i="1"/>
  <c r="BC239" i="1"/>
  <c r="BB239" i="1"/>
  <c r="BC238" i="1"/>
  <c r="BB238" i="1"/>
  <c r="BC237" i="1"/>
  <c r="BB237" i="1"/>
  <c r="BC236" i="1"/>
  <c r="BB236" i="1"/>
  <c r="BC235" i="1"/>
  <c r="BB235" i="1"/>
  <c r="BC234" i="1"/>
  <c r="BB234" i="1"/>
  <c r="BC233" i="1"/>
  <c r="BB233" i="1"/>
  <c r="BC232" i="1"/>
  <c r="BB232" i="1"/>
  <c r="BC231" i="1"/>
  <c r="BB231" i="1"/>
  <c r="BC230" i="1"/>
  <c r="BB230" i="1"/>
  <c r="BC229" i="1"/>
  <c r="BB229" i="1"/>
  <c r="BC228" i="1"/>
  <c r="BB228" i="1"/>
  <c r="BC227" i="1"/>
  <c r="BB227" i="1"/>
  <c r="BC226" i="1"/>
  <c r="BB226" i="1"/>
  <c r="BC225" i="1"/>
  <c r="BB225" i="1"/>
  <c r="BC224" i="1"/>
  <c r="BB224" i="1"/>
  <c r="BC223" i="1"/>
  <c r="BB223" i="1"/>
  <c r="BC222" i="1"/>
  <c r="BB222" i="1"/>
  <c r="BC221" i="1"/>
  <c r="BB221" i="1"/>
  <c r="BC220" i="1"/>
  <c r="BB220" i="1"/>
  <c r="BC219" i="1"/>
  <c r="BB219" i="1"/>
  <c r="BC218" i="1"/>
  <c r="BB218" i="1"/>
  <c r="BC217" i="1"/>
  <c r="BB217" i="1"/>
  <c r="BC216" i="1"/>
  <c r="BB216" i="1"/>
  <c r="BC215" i="1"/>
  <c r="BB215" i="1"/>
  <c r="BC214" i="1"/>
  <c r="BB214" i="1"/>
  <c r="BC213" i="1"/>
  <c r="BB213" i="1"/>
  <c r="BC212" i="1"/>
  <c r="BB212" i="1"/>
  <c r="BC211" i="1"/>
  <c r="BB211" i="1"/>
  <c r="BC210" i="1"/>
  <c r="BB210" i="1"/>
  <c r="BC209" i="1"/>
  <c r="BB209" i="1"/>
  <c r="BC208" i="1"/>
  <c r="BB208" i="1"/>
  <c r="BC207" i="1"/>
  <c r="BB207" i="1"/>
  <c r="BC206" i="1"/>
  <c r="BB206" i="1"/>
  <c r="BC205" i="1"/>
  <c r="BB205" i="1"/>
  <c r="BC204" i="1"/>
  <c r="BB204" i="1"/>
  <c r="BC203" i="1"/>
  <c r="BB203" i="1"/>
  <c r="BC202" i="1"/>
  <c r="BB202" i="1"/>
  <c r="BC201" i="1"/>
  <c r="BB201" i="1"/>
  <c r="BC200" i="1"/>
  <c r="BB200" i="1"/>
  <c r="BC199" i="1"/>
  <c r="BB199" i="1"/>
  <c r="BC198" i="1"/>
  <c r="BB198" i="1"/>
  <c r="BC197" i="1"/>
  <c r="BB197" i="1"/>
  <c r="BC196" i="1"/>
  <c r="BB196" i="1"/>
  <c r="BC195" i="1"/>
  <c r="BB195" i="1"/>
  <c r="BC194" i="1"/>
  <c r="BB194" i="1"/>
  <c r="BC193" i="1"/>
  <c r="BB193" i="1"/>
  <c r="BC192" i="1"/>
  <c r="BB192" i="1"/>
  <c r="BC191" i="1"/>
  <c r="BB191" i="1"/>
  <c r="BC190" i="1"/>
  <c r="BB190" i="1"/>
  <c r="BC189" i="1"/>
  <c r="BB189" i="1"/>
  <c r="BC188" i="1"/>
  <c r="BB188" i="1"/>
  <c r="BC187" i="1"/>
  <c r="BB187" i="1"/>
  <c r="BC186" i="1"/>
  <c r="BB186" i="1"/>
  <c r="BC185" i="1"/>
  <c r="BB185" i="1"/>
  <c r="BC184" i="1"/>
  <c r="BB184" i="1"/>
  <c r="BC183" i="1"/>
  <c r="BB183" i="1"/>
  <c r="BC182" i="1"/>
  <c r="BB182" i="1"/>
  <c r="BC181" i="1"/>
  <c r="BB181" i="1"/>
  <c r="BC180" i="1"/>
  <c r="BB180" i="1"/>
  <c r="BC179" i="1"/>
  <c r="BB179" i="1"/>
  <c r="BC178" i="1"/>
  <c r="BB178" i="1"/>
  <c r="BC177" i="1"/>
  <c r="BB177" i="1"/>
  <c r="BC176" i="1"/>
  <c r="BB176" i="1"/>
  <c r="BC175" i="1"/>
  <c r="BB175" i="1"/>
  <c r="BC174" i="1"/>
  <c r="BB174" i="1"/>
  <c r="BC173" i="1"/>
  <c r="BB173" i="1"/>
  <c r="BC172" i="1"/>
  <c r="BB172" i="1"/>
  <c r="BC171" i="1"/>
  <c r="BB171" i="1"/>
  <c r="BC170" i="1"/>
  <c r="BB170" i="1"/>
  <c r="BC169" i="1"/>
  <c r="BB169" i="1"/>
  <c r="BC168" i="1"/>
  <c r="BB168" i="1"/>
  <c r="BC167" i="1"/>
  <c r="BB167" i="1"/>
  <c r="BC166" i="1"/>
  <c r="BB166" i="1"/>
  <c r="BC165" i="1"/>
  <c r="BB165" i="1"/>
  <c r="BC164" i="1"/>
  <c r="BB164" i="1"/>
  <c r="BC163" i="1"/>
  <c r="BB163" i="1"/>
  <c r="BC162" i="1"/>
  <c r="BB162" i="1"/>
  <c r="BC161" i="1"/>
  <c r="BB161" i="1"/>
  <c r="BC160" i="1"/>
  <c r="BB160" i="1"/>
  <c r="BC159" i="1"/>
  <c r="BB159" i="1"/>
  <c r="BC158" i="1"/>
  <c r="BB158" i="1"/>
  <c r="BC157" i="1"/>
  <c r="BB157" i="1"/>
  <c r="BC156" i="1"/>
  <c r="BB156" i="1"/>
  <c r="BC155" i="1"/>
  <c r="BB155" i="1"/>
  <c r="BC154" i="1"/>
  <c r="BB154" i="1"/>
  <c r="BC153" i="1"/>
  <c r="BB153" i="1"/>
  <c r="BC152" i="1"/>
  <c r="BB152" i="1"/>
  <c r="BC151" i="1"/>
  <c r="BB151" i="1"/>
  <c r="BC150" i="1"/>
  <c r="BB150" i="1"/>
  <c r="BC149" i="1"/>
  <c r="BB149" i="1"/>
  <c r="BC148" i="1"/>
  <c r="BB148" i="1"/>
  <c r="BC147" i="1"/>
  <c r="BB147" i="1"/>
  <c r="BC146" i="1"/>
  <c r="BB146" i="1"/>
  <c r="BC145" i="1"/>
  <c r="BB145" i="1"/>
  <c r="BC144" i="1"/>
  <c r="BB144" i="1"/>
  <c r="BC143" i="1"/>
  <c r="BB143" i="1"/>
  <c r="BC142" i="1"/>
  <c r="BB142" i="1"/>
  <c r="BC141" i="1"/>
  <c r="BB141" i="1"/>
  <c r="BC140" i="1"/>
  <c r="BB140" i="1"/>
  <c r="BC139" i="1"/>
  <c r="BB139" i="1"/>
  <c r="BC138" i="1"/>
  <c r="BB138" i="1"/>
  <c r="BC137" i="1"/>
  <c r="BB137" i="1"/>
  <c r="BC136" i="1"/>
  <c r="BB136" i="1"/>
  <c r="BC135" i="1"/>
  <c r="BB135" i="1"/>
  <c r="BC134" i="1"/>
  <c r="BB134" i="1"/>
  <c r="BC133" i="1"/>
  <c r="BB133" i="1"/>
  <c r="BC132" i="1"/>
  <c r="BB132" i="1"/>
  <c r="BC131" i="1"/>
  <c r="BB131" i="1"/>
  <c r="BC130" i="1"/>
  <c r="BB130" i="1"/>
  <c r="BC129" i="1"/>
  <c r="BB129" i="1"/>
  <c r="BC128" i="1"/>
  <c r="BB128" i="1"/>
  <c r="BC127" i="1"/>
  <c r="BB127" i="1"/>
  <c r="BC126" i="1"/>
  <c r="BB126" i="1"/>
  <c r="BC125" i="1"/>
  <c r="BB125" i="1"/>
  <c r="BC124" i="1"/>
  <c r="BB124" i="1"/>
  <c r="BC123" i="1"/>
  <c r="BB123" i="1"/>
  <c r="BC122" i="1"/>
  <c r="BB122" i="1"/>
  <c r="BC121" i="1"/>
  <c r="BB121" i="1"/>
  <c r="BC120" i="1"/>
  <c r="BB120" i="1"/>
  <c r="BC119" i="1"/>
  <c r="BB119" i="1"/>
  <c r="BC118" i="1"/>
  <c r="BB118" i="1"/>
  <c r="BC117" i="1"/>
  <c r="BB117" i="1"/>
  <c r="BC116" i="1"/>
  <c r="BB116" i="1"/>
  <c r="BC115" i="1"/>
  <c r="BB115" i="1"/>
  <c r="BC114" i="1"/>
  <c r="BB114" i="1"/>
  <c r="BC113" i="1"/>
  <c r="BB113" i="1"/>
  <c r="BC112" i="1"/>
  <c r="BB112" i="1"/>
  <c r="BC111" i="1"/>
  <c r="BB111" i="1"/>
  <c r="BC110" i="1"/>
  <c r="BB110" i="1"/>
  <c r="BC109" i="1"/>
  <c r="BB109" i="1"/>
  <c r="BC108" i="1"/>
  <c r="BB108" i="1"/>
  <c r="BC107" i="1"/>
  <c r="BB107" i="1"/>
  <c r="BC106" i="1"/>
  <c r="BB106" i="1"/>
  <c r="BC105" i="1"/>
  <c r="BC104" i="1"/>
  <c r="BB104" i="1"/>
  <c r="BC103" i="1"/>
  <c r="BB103" i="1"/>
  <c r="BC102" i="1"/>
  <c r="BB102" i="1"/>
  <c r="BC101" i="1"/>
  <c r="BB101" i="1"/>
  <c r="BC100" i="1"/>
  <c r="BB100" i="1"/>
  <c r="BC99" i="1"/>
  <c r="BB99" i="1"/>
  <c r="BC98" i="1"/>
  <c r="BB98" i="1"/>
  <c r="BC97" i="1"/>
  <c r="BB97" i="1"/>
  <c r="BC96" i="1"/>
  <c r="BB96" i="1"/>
  <c r="BC95" i="1"/>
  <c r="BB95" i="1"/>
  <c r="BC94" i="1"/>
  <c r="BB94" i="1"/>
  <c r="BC93" i="1"/>
  <c r="BB93" i="1"/>
  <c r="BC92" i="1"/>
  <c r="BB92" i="1"/>
  <c r="BC91" i="1"/>
  <c r="BB91" i="1"/>
  <c r="BC90" i="1"/>
  <c r="BB90" i="1"/>
  <c r="BC89" i="1"/>
  <c r="BB89" i="1"/>
  <c r="BC88" i="1"/>
  <c r="BB88" i="1"/>
  <c r="BC87" i="1"/>
  <c r="BB87" i="1"/>
  <c r="BC86" i="1"/>
  <c r="BB86" i="1"/>
  <c r="BC85" i="1"/>
  <c r="BB85" i="1"/>
  <c r="BC84" i="1"/>
  <c r="BB84" i="1"/>
  <c r="BC83" i="1"/>
  <c r="BB83" i="1"/>
  <c r="BC82" i="1"/>
  <c r="BB82" i="1"/>
  <c r="BC81" i="1"/>
  <c r="BB81" i="1"/>
  <c r="BC80" i="1"/>
  <c r="BB80" i="1"/>
  <c r="BC79" i="1"/>
  <c r="BB79" i="1"/>
  <c r="BC78" i="1"/>
  <c r="BB78" i="1"/>
  <c r="BC77" i="1"/>
  <c r="BB77" i="1"/>
  <c r="BC76" i="1"/>
  <c r="BB76" i="1"/>
  <c r="BC75" i="1"/>
  <c r="BB75" i="1"/>
  <c r="BC74" i="1"/>
  <c r="BB74" i="1"/>
  <c r="BC73" i="1"/>
  <c r="BB73" i="1"/>
  <c r="BC72" i="1"/>
  <c r="BB72" i="1"/>
  <c r="BC71" i="1"/>
  <c r="BB71" i="1"/>
  <c r="BC70" i="1"/>
  <c r="BB70" i="1"/>
  <c r="BC69" i="1"/>
  <c r="BB69" i="1"/>
  <c r="BC68" i="1"/>
  <c r="BB68" i="1"/>
  <c r="BC67" i="1"/>
  <c r="BB67" i="1"/>
  <c r="BC66" i="1"/>
  <c r="BB66" i="1"/>
  <c r="BC65" i="1"/>
  <c r="BB65" i="1"/>
  <c r="BC64" i="1"/>
  <c r="BB64" i="1"/>
  <c r="BC63" i="1"/>
  <c r="BB63" i="1"/>
  <c r="BC62" i="1"/>
  <c r="BB62" i="1"/>
  <c r="BC61" i="1"/>
  <c r="BB61" i="1"/>
  <c r="BC60" i="1"/>
  <c r="BB60" i="1"/>
  <c r="BC59" i="1"/>
  <c r="BB59" i="1"/>
  <c r="BC58" i="1"/>
  <c r="BB58" i="1"/>
  <c r="BC57" i="1"/>
  <c r="BB57" i="1"/>
  <c r="BC56" i="1"/>
  <c r="BB56" i="1"/>
  <c r="BC55" i="1"/>
  <c r="BB55" i="1"/>
  <c r="BC54" i="1"/>
  <c r="BB54" i="1"/>
  <c r="BC53" i="1"/>
  <c r="BB53" i="1"/>
  <c r="BC52" i="1"/>
  <c r="BB52" i="1"/>
  <c r="BC51" i="1"/>
  <c r="BB51" i="1"/>
  <c r="BC50" i="1"/>
  <c r="BB50" i="1"/>
  <c r="BC49" i="1"/>
  <c r="BB49" i="1"/>
  <c r="BC48" i="1"/>
  <c r="BB48" i="1"/>
  <c r="BC47" i="1"/>
  <c r="BB47" i="1"/>
  <c r="BC46" i="1"/>
  <c r="BB46" i="1"/>
  <c r="BC45" i="1"/>
  <c r="BB45" i="1"/>
  <c r="BC44" i="1"/>
  <c r="BB44" i="1"/>
  <c r="BC43" i="1"/>
  <c r="BB43" i="1"/>
  <c r="BC42" i="1"/>
  <c r="BB42" i="1"/>
  <c r="BC41" i="1"/>
  <c r="BB41" i="1"/>
  <c r="BC40" i="1"/>
  <c r="BB40" i="1"/>
  <c r="BC39" i="1"/>
  <c r="BB39" i="1"/>
  <c r="BC38" i="1"/>
  <c r="BB38" i="1"/>
  <c r="BC37" i="1"/>
  <c r="BB37" i="1"/>
  <c r="BC36" i="1"/>
  <c r="BB36" i="1"/>
  <c r="BC35" i="1"/>
  <c r="BB35" i="1"/>
  <c r="BC34" i="1"/>
  <c r="BB34" i="1"/>
  <c r="BC33" i="1"/>
  <c r="BB33" i="1"/>
  <c r="BC32" i="1"/>
  <c r="BB32" i="1"/>
  <c r="BC31" i="1"/>
  <c r="BB31" i="1"/>
  <c r="BC30" i="1"/>
  <c r="BB30" i="1"/>
  <c r="BC29" i="1"/>
  <c r="BB29" i="1"/>
  <c r="BC28" i="1"/>
  <c r="BB28" i="1"/>
  <c r="BC27" i="1"/>
  <c r="BB27" i="1"/>
  <c r="BC26" i="1"/>
  <c r="BB26" i="1"/>
  <c r="BC25" i="1"/>
  <c r="BB25" i="1"/>
  <c r="BC24" i="1"/>
  <c r="BB24" i="1"/>
  <c r="BC23" i="1"/>
  <c r="BB23" i="1"/>
  <c r="BC22" i="1"/>
  <c r="BB22" i="1"/>
  <c r="BC21" i="1"/>
  <c r="BB21" i="1"/>
  <c r="BC19" i="1"/>
  <c r="BB19" i="1"/>
  <c r="BC18" i="1"/>
  <c r="BB18" i="1"/>
  <c r="BC17" i="1"/>
  <c r="BB17" i="1"/>
  <c r="BC16" i="1"/>
  <c r="BB16" i="1"/>
  <c r="BC15" i="1"/>
  <c r="BB15" i="1"/>
  <c r="BC14" i="1"/>
  <c r="BB14" i="1"/>
  <c r="BC13" i="1"/>
  <c r="BB13" i="1"/>
  <c r="BC20" i="1"/>
  <c r="CI412" i="1" l="1"/>
  <c r="CH412" i="1"/>
  <c r="CG412" i="1"/>
  <c r="CB412" i="1"/>
  <c r="CI411" i="1"/>
  <c r="CH411" i="1"/>
  <c r="CG411" i="1"/>
  <c r="CB411" i="1"/>
  <c r="CI410" i="1"/>
  <c r="CH410" i="1"/>
  <c r="CG410" i="1"/>
  <c r="CB410" i="1"/>
  <c r="CI409" i="1"/>
  <c r="CH409" i="1"/>
  <c r="CG409" i="1"/>
  <c r="CB409" i="1"/>
  <c r="CI408" i="1"/>
  <c r="CH408" i="1"/>
  <c r="CG408" i="1"/>
  <c r="CB408" i="1"/>
  <c r="CI407" i="1"/>
  <c r="CH407" i="1"/>
  <c r="CG407" i="1"/>
  <c r="CB407" i="1"/>
  <c r="CI406" i="1"/>
  <c r="CH406" i="1"/>
  <c r="CG406" i="1"/>
  <c r="CB406" i="1"/>
  <c r="CI405" i="1"/>
  <c r="CH405" i="1"/>
  <c r="CG405" i="1"/>
  <c r="CB405" i="1"/>
  <c r="CI404" i="1"/>
  <c r="CH404" i="1"/>
  <c r="CG404" i="1"/>
  <c r="CB404" i="1"/>
  <c r="CI403" i="1"/>
  <c r="CH403" i="1"/>
  <c r="CG403" i="1"/>
  <c r="CB403" i="1"/>
  <c r="CI402" i="1"/>
  <c r="CH402" i="1"/>
  <c r="CG402" i="1"/>
  <c r="CB402" i="1"/>
  <c r="CI401" i="1"/>
  <c r="CH401" i="1"/>
  <c r="CG401" i="1"/>
  <c r="CB401" i="1"/>
  <c r="CI400" i="1"/>
  <c r="CH400" i="1"/>
  <c r="CG400" i="1"/>
  <c r="CB400" i="1"/>
  <c r="CI399" i="1"/>
  <c r="CH399" i="1"/>
  <c r="CG399" i="1"/>
  <c r="CB399" i="1"/>
  <c r="CI398" i="1"/>
  <c r="CH398" i="1"/>
  <c r="CG398" i="1"/>
  <c r="CB398" i="1"/>
  <c r="CI397" i="1"/>
  <c r="CH397" i="1"/>
  <c r="CG397" i="1"/>
  <c r="CB397" i="1"/>
  <c r="CI396" i="1"/>
  <c r="CH396" i="1"/>
  <c r="CG396" i="1"/>
  <c r="CB396" i="1"/>
  <c r="CI395" i="1"/>
  <c r="CH395" i="1"/>
  <c r="CG395" i="1"/>
  <c r="CB395" i="1"/>
  <c r="CI394" i="1"/>
  <c r="CH394" i="1"/>
  <c r="CG394" i="1"/>
  <c r="CB394" i="1"/>
  <c r="CI393" i="1"/>
  <c r="CH393" i="1"/>
  <c r="CG393" i="1"/>
  <c r="CB393" i="1"/>
  <c r="CI392" i="1"/>
  <c r="CH392" i="1"/>
  <c r="CG392" i="1"/>
  <c r="CB392" i="1"/>
  <c r="CI391" i="1"/>
  <c r="CH391" i="1"/>
  <c r="CG391" i="1"/>
  <c r="CB391" i="1"/>
  <c r="CI390" i="1"/>
  <c r="CH390" i="1"/>
  <c r="CG390" i="1"/>
  <c r="CB390" i="1"/>
  <c r="CI389" i="1"/>
  <c r="CH389" i="1"/>
  <c r="CG389" i="1"/>
  <c r="CB389" i="1"/>
  <c r="CI388" i="1"/>
  <c r="CH388" i="1"/>
  <c r="CG388" i="1"/>
  <c r="CB388" i="1"/>
  <c r="CI387" i="1"/>
  <c r="CH387" i="1"/>
  <c r="CG387" i="1"/>
  <c r="CB387" i="1"/>
  <c r="CI386" i="1"/>
  <c r="CH386" i="1"/>
  <c r="CG386" i="1"/>
  <c r="CB386" i="1"/>
  <c r="CI385" i="1"/>
  <c r="CH385" i="1"/>
  <c r="CG385" i="1"/>
  <c r="CB385" i="1"/>
  <c r="CI384" i="1"/>
  <c r="CH384" i="1"/>
  <c r="CG384" i="1"/>
  <c r="CB384" i="1"/>
  <c r="CI383" i="1"/>
  <c r="CH383" i="1"/>
  <c r="CG383" i="1"/>
  <c r="CB383" i="1"/>
  <c r="CI382" i="1"/>
  <c r="CH382" i="1"/>
  <c r="CG382" i="1"/>
  <c r="CB382" i="1"/>
  <c r="CI381" i="1"/>
  <c r="CH381" i="1"/>
  <c r="CG381" i="1"/>
  <c r="CB381" i="1"/>
  <c r="CI380" i="1"/>
  <c r="CH380" i="1"/>
  <c r="CG380" i="1"/>
  <c r="CB380" i="1"/>
  <c r="CI379" i="1"/>
  <c r="CH379" i="1"/>
  <c r="CG379" i="1"/>
  <c r="CB379" i="1"/>
  <c r="CI378" i="1"/>
  <c r="CH378" i="1"/>
  <c r="CG378" i="1"/>
  <c r="CB378" i="1"/>
  <c r="CI377" i="1"/>
  <c r="CH377" i="1"/>
  <c r="CG377" i="1"/>
  <c r="CB377" i="1"/>
  <c r="CI376" i="1"/>
  <c r="CH376" i="1"/>
  <c r="CG376" i="1"/>
  <c r="CB376" i="1"/>
  <c r="CI375" i="1"/>
  <c r="CH375" i="1"/>
  <c r="CG375" i="1"/>
  <c r="CB375" i="1"/>
  <c r="CI374" i="1"/>
  <c r="CH374" i="1"/>
  <c r="CG374" i="1"/>
  <c r="CB374" i="1"/>
  <c r="CI373" i="1"/>
  <c r="CH373" i="1"/>
  <c r="CG373" i="1"/>
  <c r="CB373" i="1"/>
  <c r="CI372" i="1"/>
  <c r="CH372" i="1"/>
  <c r="CG372" i="1"/>
  <c r="CB372" i="1"/>
  <c r="CI371" i="1"/>
  <c r="CH371" i="1"/>
  <c r="CG371" i="1"/>
  <c r="CB371" i="1"/>
  <c r="CI370" i="1"/>
  <c r="CH370" i="1"/>
  <c r="CG370" i="1"/>
  <c r="CB370" i="1"/>
  <c r="CI369" i="1"/>
  <c r="CH369" i="1"/>
  <c r="CG369" i="1"/>
  <c r="CB369" i="1"/>
  <c r="CI368" i="1"/>
  <c r="CH368" i="1"/>
  <c r="CG368" i="1"/>
  <c r="CB368" i="1"/>
  <c r="CI367" i="1"/>
  <c r="CH367" i="1"/>
  <c r="CG367" i="1"/>
  <c r="CB367" i="1"/>
  <c r="CI366" i="1"/>
  <c r="CH366" i="1"/>
  <c r="CG366" i="1"/>
  <c r="CB366" i="1"/>
  <c r="CI365" i="1"/>
  <c r="CH365" i="1"/>
  <c r="CG365" i="1"/>
  <c r="CB365" i="1"/>
  <c r="CI364" i="1"/>
  <c r="CH364" i="1"/>
  <c r="CG364" i="1"/>
  <c r="CB364" i="1"/>
  <c r="CI363" i="1"/>
  <c r="CH363" i="1"/>
  <c r="CG363" i="1"/>
  <c r="CB363" i="1"/>
  <c r="CI362" i="1"/>
  <c r="CH362" i="1"/>
  <c r="CG362" i="1"/>
  <c r="CB362" i="1"/>
  <c r="CI361" i="1"/>
  <c r="CH361" i="1"/>
  <c r="CG361" i="1"/>
  <c r="CB361" i="1"/>
  <c r="CI360" i="1"/>
  <c r="CH360" i="1"/>
  <c r="CG360" i="1"/>
  <c r="CB360" i="1"/>
  <c r="CI359" i="1"/>
  <c r="CH359" i="1"/>
  <c r="CG359" i="1"/>
  <c r="CB359" i="1"/>
  <c r="CI358" i="1"/>
  <c r="CH358" i="1"/>
  <c r="CG358" i="1"/>
  <c r="CB358" i="1"/>
  <c r="CI357" i="1"/>
  <c r="CH357" i="1"/>
  <c r="CG357" i="1"/>
  <c r="CB357" i="1"/>
  <c r="CI356" i="1"/>
  <c r="CH356" i="1"/>
  <c r="CG356" i="1"/>
  <c r="CB356" i="1"/>
  <c r="CI355" i="1"/>
  <c r="CH355" i="1"/>
  <c r="CG355" i="1"/>
  <c r="CB355" i="1"/>
  <c r="CI354" i="1"/>
  <c r="CH354" i="1"/>
  <c r="CG354" i="1"/>
  <c r="CB354" i="1"/>
  <c r="CI353" i="1"/>
  <c r="CH353" i="1"/>
  <c r="CG353" i="1"/>
  <c r="CB353" i="1"/>
  <c r="CI352" i="1"/>
  <c r="CH352" i="1"/>
  <c r="CG352" i="1"/>
  <c r="CB352" i="1"/>
  <c r="CI351" i="1"/>
  <c r="CH351" i="1"/>
  <c r="CG351" i="1"/>
  <c r="CB351" i="1"/>
  <c r="CI350" i="1"/>
  <c r="CH350" i="1"/>
  <c r="CG350" i="1"/>
  <c r="CB350" i="1"/>
  <c r="CI349" i="1"/>
  <c r="CH349" i="1"/>
  <c r="CG349" i="1"/>
  <c r="CB349" i="1"/>
  <c r="CI348" i="1"/>
  <c r="CH348" i="1"/>
  <c r="CG348" i="1"/>
  <c r="CB348" i="1"/>
  <c r="CI347" i="1"/>
  <c r="CH347" i="1"/>
  <c r="CG347" i="1"/>
  <c r="CB347" i="1"/>
  <c r="CI346" i="1"/>
  <c r="CH346" i="1"/>
  <c r="CG346" i="1"/>
  <c r="CB346" i="1"/>
  <c r="CI345" i="1"/>
  <c r="CH345" i="1"/>
  <c r="CG345" i="1"/>
  <c r="CB345" i="1"/>
  <c r="CI344" i="1"/>
  <c r="CH344" i="1"/>
  <c r="CG344" i="1"/>
  <c r="CB344" i="1"/>
  <c r="CI343" i="1"/>
  <c r="CH343" i="1"/>
  <c r="CG343" i="1"/>
  <c r="CB343" i="1"/>
  <c r="CI342" i="1"/>
  <c r="CH342" i="1"/>
  <c r="CG342" i="1"/>
  <c r="CB342" i="1"/>
  <c r="CI341" i="1"/>
  <c r="CH341" i="1"/>
  <c r="CG341" i="1"/>
  <c r="CB341" i="1"/>
  <c r="CI340" i="1"/>
  <c r="CH340" i="1"/>
  <c r="CG340" i="1"/>
  <c r="CB340" i="1"/>
  <c r="CI339" i="1"/>
  <c r="CH339" i="1"/>
  <c r="CG339" i="1"/>
  <c r="CB339" i="1"/>
  <c r="CI338" i="1"/>
  <c r="CH338" i="1"/>
  <c r="CG338" i="1"/>
  <c r="CB338" i="1"/>
  <c r="CI337" i="1"/>
  <c r="CH337" i="1"/>
  <c r="CG337" i="1"/>
  <c r="CB337" i="1"/>
  <c r="CI336" i="1"/>
  <c r="CH336" i="1"/>
  <c r="CG336" i="1"/>
  <c r="CB336" i="1"/>
  <c r="CI335" i="1"/>
  <c r="CH335" i="1"/>
  <c r="CG335" i="1"/>
  <c r="CB335" i="1"/>
  <c r="CI334" i="1"/>
  <c r="CH334" i="1"/>
  <c r="CG334" i="1"/>
  <c r="CB334" i="1"/>
  <c r="CI333" i="1"/>
  <c r="CH333" i="1"/>
  <c r="CG333" i="1"/>
  <c r="CB333" i="1"/>
  <c r="CI332" i="1"/>
  <c r="CH332" i="1"/>
  <c r="CG332" i="1"/>
  <c r="CB332" i="1"/>
  <c r="CI331" i="1"/>
  <c r="CH331" i="1"/>
  <c r="CG331" i="1"/>
  <c r="CB331" i="1"/>
  <c r="CI330" i="1"/>
  <c r="CH330" i="1"/>
  <c r="CG330" i="1"/>
  <c r="CB330" i="1"/>
  <c r="CI329" i="1"/>
  <c r="CH329" i="1"/>
  <c r="CG329" i="1"/>
  <c r="CB329" i="1"/>
  <c r="CI328" i="1"/>
  <c r="CH328" i="1"/>
  <c r="CG328" i="1"/>
  <c r="CB328" i="1"/>
  <c r="CI327" i="1"/>
  <c r="CH327" i="1"/>
  <c r="CG327" i="1"/>
  <c r="CB327" i="1"/>
  <c r="CI326" i="1"/>
  <c r="CH326" i="1"/>
  <c r="CG326" i="1"/>
  <c r="CB326" i="1"/>
  <c r="CI325" i="1"/>
  <c r="CH325" i="1"/>
  <c r="CG325" i="1"/>
  <c r="CB325" i="1"/>
  <c r="CI324" i="1"/>
  <c r="CH324" i="1"/>
  <c r="CG324" i="1"/>
  <c r="CB324" i="1"/>
  <c r="CI323" i="1"/>
  <c r="CH323" i="1"/>
  <c r="CG323" i="1"/>
  <c r="CB323" i="1"/>
  <c r="CI322" i="1"/>
  <c r="CH322" i="1"/>
  <c r="CG322" i="1"/>
  <c r="CB322" i="1"/>
  <c r="CI321" i="1"/>
  <c r="CH321" i="1"/>
  <c r="CG321" i="1"/>
  <c r="CB321" i="1"/>
  <c r="CI320" i="1"/>
  <c r="CH320" i="1"/>
  <c r="CG320" i="1"/>
  <c r="CB320" i="1"/>
  <c r="CI319" i="1"/>
  <c r="CH319" i="1"/>
  <c r="CG319" i="1"/>
  <c r="CB319" i="1"/>
  <c r="CI318" i="1"/>
  <c r="CH318" i="1"/>
  <c r="CG318" i="1"/>
  <c r="CB318" i="1"/>
  <c r="CI317" i="1"/>
  <c r="CH317" i="1"/>
  <c r="CG317" i="1"/>
  <c r="CB317" i="1"/>
  <c r="CI316" i="1"/>
  <c r="CH316" i="1"/>
  <c r="CG316" i="1"/>
  <c r="CB316" i="1"/>
  <c r="CI315" i="1"/>
  <c r="CH315" i="1"/>
  <c r="CG315" i="1"/>
  <c r="CB315" i="1"/>
  <c r="CI314" i="1"/>
  <c r="CH314" i="1"/>
  <c r="CG314" i="1"/>
  <c r="CB314" i="1"/>
  <c r="CI313" i="1"/>
  <c r="CH313" i="1"/>
  <c r="CG313" i="1"/>
  <c r="CB313" i="1"/>
  <c r="CI312" i="1"/>
  <c r="CH312" i="1"/>
  <c r="CG312" i="1"/>
  <c r="CB312" i="1"/>
  <c r="CI311" i="1"/>
  <c r="CH311" i="1"/>
  <c r="CG311" i="1"/>
  <c r="CB311" i="1"/>
  <c r="CI310" i="1"/>
  <c r="CH310" i="1"/>
  <c r="CG310" i="1"/>
  <c r="CB310" i="1"/>
  <c r="CI309" i="1"/>
  <c r="CH309" i="1"/>
  <c r="CG309" i="1"/>
  <c r="CB309" i="1"/>
  <c r="CI308" i="1"/>
  <c r="CH308" i="1"/>
  <c r="CG308" i="1"/>
  <c r="CB308" i="1"/>
  <c r="CI307" i="1"/>
  <c r="CH307" i="1"/>
  <c r="CG307" i="1"/>
  <c r="CB307" i="1"/>
  <c r="CI306" i="1"/>
  <c r="CH306" i="1"/>
  <c r="CG306" i="1"/>
  <c r="CB306" i="1"/>
  <c r="CI305" i="1"/>
  <c r="CH305" i="1"/>
  <c r="CG305" i="1"/>
  <c r="CB305" i="1"/>
  <c r="CI304" i="1"/>
  <c r="CH304" i="1"/>
  <c r="CG304" i="1"/>
  <c r="CB304" i="1"/>
  <c r="CI303" i="1"/>
  <c r="CH303" i="1"/>
  <c r="CG303" i="1"/>
  <c r="CB303" i="1"/>
  <c r="CI302" i="1"/>
  <c r="CH302" i="1"/>
  <c r="CG302" i="1"/>
  <c r="CB302" i="1"/>
  <c r="CI301" i="1"/>
  <c r="CH301" i="1"/>
  <c r="CG301" i="1"/>
  <c r="CB301" i="1"/>
  <c r="CI300" i="1"/>
  <c r="CH300" i="1"/>
  <c r="CG300" i="1"/>
  <c r="CB300" i="1"/>
  <c r="CI299" i="1"/>
  <c r="CH299" i="1"/>
  <c r="CG299" i="1"/>
  <c r="CB299" i="1"/>
  <c r="CI298" i="1"/>
  <c r="CH298" i="1"/>
  <c r="CG298" i="1"/>
  <c r="CB298" i="1"/>
  <c r="CI297" i="1"/>
  <c r="CH297" i="1"/>
  <c r="CG297" i="1"/>
  <c r="CB297" i="1"/>
  <c r="CI296" i="1"/>
  <c r="CH296" i="1"/>
  <c r="CG296" i="1"/>
  <c r="CB296" i="1"/>
  <c r="CI295" i="1"/>
  <c r="CH295" i="1"/>
  <c r="CG295" i="1"/>
  <c r="CB295" i="1"/>
  <c r="CI294" i="1"/>
  <c r="CH294" i="1"/>
  <c r="CG294" i="1"/>
  <c r="CB294" i="1"/>
  <c r="CI293" i="1"/>
  <c r="CH293" i="1"/>
  <c r="CG293" i="1"/>
  <c r="CB293" i="1"/>
  <c r="CI292" i="1"/>
  <c r="CH292" i="1"/>
  <c r="CG292" i="1"/>
  <c r="CB292" i="1"/>
  <c r="CI291" i="1"/>
  <c r="CH291" i="1"/>
  <c r="CG291" i="1"/>
  <c r="CB291" i="1"/>
  <c r="CI290" i="1"/>
  <c r="CH290" i="1"/>
  <c r="CG290" i="1"/>
  <c r="CB290" i="1"/>
  <c r="CI289" i="1"/>
  <c r="CH289" i="1"/>
  <c r="CG289" i="1"/>
  <c r="CB289" i="1"/>
  <c r="CI288" i="1"/>
  <c r="CH288" i="1"/>
  <c r="CG288" i="1"/>
  <c r="CB288" i="1"/>
  <c r="CI287" i="1"/>
  <c r="CH287" i="1"/>
  <c r="CG287" i="1"/>
  <c r="CB287" i="1"/>
  <c r="CI286" i="1"/>
  <c r="CH286" i="1"/>
  <c r="CG286" i="1"/>
  <c r="CB286" i="1"/>
  <c r="CI285" i="1"/>
  <c r="CH285" i="1"/>
  <c r="CG285" i="1"/>
  <c r="CB285" i="1"/>
  <c r="CI284" i="1"/>
  <c r="CH284" i="1"/>
  <c r="CG284" i="1"/>
  <c r="CB284" i="1"/>
  <c r="CI283" i="1"/>
  <c r="CH283" i="1"/>
  <c r="CG283" i="1"/>
  <c r="CB283" i="1"/>
  <c r="CI282" i="1"/>
  <c r="CH282" i="1"/>
  <c r="CG282" i="1"/>
  <c r="CB282" i="1"/>
  <c r="CI281" i="1"/>
  <c r="CH281" i="1"/>
  <c r="CG281" i="1"/>
  <c r="CB281" i="1"/>
  <c r="CI280" i="1"/>
  <c r="CH280" i="1"/>
  <c r="CG280" i="1"/>
  <c r="CB280" i="1"/>
  <c r="CI279" i="1"/>
  <c r="CH279" i="1"/>
  <c r="CG279" i="1"/>
  <c r="CB279" i="1"/>
  <c r="CI278" i="1"/>
  <c r="CH278" i="1"/>
  <c r="CG278" i="1"/>
  <c r="CB278" i="1"/>
  <c r="CI277" i="1"/>
  <c r="CH277" i="1"/>
  <c r="CG277" i="1"/>
  <c r="CB277" i="1"/>
  <c r="CI276" i="1"/>
  <c r="CH276" i="1"/>
  <c r="CG276" i="1"/>
  <c r="CB276" i="1"/>
  <c r="CI275" i="1"/>
  <c r="CH275" i="1"/>
  <c r="CG275" i="1"/>
  <c r="CB275" i="1"/>
  <c r="CI274" i="1"/>
  <c r="CH274" i="1"/>
  <c r="CG274" i="1"/>
  <c r="CB274" i="1"/>
  <c r="CI273" i="1"/>
  <c r="CH273" i="1"/>
  <c r="CG273" i="1"/>
  <c r="CB273" i="1"/>
  <c r="CI272" i="1"/>
  <c r="CH272" i="1"/>
  <c r="CG272" i="1"/>
  <c r="CB272" i="1"/>
  <c r="CI271" i="1"/>
  <c r="CH271" i="1"/>
  <c r="CG271" i="1"/>
  <c r="CB271" i="1"/>
  <c r="CI270" i="1"/>
  <c r="CH270" i="1"/>
  <c r="CG270" i="1"/>
  <c r="CB270" i="1"/>
  <c r="CI269" i="1"/>
  <c r="CH269" i="1"/>
  <c r="CG269" i="1"/>
  <c r="CB269" i="1"/>
  <c r="CI268" i="1"/>
  <c r="CH268" i="1"/>
  <c r="CG268" i="1"/>
  <c r="CB268" i="1"/>
  <c r="CI267" i="1"/>
  <c r="CH267" i="1"/>
  <c r="CG267" i="1"/>
  <c r="CB267" i="1"/>
  <c r="CI266" i="1"/>
  <c r="CH266" i="1"/>
  <c r="CG266" i="1"/>
  <c r="CB266" i="1"/>
  <c r="CI265" i="1"/>
  <c r="CH265" i="1"/>
  <c r="CG265" i="1"/>
  <c r="CB265" i="1"/>
  <c r="CI264" i="1"/>
  <c r="CH264" i="1"/>
  <c r="CG264" i="1"/>
  <c r="CB264" i="1"/>
  <c r="CI263" i="1"/>
  <c r="CH263" i="1"/>
  <c r="CG263" i="1"/>
  <c r="CB263" i="1"/>
  <c r="CI262" i="1"/>
  <c r="CH262" i="1"/>
  <c r="CG262" i="1"/>
  <c r="CB262" i="1"/>
  <c r="CI261" i="1"/>
  <c r="CH261" i="1"/>
  <c r="CG261" i="1"/>
  <c r="CB261" i="1"/>
  <c r="CI260" i="1"/>
  <c r="CH260" i="1"/>
  <c r="CG260" i="1"/>
  <c r="CB260" i="1"/>
  <c r="CI259" i="1"/>
  <c r="CH259" i="1"/>
  <c r="CG259" i="1"/>
  <c r="CB259" i="1"/>
  <c r="CI258" i="1"/>
  <c r="CH258" i="1"/>
  <c r="CG258" i="1"/>
  <c r="CB258" i="1"/>
  <c r="CI257" i="1"/>
  <c r="CH257" i="1"/>
  <c r="CG257" i="1"/>
  <c r="CB257" i="1"/>
  <c r="CI256" i="1"/>
  <c r="CH256" i="1"/>
  <c r="CG256" i="1"/>
  <c r="CB256" i="1"/>
  <c r="CI255" i="1"/>
  <c r="CH255" i="1"/>
  <c r="CG255" i="1"/>
  <c r="CB255" i="1"/>
  <c r="CI254" i="1"/>
  <c r="CH254" i="1"/>
  <c r="CG254" i="1"/>
  <c r="CB254" i="1"/>
  <c r="CI253" i="1"/>
  <c r="CH253" i="1"/>
  <c r="CG253" i="1"/>
  <c r="CB253" i="1"/>
  <c r="CI252" i="1"/>
  <c r="CH252" i="1"/>
  <c r="CG252" i="1"/>
  <c r="CB252" i="1"/>
  <c r="CI251" i="1"/>
  <c r="CH251" i="1"/>
  <c r="CG251" i="1"/>
  <c r="CB251" i="1"/>
  <c r="CI250" i="1"/>
  <c r="CH250" i="1"/>
  <c r="CG250" i="1"/>
  <c r="CB250" i="1"/>
  <c r="CI249" i="1"/>
  <c r="CH249" i="1"/>
  <c r="CG249" i="1"/>
  <c r="CB249" i="1"/>
  <c r="CI248" i="1"/>
  <c r="CH248" i="1"/>
  <c r="CG248" i="1"/>
  <c r="CB248" i="1"/>
  <c r="CI247" i="1"/>
  <c r="CH247" i="1"/>
  <c r="CG247" i="1"/>
  <c r="CB247" i="1"/>
  <c r="CI246" i="1"/>
  <c r="CH246" i="1"/>
  <c r="CG246" i="1"/>
  <c r="CB246" i="1"/>
  <c r="CI245" i="1"/>
  <c r="CH245" i="1"/>
  <c r="CG245" i="1"/>
  <c r="CB245" i="1"/>
  <c r="CI244" i="1"/>
  <c r="CH244" i="1"/>
  <c r="CG244" i="1"/>
  <c r="CB244" i="1"/>
  <c r="CI243" i="1"/>
  <c r="CH243" i="1"/>
  <c r="CG243" i="1"/>
  <c r="CB243" i="1"/>
  <c r="CI242" i="1"/>
  <c r="CH242" i="1"/>
  <c r="CG242" i="1"/>
  <c r="CB242" i="1"/>
  <c r="CI241" i="1"/>
  <c r="CH241" i="1"/>
  <c r="CG241" i="1"/>
  <c r="CB241" i="1"/>
  <c r="CI240" i="1"/>
  <c r="CH240" i="1"/>
  <c r="CG240" i="1"/>
  <c r="CB240" i="1"/>
  <c r="CI239" i="1"/>
  <c r="CH239" i="1"/>
  <c r="CG239" i="1"/>
  <c r="CB239" i="1"/>
  <c r="CI238" i="1"/>
  <c r="CH238" i="1"/>
  <c r="CG238" i="1"/>
  <c r="CB238" i="1"/>
  <c r="CI237" i="1"/>
  <c r="CH237" i="1"/>
  <c r="CG237" i="1"/>
  <c r="CB237" i="1"/>
  <c r="CI236" i="1"/>
  <c r="CH236" i="1"/>
  <c r="CG236" i="1"/>
  <c r="CB236" i="1"/>
  <c r="CI235" i="1"/>
  <c r="CH235" i="1"/>
  <c r="CG235" i="1"/>
  <c r="CB235" i="1"/>
  <c r="CI234" i="1"/>
  <c r="CH234" i="1"/>
  <c r="CG234" i="1"/>
  <c r="CB234" i="1"/>
  <c r="CI233" i="1"/>
  <c r="CH233" i="1"/>
  <c r="CG233" i="1"/>
  <c r="CB233" i="1"/>
  <c r="CI232" i="1"/>
  <c r="CH232" i="1"/>
  <c r="CG232" i="1"/>
  <c r="CB232" i="1"/>
  <c r="CI231" i="1"/>
  <c r="CH231" i="1"/>
  <c r="CG231" i="1"/>
  <c r="CB231" i="1"/>
  <c r="CI230" i="1"/>
  <c r="CH230" i="1"/>
  <c r="CG230" i="1"/>
  <c r="CB230" i="1"/>
  <c r="CI229" i="1"/>
  <c r="CH229" i="1"/>
  <c r="CG229" i="1"/>
  <c r="CB229" i="1"/>
  <c r="CI228" i="1"/>
  <c r="CH228" i="1"/>
  <c r="CG228" i="1"/>
  <c r="CB228" i="1"/>
  <c r="CI227" i="1"/>
  <c r="CH227" i="1"/>
  <c r="CG227" i="1"/>
  <c r="CB227" i="1"/>
  <c r="CI226" i="1"/>
  <c r="CH226" i="1"/>
  <c r="CG226" i="1"/>
  <c r="CB226" i="1"/>
  <c r="CI225" i="1"/>
  <c r="CH225" i="1"/>
  <c r="CG225" i="1"/>
  <c r="CB225" i="1"/>
  <c r="CI224" i="1"/>
  <c r="CH224" i="1"/>
  <c r="CG224" i="1"/>
  <c r="CB224" i="1"/>
  <c r="CI223" i="1"/>
  <c r="CH223" i="1"/>
  <c r="CG223" i="1"/>
  <c r="CB223" i="1"/>
  <c r="CI222" i="1"/>
  <c r="CH222" i="1"/>
  <c r="CG222" i="1"/>
  <c r="CB222" i="1"/>
  <c r="CI221" i="1"/>
  <c r="CH221" i="1"/>
  <c r="CG221" i="1"/>
  <c r="CB221" i="1"/>
  <c r="CI220" i="1"/>
  <c r="CH220" i="1"/>
  <c r="CG220" i="1"/>
  <c r="CB220" i="1"/>
  <c r="CI219" i="1"/>
  <c r="CH219" i="1"/>
  <c r="CG219" i="1"/>
  <c r="CB219" i="1"/>
  <c r="CI218" i="1"/>
  <c r="CH218" i="1"/>
  <c r="CG218" i="1"/>
  <c r="CB218" i="1"/>
  <c r="CI217" i="1"/>
  <c r="CH217" i="1"/>
  <c r="CG217" i="1"/>
  <c r="CB217" i="1"/>
  <c r="CI216" i="1"/>
  <c r="CH216" i="1"/>
  <c r="CG216" i="1"/>
  <c r="CB216" i="1"/>
  <c r="CI215" i="1"/>
  <c r="CH215" i="1"/>
  <c r="CG215" i="1"/>
  <c r="CB215" i="1"/>
  <c r="CI214" i="1"/>
  <c r="CH214" i="1"/>
  <c r="CG214" i="1"/>
  <c r="CB214" i="1"/>
  <c r="CI213" i="1"/>
  <c r="CH213" i="1"/>
  <c r="CG213" i="1"/>
  <c r="CB213" i="1"/>
  <c r="CI212" i="1"/>
  <c r="CH212" i="1"/>
  <c r="CG212" i="1"/>
  <c r="CB212" i="1"/>
  <c r="CI211" i="1"/>
  <c r="CH211" i="1"/>
  <c r="CG211" i="1"/>
  <c r="CB211" i="1"/>
  <c r="CI210" i="1"/>
  <c r="CH210" i="1"/>
  <c r="CG210" i="1"/>
  <c r="CB210" i="1"/>
  <c r="CI209" i="1"/>
  <c r="CH209" i="1"/>
  <c r="CG209" i="1"/>
  <c r="CB209" i="1"/>
  <c r="CI208" i="1"/>
  <c r="CH208" i="1"/>
  <c r="CG208" i="1"/>
  <c r="CB208" i="1"/>
  <c r="CI207" i="1"/>
  <c r="CH207" i="1"/>
  <c r="CG207" i="1"/>
  <c r="CB207" i="1"/>
  <c r="CI206" i="1"/>
  <c r="CH206" i="1"/>
  <c r="CG206" i="1"/>
  <c r="CB206" i="1"/>
  <c r="CI205" i="1"/>
  <c r="CH205" i="1"/>
  <c r="CG205" i="1"/>
  <c r="CB205" i="1"/>
  <c r="CI204" i="1"/>
  <c r="CH204" i="1"/>
  <c r="CG204" i="1"/>
  <c r="CB204" i="1"/>
  <c r="CI203" i="1"/>
  <c r="CH203" i="1"/>
  <c r="CG203" i="1"/>
  <c r="CB203" i="1"/>
  <c r="CI202" i="1"/>
  <c r="CH202" i="1"/>
  <c r="CG202" i="1"/>
  <c r="CB202" i="1"/>
  <c r="CI201" i="1"/>
  <c r="CH201" i="1"/>
  <c r="CG201" i="1"/>
  <c r="CB201" i="1"/>
  <c r="CI200" i="1"/>
  <c r="CH200" i="1"/>
  <c r="CG200" i="1"/>
  <c r="CB200" i="1"/>
  <c r="CI199" i="1"/>
  <c r="CH199" i="1"/>
  <c r="CG199" i="1"/>
  <c r="CB199" i="1"/>
  <c r="CI198" i="1"/>
  <c r="CH198" i="1"/>
  <c r="CG198" i="1"/>
  <c r="CB198" i="1"/>
  <c r="CI197" i="1"/>
  <c r="CH197" i="1"/>
  <c r="CG197" i="1"/>
  <c r="CB197" i="1"/>
  <c r="CI196" i="1"/>
  <c r="CH196" i="1"/>
  <c r="CG196" i="1"/>
  <c r="CB196" i="1"/>
  <c r="CI195" i="1"/>
  <c r="CH195" i="1"/>
  <c r="CG195" i="1"/>
  <c r="CB195" i="1"/>
  <c r="CI194" i="1"/>
  <c r="CH194" i="1"/>
  <c r="CG194" i="1"/>
  <c r="CB194" i="1"/>
  <c r="CI193" i="1"/>
  <c r="CH193" i="1"/>
  <c r="CG193" i="1"/>
  <c r="CB193" i="1"/>
  <c r="CI192" i="1"/>
  <c r="CH192" i="1"/>
  <c r="CG192" i="1"/>
  <c r="CB192" i="1"/>
  <c r="CI191" i="1"/>
  <c r="CH191" i="1"/>
  <c r="CG191" i="1"/>
  <c r="CB191" i="1"/>
  <c r="CI190" i="1"/>
  <c r="CH190" i="1"/>
  <c r="CG190" i="1"/>
  <c r="CB190" i="1"/>
  <c r="CI189" i="1"/>
  <c r="CH189" i="1"/>
  <c r="CG189" i="1"/>
  <c r="CB189" i="1"/>
  <c r="CI188" i="1"/>
  <c r="CH188" i="1"/>
  <c r="CG188" i="1"/>
  <c r="CB188" i="1"/>
  <c r="CI187" i="1"/>
  <c r="CH187" i="1"/>
  <c r="CG187" i="1"/>
  <c r="CB187" i="1"/>
  <c r="CI186" i="1"/>
  <c r="CH186" i="1"/>
  <c r="CG186" i="1"/>
  <c r="CB186" i="1"/>
  <c r="CI185" i="1"/>
  <c r="CH185" i="1"/>
  <c r="CG185" i="1"/>
  <c r="CB185" i="1"/>
  <c r="CI184" i="1"/>
  <c r="CH184" i="1"/>
  <c r="CG184" i="1"/>
  <c r="CB184" i="1"/>
  <c r="CI183" i="1"/>
  <c r="CH183" i="1"/>
  <c r="CG183" i="1"/>
  <c r="CB183" i="1"/>
  <c r="CI182" i="1"/>
  <c r="CH182" i="1"/>
  <c r="CG182" i="1"/>
  <c r="CB182" i="1"/>
  <c r="CI181" i="1"/>
  <c r="CH181" i="1"/>
  <c r="CG181" i="1"/>
  <c r="CB181" i="1"/>
  <c r="CI180" i="1"/>
  <c r="CH180" i="1"/>
  <c r="CG180" i="1"/>
  <c r="CB180" i="1"/>
  <c r="CI179" i="1"/>
  <c r="CH179" i="1"/>
  <c r="CG179" i="1"/>
  <c r="CB179" i="1"/>
  <c r="CI178" i="1"/>
  <c r="CH178" i="1"/>
  <c r="CG178" i="1"/>
  <c r="CB178" i="1"/>
  <c r="CI177" i="1"/>
  <c r="CH177" i="1"/>
  <c r="CG177" i="1"/>
  <c r="CB177" i="1"/>
  <c r="CI176" i="1"/>
  <c r="CH176" i="1"/>
  <c r="CG176" i="1"/>
  <c r="CB176" i="1"/>
  <c r="CI175" i="1"/>
  <c r="CH175" i="1"/>
  <c r="CG175" i="1"/>
  <c r="CB175" i="1"/>
  <c r="CI174" i="1"/>
  <c r="CH174" i="1"/>
  <c r="CG174" i="1"/>
  <c r="CB174" i="1"/>
  <c r="CI173" i="1"/>
  <c r="CH173" i="1"/>
  <c r="CG173" i="1"/>
  <c r="CB173" i="1"/>
  <c r="CI172" i="1"/>
  <c r="CH172" i="1"/>
  <c r="CG172" i="1"/>
  <c r="CB172" i="1"/>
  <c r="CI171" i="1"/>
  <c r="CH171" i="1"/>
  <c r="CG171" i="1"/>
  <c r="CB171" i="1"/>
  <c r="CI170" i="1"/>
  <c r="CH170" i="1"/>
  <c r="CG170" i="1"/>
  <c r="CB170" i="1"/>
  <c r="CI169" i="1"/>
  <c r="CH169" i="1"/>
  <c r="CG169" i="1"/>
  <c r="CB169" i="1"/>
  <c r="CI168" i="1"/>
  <c r="CH168" i="1"/>
  <c r="CG168" i="1"/>
  <c r="CB168" i="1"/>
  <c r="CI167" i="1"/>
  <c r="CH167" i="1"/>
  <c r="CG167" i="1"/>
  <c r="CB167" i="1"/>
  <c r="CI166" i="1"/>
  <c r="CH166" i="1"/>
  <c r="CG166" i="1"/>
  <c r="CB166" i="1"/>
  <c r="CI165" i="1"/>
  <c r="CH165" i="1"/>
  <c r="CG165" i="1"/>
  <c r="CB165" i="1"/>
  <c r="CI164" i="1"/>
  <c r="CH164" i="1"/>
  <c r="CG164" i="1"/>
  <c r="CB164" i="1"/>
  <c r="CI163" i="1"/>
  <c r="CH163" i="1"/>
  <c r="CG163" i="1"/>
  <c r="CB163" i="1"/>
  <c r="CI162" i="1"/>
  <c r="CH162" i="1"/>
  <c r="CG162" i="1"/>
  <c r="CB162" i="1"/>
  <c r="CI161" i="1"/>
  <c r="CH161" i="1"/>
  <c r="CG161" i="1"/>
  <c r="CB161" i="1"/>
  <c r="CI160" i="1"/>
  <c r="CH160" i="1"/>
  <c r="CG160" i="1"/>
  <c r="CB160" i="1"/>
  <c r="CI159" i="1"/>
  <c r="CH159" i="1"/>
  <c r="CG159" i="1"/>
  <c r="CB159" i="1"/>
  <c r="CI158" i="1"/>
  <c r="CH158" i="1"/>
  <c r="CG158" i="1"/>
  <c r="CB158" i="1"/>
  <c r="CI157" i="1"/>
  <c r="CH157" i="1"/>
  <c r="CG157" i="1"/>
  <c r="CB157" i="1"/>
  <c r="CI156" i="1"/>
  <c r="CH156" i="1"/>
  <c r="CG156" i="1"/>
  <c r="CB156" i="1"/>
  <c r="CI155" i="1"/>
  <c r="CH155" i="1"/>
  <c r="CG155" i="1"/>
  <c r="CB155" i="1"/>
  <c r="CI154" i="1"/>
  <c r="CH154" i="1"/>
  <c r="CG154" i="1"/>
  <c r="CB154" i="1"/>
  <c r="CI153" i="1"/>
  <c r="CH153" i="1"/>
  <c r="CG153" i="1"/>
  <c r="CB153" i="1"/>
  <c r="CI152" i="1"/>
  <c r="CH152" i="1"/>
  <c r="CG152" i="1"/>
  <c r="CB152" i="1"/>
  <c r="CI151" i="1"/>
  <c r="CH151" i="1"/>
  <c r="CG151" i="1"/>
  <c r="CB151" i="1"/>
  <c r="CI150" i="1"/>
  <c r="CH150" i="1"/>
  <c r="CG150" i="1"/>
  <c r="CB150" i="1"/>
  <c r="CI149" i="1"/>
  <c r="CH149" i="1"/>
  <c r="CG149" i="1"/>
  <c r="CB149" i="1"/>
  <c r="CI148" i="1"/>
  <c r="CH148" i="1"/>
  <c r="CG148" i="1"/>
  <c r="CB148" i="1"/>
  <c r="CI147" i="1"/>
  <c r="CH147" i="1"/>
  <c r="CG147" i="1"/>
  <c r="CB147" i="1"/>
  <c r="CI146" i="1"/>
  <c r="CH146" i="1"/>
  <c r="CG146" i="1"/>
  <c r="CB146" i="1"/>
  <c r="CI145" i="1"/>
  <c r="CH145" i="1"/>
  <c r="CG145" i="1"/>
  <c r="CB145" i="1"/>
  <c r="CI144" i="1"/>
  <c r="CH144" i="1"/>
  <c r="CG144" i="1"/>
  <c r="CB144" i="1"/>
  <c r="CI143" i="1"/>
  <c r="CH143" i="1"/>
  <c r="CG143" i="1"/>
  <c r="CB143" i="1"/>
  <c r="CI142" i="1"/>
  <c r="CH142" i="1"/>
  <c r="CG142" i="1"/>
  <c r="CB142" i="1"/>
  <c r="CI141" i="1"/>
  <c r="CH141" i="1"/>
  <c r="CG141" i="1"/>
  <c r="CB141" i="1"/>
  <c r="CI140" i="1"/>
  <c r="CH140" i="1"/>
  <c r="CG140" i="1"/>
  <c r="CB140" i="1"/>
  <c r="CI139" i="1"/>
  <c r="CH139" i="1"/>
  <c r="CG139" i="1"/>
  <c r="CB139" i="1"/>
  <c r="CI138" i="1"/>
  <c r="CH138" i="1"/>
  <c r="CG138" i="1"/>
  <c r="CB138" i="1"/>
  <c r="CI137" i="1"/>
  <c r="CH137" i="1"/>
  <c r="CG137" i="1"/>
  <c r="CB137" i="1"/>
  <c r="CI136" i="1"/>
  <c r="CH136" i="1"/>
  <c r="CG136" i="1"/>
  <c r="CB136" i="1"/>
  <c r="CI135" i="1"/>
  <c r="CH135" i="1"/>
  <c r="CG135" i="1"/>
  <c r="CB135" i="1"/>
  <c r="CI134" i="1"/>
  <c r="CH134" i="1"/>
  <c r="CG134" i="1"/>
  <c r="CB134" i="1"/>
  <c r="CI133" i="1"/>
  <c r="CH133" i="1"/>
  <c r="CG133" i="1"/>
  <c r="CB133" i="1"/>
  <c r="CI132" i="1"/>
  <c r="CH132" i="1"/>
  <c r="CG132" i="1"/>
  <c r="CB132" i="1"/>
  <c r="CI131" i="1"/>
  <c r="CH131" i="1"/>
  <c r="CG131" i="1"/>
  <c r="CB131" i="1"/>
  <c r="CI130" i="1"/>
  <c r="CH130" i="1"/>
  <c r="CG130" i="1"/>
  <c r="CB130" i="1"/>
  <c r="CI129" i="1"/>
  <c r="CH129" i="1"/>
  <c r="CG129" i="1"/>
  <c r="CB129" i="1"/>
  <c r="CI128" i="1"/>
  <c r="CH128" i="1"/>
  <c r="CG128" i="1"/>
  <c r="CB128" i="1"/>
  <c r="CI127" i="1"/>
  <c r="CH127" i="1"/>
  <c r="CG127" i="1"/>
  <c r="CB127" i="1"/>
  <c r="CI126" i="1"/>
  <c r="CH126" i="1"/>
  <c r="CG126" i="1"/>
  <c r="CB126" i="1"/>
  <c r="CI125" i="1"/>
  <c r="CH125" i="1"/>
  <c r="CG125" i="1"/>
  <c r="CB125" i="1"/>
  <c r="CI124" i="1"/>
  <c r="CH124" i="1"/>
  <c r="CG124" i="1"/>
  <c r="CB124" i="1"/>
  <c r="CI123" i="1"/>
  <c r="CH123" i="1"/>
  <c r="CG123" i="1"/>
  <c r="CB123" i="1"/>
  <c r="CI122" i="1"/>
  <c r="CH122" i="1"/>
  <c r="CG122" i="1"/>
  <c r="CB122" i="1"/>
  <c r="CI121" i="1"/>
  <c r="CH121" i="1"/>
  <c r="CG121" i="1"/>
  <c r="CB121" i="1"/>
  <c r="CI120" i="1"/>
  <c r="CH120" i="1"/>
  <c r="CG120" i="1"/>
  <c r="CB120" i="1"/>
  <c r="CI119" i="1"/>
  <c r="CH119" i="1"/>
  <c r="CG119" i="1"/>
  <c r="CB119" i="1"/>
  <c r="CI118" i="1"/>
  <c r="CH118" i="1"/>
  <c r="CG118" i="1"/>
  <c r="CB118" i="1"/>
  <c r="CI117" i="1"/>
  <c r="CH117" i="1"/>
  <c r="CG117" i="1"/>
  <c r="CB117" i="1"/>
  <c r="CI116" i="1"/>
  <c r="CH116" i="1"/>
  <c r="CG116" i="1"/>
  <c r="CB116" i="1"/>
  <c r="CI115" i="1"/>
  <c r="CH115" i="1"/>
  <c r="CG115" i="1"/>
  <c r="CB115" i="1"/>
  <c r="CI114" i="1"/>
  <c r="CH114" i="1"/>
  <c r="CG114" i="1"/>
  <c r="CB114" i="1"/>
  <c r="CI113" i="1"/>
  <c r="CH113" i="1"/>
  <c r="CG113" i="1"/>
  <c r="CB113" i="1"/>
  <c r="CI112" i="1"/>
  <c r="CH112" i="1"/>
  <c r="CG112" i="1"/>
  <c r="CB112" i="1"/>
  <c r="CI111" i="1"/>
  <c r="CH111" i="1"/>
  <c r="CG111" i="1"/>
  <c r="CB111" i="1"/>
  <c r="CI110" i="1"/>
  <c r="CH110" i="1"/>
  <c r="CG110" i="1"/>
  <c r="CB110" i="1"/>
  <c r="CI109" i="1"/>
  <c r="CH109" i="1"/>
  <c r="CG109" i="1"/>
  <c r="CB109" i="1"/>
  <c r="CI108" i="1"/>
  <c r="CH108" i="1"/>
  <c r="CG108" i="1"/>
  <c r="CB108" i="1"/>
  <c r="CI107" i="1"/>
  <c r="CH107" i="1"/>
  <c r="CG107" i="1"/>
  <c r="CB107" i="1"/>
  <c r="CI106" i="1"/>
  <c r="CH106" i="1"/>
  <c r="CG106" i="1"/>
  <c r="CB106" i="1"/>
  <c r="CI105" i="1"/>
  <c r="CH105" i="1"/>
  <c r="CG105" i="1"/>
  <c r="CB105" i="1"/>
  <c r="CI104" i="1"/>
  <c r="CH104" i="1"/>
  <c r="CG104" i="1"/>
  <c r="CB104" i="1"/>
  <c r="CI103" i="1"/>
  <c r="CH103" i="1"/>
  <c r="CG103" i="1"/>
  <c r="CB103" i="1"/>
  <c r="CI102" i="1"/>
  <c r="CH102" i="1"/>
  <c r="CG102" i="1"/>
  <c r="CB102" i="1"/>
  <c r="CI101" i="1"/>
  <c r="CH101" i="1"/>
  <c r="CG101" i="1"/>
  <c r="CB101" i="1"/>
  <c r="CI100" i="1"/>
  <c r="CH100" i="1"/>
  <c r="CG100" i="1"/>
  <c r="CB100" i="1"/>
  <c r="CI99" i="1"/>
  <c r="CH99" i="1"/>
  <c r="CG99" i="1"/>
  <c r="CB99" i="1"/>
  <c r="CI98" i="1"/>
  <c r="CH98" i="1"/>
  <c r="CG98" i="1"/>
  <c r="CB98" i="1"/>
  <c r="CI97" i="1"/>
  <c r="CH97" i="1"/>
  <c r="CG97" i="1"/>
  <c r="CB97" i="1"/>
  <c r="CI96" i="1"/>
  <c r="CH96" i="1"/>
  <c r="CG96" i="1"/>
  <c r="CB96" i="1"/>
  <c r="CI95" i="1"/>
  <c r="CH95" i="1"/>
  <c r="CG95" i="1"/>
  <c r="CB95" i="1"/>
  <c r="CI94" i="1"/>
  <c r="CH94" i="1"/>
  <c r="CG94" i="1"/>
  <c r="CB94" i="1"/>
  <c r="CI93" i="1"/>
  <c r="CH93" i="1"/>
  <c r="CG93" i="1"/>
  <c r="CB93" i="1"/>
  <c r="CI92" i="1"/>
  <c r="CH92" i="1"/>
  <c r="CG92" i="1"/>
  <c r="CB92" i="1"/>
  <c r="CI91" i="1"/>
  <c r="CH91" i="1"/>
  <c r="CG91" i="1"/>
  <c r="CB91" i="1"/>
  <c r="CI90" i="1"/>
  <c r="CH90" i="1"/>
  <c r="CG90" i="1"/>
  <c r="CB90" i="1"/>
  <c r="CI89" i="1"/>
  <c r="CH89" i="1"/>
  <c r="CG89" i="1"/>
  <c r="CB89" i="1"/>
  <c r="CI88" i="1"/>
  <c r="CH88" i="1"/>
  <c r="CG88" i="1"/>
  <c r="CB88" i="1"/>
  <c r="CI87" i="1"/>
  <c r="CH87" i="1"/>
  <c r="CG87" i="1"/>
  <c r="CB87" i="1"/>
  <c r="CI86" i="1"/>
  <c r="CH86" i="1"/>
  <c r="CG86" i="1"/>
  <c r="CB86" i="1"/>
  <c r="CI85" i="1"/>
  <c r="CH85" i="1"/>
  <c r="CG85" i="1"/>
  <c r="CB85" i="1"/>
  <c r="CI84" i="1"/>
  <c r="CH84" i="1"/>
  <c r="CG84" i="1"/>
  <c r="CB84" i="1"/>
  <c r="CI83" i="1"/>
  <c r="CH83" i="1"/>
  <c r="CG83" i="1"/>
  <c r="CB83" i="1"/>
  <c r="CI82" i="1"/>
  <c r="CH82" i="1"/>
  <c r="CG82" i="1"/>
  <c r="CB82" i="1"/>
  <c r="CI81" i="1"/>
  <c r="CH81" i="1"/>
  <c r="CG81" i="1"/>
  <c r="CB81" i="1"/>
  <c r="CI80" i="1"/>
  <c r="CH80" i="1"/>
  <c r="CG80" i="1"/>
  <c r="CB80" i="1"/>
  <c r="CI79" i="1"/>
  <c r="CH79" i="1"/>
  <c r="CG79" i="1"/>
  <c r="CB79" i="1"/>
  <c r="CI78" i="1"/>
  <c r="CH78" i="1"/>
  <c r="CG78" i="1"/>
  <c r="CB78" i="1"/>
  <c r="CI77" i="1"/>
  <c r="CH77" i="1"/>
  <c r="CG77" i="1"/>
  <c r="CB77" i="1"/>
  <c r="CI76" i="1"/>
  <c r="CH76" i="1"/>
  <c r="CG76" i="1"/>
  <c r="CB76" i="1"/>
  <c r="CI75" i="1"/>
  <c r="CH75" i="1"/>
  <c r="CG75" i="1"/>
  <c r="CB75" i="1"/>
  <c r="CI74" i="1"/>
  <c r="CH74" i="1"/>
  <c r="CG74" i="1"/>
  <c r="CB74" i="1"/>
  <c r="CI73" i="1"/>
  <c r="CH73" i="1"/>
  <c r="CG73" i="1"/>
  <c r="CB73" i="1"/>
  <c r="CI72" i="1"/>
  <c r="CH72" i="1"/>
  <c r="CG72" i="1"/>
  <c r="CB72" i="1"/>
  <c r="CI71" i="1"/>
  <c r="CH71" i="1"/>
  <c r="CG71" i="1"/>
  <c r="CB71" i="1"/>
  <c r="CI70" i="1"/>
  <c r="CH70" i="1"/>
  <c r="CG70" i="1"/>
  <c r="CB70" i="1"/>
  <c r="CI69" i="1"/>
  <c r="CH69" i="1"/>
  <c r="CG69" i="1"/>
  <c r="CB69" i="1"/>
  <c r="CI68" i="1"/>
  <c r="CH68" i="1"/>
  <c r="CG68" i="1"/>
  <c r="CB68" i="1"/>
  <c r="CI67" i="1"/>
  <c r="CH67" i="1"/>
  <c r="CG67" i="1"/>
  <c r="CB67" i="1"/>
  <c r="CI66" i="1"/>
  <c r="CH66" i="1"/>
  <c r="CG66" i="1"/>
  <c r="CB66" i="1"/>
  <c r="CI65" i="1"/>
  <c r="CH65" i="1"/>
  <c r="CG65" i="1"/>
  <c r="CB65" i="1"/>
  <c r="CI64" i="1"/>
  <c r="CH64" i="1"/>
  <c r="CG64" i="1"/>
  <c r="CB64" i="1"/>
  <c r="CI63" i="1"/>
  <c r="CH63" i="1"/>
  <c r="CG63" i="1"/>
  <c r="CB63" i="1"/>
  <c r="CI62" i="1"/>
  <c r="CH62" i="1"/>
  <c r="CG62" i="1"/>
  <c r="CB62" i="1"/>
  <c r="CI61" i="1"/>
  <c r="CH61" i="1"/>
  <c r="CG61" i="1"/>
  <c r="CB61" i="1"/>
  <c r="CI60" i="1"/>
  <c r="CH60" i="1"/>
  <c r="CG60" i="1"/>
  <c r="CB60" i="1"/>
  <c r="CI59" i="1"/>
  <c r="CH59" i="1"/>
  <c r="CG59" i="1"/>
  <c r="CB59" i="1"/>
  <c r="CI58" i="1"/>
  <c r="CH58" i="1"/>
  <c r="CG58" i="1"/>
  <c r="CB58" i="1"/>
  <c r="CI57" i="1"/>
  <c r="CH57" i="1"/>
  <c r="CG57" i="1"/>
  <c r="CB57" i="1"/>
  <c r="CI56" i="1"/>
  <c r="CH56" i="1"/>
  <c r="CG56" i="1"/>
  <c r="CB56" i="1"/>
  <c r="CI55" i="1"/>
  <c r="CH55" i="1"/>
  <c r="CG55" i="1"/>
  <c r="CB55" i="1"/>
  <c r="CI54" i="1"/>
  <c r="CH54" i="1"/>
  <c r="CG54" i="1"/>
  <c r="CB54" i="1"/>
  <c r="CI53" i="1"/>
  <c r="CH53" i="1"/>
  <c r="CG53" i="1"/>
  <c r="CB53" i="1"/>
  <c r="CI52" i="1"/>
  <c r="CH52" i="1"/>
  <c r="CG52" i="1"/>
  <c r="CB52" i="1"/>
  <c r="CI51" i="1"/>
  <c r="CH51" i="1"/>
  <c r="CG51" i="1"/>
  <c r="CB51" i="1"/>
  <c r="CI50" i="1"/>
  <c r="CH50" i="1"/>
  <c r="CG50" i="1"/>
  <c r="CB50" i="1"/>
  <c r="CI49" i="1"/>
  <c r="CH49" i="1"/>
  <c r="CG49" i="1"/>
  <c r="CB49" i="1"/>
  <c r="CI48" i="1"/>
  <c r="CH48" i="1"/>
  <c r="CG48" i="1"/>
  <c r="CB48" i="1"/>
  <c r="CI47" i="1"/>
  <c r="CH47" i="1"/>
  <c r="CG47" i="1"/>
  <c r="CB47" i="1"/>
  <c r="CI46" i="1"/>
  <c r="CH46" i="1"/>
  <c r="CG46" i="1"/>
  <c r="CB46" i="1"/>
  <c r="CI45" i="1"/>
  <c r="CH45" i="1"/>
  <c r="CG45" i="1"/>
  <c r="CB45" i="1"/>
  <c r="CI44" i="1"/>
  <c r="CH44" i="1"/>
  <c r="CG44" i="1"/>
  <c r="CB44" i="1"/>
  <c r="CI43" i="1"/>
  <c r="CH43" i="1"/>
  <c r="CG43" i="1"/>
  <c r="CB43" i="1"/>
  <c r="CI42" i="1"/>
  <c r="CH42" i="1"/>
  <c r="CG42" i="1"/>
  <c r="CB42" i="1"/>
  <c r="CI41" i="1"/>
  <c r="CH41" i="1"/>
  <c r="CG41" i="1"/>
  <c r="CB41" i="1"/>
  <c r="CI40" i="1"/>
  <c r="CH40" i="1"/>
  <c r="CG40" i="1"/>
  <c r="CB40" i="1"/>
  <c r="CI39" i="1"/>
  <c r="CH39" i="1"/>
  <c r="CG39" i="1"/>
  <c r="CB39" i="1"/>
  <c r="CI38" i="1"/>
  <c r="CH38" i="1"/>
  <c r="CG38" i="1"/>
  <c r="CB38" i="1"/>
  <c r="CI37" i="1"/>
  <c r="CH37" i="1"/>
  <c r="CG37" i="1"/>
  <c r="CB37" i="1"/>
  <c r="CI36" i="1"/>
  <c r="CH36" i="1"/>
  <c r="CG36" i="1"/>
  <c r="CB36" i="1"/>
  <c r="CI35" i="1"/>
  <c r="CH35" i="1"/>
  <c r="CG35" i="1"/>
  <c r="CB35" i="1"/>
  <c r="CI34" i="1"/>
  <c r="CH34" i="1"/>
  <c r="CG34" i="1"/>
  <c r="CB34" i="1"/>
  <c r="CI33" i="1"/>
  <c r="CH33" i="1"/>
  <c r="CG33" i="1"/>
  <c r="CB33" i="1"/>
  <c r="CI32" i="1"/>
  <c r="CH32" i="1"/>
  <c r="CG32" i="1"/>
  <c r="CB32" i="1"/>
  <c r="CI31" i="1"/>
  <c r="CH31" i="1"/>
  <c r="CG31" i="1"/>
  <c r="CB31" i="1"/>
  <c r="CI30" i="1"/>
  <c r="CH30" i="1"/>
  <c r="CG30" i="1"/>
  <c r="CB30" i="1"/>
  <c r="CI29" i="1"/>
  <c r="CH29" i="1"/>
  <c r="CG29" i="1"/>
  <c r="CB29" i="1"/>
  <c r="CI28" i="1"/>
  <c r="CH28" i="1"/>
  <c r="CG28" i="1"/>
  <c r="CB28" i="1"/>
  <c r="CI27" i="1"/>
  <c r="CH27" i="1"/>
  <c r="CG27" i="1"/>
  <c r="CB27" i="1"/>
  <c r="CI26" i="1"/>
  <c r="CH26" i="1"/>
  <c r="CG26" i="1"/>
  <c r="CB26" i="1"/>
  <c r="CI25" i="1"/>
  <c r="CH25" i="1"/>
  <c r="CG25" i="1"/>
  <c r="CB25" i="1"/>
  <c r="CI24" i="1"/>
  <c r="CH24" i="1"/>
  <c r="CG24" i="1"/>
  <c r="CB24" i="1"/>
  <c r="CI23" i="1"/>
  <c r="CH23" i="1"/>
  <c r="CG23" i="1"/>
  <c r="CB23" i="1"/>
  <c r="CI22" i="1"/>
  <c r="CH22" i="1"/>
  <c r="CG22" i="1"/>
  <c r="CB22" i="1"/>
  <c r="CI21" i="1"/>
  <c r="CH21" i="1"/>
  <c r="CG21" i="1"/>
  <c r="CB21" i="1"/>
  <c r="CI20" i="1"/>
  <c r="CH20" i="1"/>
  <c r="CG20" i="1"/>
  <c r="CB20" i="1"/>
  <c r="CI19" i="1"/>
  <c r="CH19" i="1"/>
  <c r="CG19" i="1"/>
  <c r="CB19" i="1"/>
  <c r="CI18" i="1"/>
  <c r="CH18" i="1"/>
  <c r="CG18" i="1"/>
  <c r="CB18" i="1"/>
  <c r="CI17" i="1"/>
  <c r="CH17" i="1"/>
  <c r="CG17" i="1"/>
  <c r="CB17" i="1"/>
  <c r="CI16" i="1"/>
  <c r="CH16" i="1"/>
  <c r="CG16" i="1"/>
  <c r="CB16" i="1"/>
  <c r="CI15" i="1"/>
  <c r="CH15" i="1"/>
  <c r="CG15" i="1"/>
  <c r="CB15" i="1"/>
  <c r="CI14" i="1"/>
  <c r="CH14" i="1"/>
  <c r="CG14" i="1"/>
  <c r="CB14" i="1"/>
  <c r="O410" i="5" l="1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M412" i="1" l="1"/>
  <c r="K412" i="1"/>
  <c r="J412" i="1"/>
  <c r="H412" i="1"/>
  <c r="CR412" i="1" s="1"/>
  <c r="G412" i="1"/>
  <c r="CQ412" i="1" s="1"/>
  <c r="CT412" i="1" s="1"/>
  <c r="E412" i="1"/>
  <c r="D412" i="1"/>
  <c r="B412" i="1"/>
  <c r="M411" i="1"/>
  <c r="K411" i="1"/>
  <c r="J411" i="1"/>
  <c r="H411" i="1"/>
  <c r="CR411" i="1" s="1"/>
  <c r="G411" i="1"/>
  <c r="CQ411" i="1" s="1"/>
  <c r="CT411" i="1" s="1"/>
  <c r="E411" i="1"/>
  <c r="D411" i="1"/>
  <c r="B411" i="1"/>
  <c r="Q411" i="1" s="1"/>
  <c r="T411" i="1" s="1"/>
  <c r="U411" i="1" s="1"/>
  <c r="M410" i="1"/>
  <c r="K410" i="1"/>
  <c r="J410" i="1"/>
  <c r="H410" i="1"/>
  <c r="CR410" i="1" s="1"/>
  <c r="G410" i="1"/>
  <c r="CQ410" i="1" s="1"/>
  <c r="E410" i="1"/>
  <c r="D410" i="1"/>
  <c r="B410" i="1"/>
  <c r="Q410" i="1" s="1"/>
  <c r="T410" i="1" s="1"/>
  <c r="U410" i="1" s="1"/>
  <c r="M409" i="1"/>
  <c r="K409" i="1"/>
  <c r="J409" i="1"/>
  <c r="H409" i="1"/>
  <c r="CR409" i="1" s="1"/>
  <c r="G409" i="1"/>
  <c r="CQ409" i="1" s="1"/>
  <c r="CT409" i="1" s="1"/>
  <c r="EJ409" i="1" s="1"/>
  <c r="E409" i="1"/>
  <c r="D409" i="1"/>
  <c r="B409" i="1"/>
  <c r="Q409" i="1" s="1"/>
  <c r="T409" i="1" s="1"/>
  <c r="U409" i="1" s="1"/>
  <c r="M408" i="1"/>
  <c r="K408" i="1"/>
  <c r="J408" i="1"/>
  <c r="H408" i="1"/>
  <c r="CR408" i="1" s="1"/>
  <c r="G408" i="1"/>
  <c r="CQ408" i="1" s="1"/>
  <c r="CT408" i="1" s="1"/>
  <c r="EJ408" i="1" s="1"/>
  <c r="E408" i="1"/>
  <c r="D408" i="1"/>
  <c r="B408" i="1"/>
  <c r="Q408" i="1" s="1"/>
  <c r="T408" i="1" s="1"/>
  <c r="U408" i="1" s="1"/>
  <c r="M407" i="1"/>
  <c r="K407" i="1"/>
  <c r="J407" i="1"/>
  <c r="H407" i="1"/>
  <c r="CR407" i="1" s="1"/>
  <c r="G407" i="1"/>
  <c r="CQ407" i="1" s="1"/>
  <c r="CT407" i="1" s="1"/>
  <c r="EJ407" i="1" s="1"/>
  <c r="E407" i="1"/>
  <c r="D407" i="1"/>
  <c r="B407" i="1"/>
  <c r="Q407" i="1" s="1"/>
  <c r="T407" i="1" s="1"/>
  <c r="U407" i="1" s="1"/>
  <c r="M406" i="1"/>
  <c r="K406" i="1"/>
  <c r="J406" i="1"/>
  <c r="H406" i="1"/>
  <c r="CR406" i="1" s="1"/>
  <c r="G406" i="1"/>
  <c r="CQ406" i="1" s="1"/>
  <c r="E406" i="1"/>
  <c r="D406" i="1"/>
  <c r="B406" i="1"/>
  <c r="Q406" i="1" s="1"/>
  <c r="T406" i="1" s="1"/>
  <c r="U406" i="1" s="1"/>
  <c r="M405" i="1"/>
  <c r="K405" i="1"/>
  <c r="J405" i="1"/>
  <c r="H405" i="1"/>
  <c r="CR405" i="1" s="1"/>
  <c r="G405" i="1"/>
  <c r="CQ405" i="1" s="1"/>
  <c r="CT405" i="1" s="1"/>
  <c r="E405" i="1"/>
  <c r="D405" i="1"/>
  <c r="B405" i="1"/>
  <c r="Q405" i="1" s="1"/>
  <c r="T405" i="1" s="1"/>
  <c r="U405" i="1" s="1"/>
  <c r="M404" i="1"/>
  <c r="K404" i="1"/>
  <c r="J404" i="1"/>
  <c r="H404" i="1"/>
  <c r="CR404" i="1" s="1"/>
  <c r="G404" i="1"/>
  <c r="CQ404" i="1" s="1"/>
  <c r="CT404" i="1" s="1"/>
  <c r="E404" i="1"/>
  <c r="D404" i="1"/>
  <c r="B404" i="1"/>
  <c r="Q404" i="1" s="1"/>
  <c r="T404" i="1" s="1"/>
  <c r="U404" i="1" s="1"/>
  <c r="M403" i="1"/>
  <c r="K403" i="1"/>
  <c r="J403" i="1"/>
  <c r="H403" i="1"/>
  <c r="CR403" i="1" s="1"/>
  <c r="G403" i="1"/>
  <c r="CQ403" i="1" s="1"/>
  <c r="CT403" i="1" s="1"/>
  <c r="E403" i="1"/>
  <c r="D403" i="1"/>
  <c r="B403" i="1"/>
  <c r="M402" i="1"/>
  <c r="K402" i="1"/>
  <c r="J402" i="1"/>
  <c r="H402" i="1"/>
  <c r="CR402" i="1" s="1"/>
  <c r="G402" i="1"/>
  <c r="CQ402" i="1" s="1"/>
  <c r="E402" i="1"/>
  <c r="D402" i="1"/>
  <c r="B402" i="1"/>
  <c r="Q402" i="1" s="1"/>
  <c r="T402" i="1" s="1"/>
  <c r="U402" i="1" s="1"/>
  <c r="M401" i="1"/>
  <c r="K401" i="1"/>
  <c r="J401" i="1"/>
  <c r="H401" i="1"/>
  <c r="CR401" i="1" s="1"/>
  <c r="G401" i="1"/>
  <c r="CQ401" i="1" s="1"/>
  <c r="E401" i="1"/>
  <c r="D401" i="1"/>
  <c r="B401" i="1"/>
  <c r="Q401" i="1" s="1"/>
  <c r="T401" i="1" s="1"/>
  <c r="U401" i="1" s="1"/>
  <c r="M400" i="1"/>
  <c r="K400" i="1"/>
  <c r="J400" i="1"/>
  <c r="H400" i="1"/>
  <c r="CR400" i="1" s="1"/>
  <c r="G400" i="1"/>
  <c r="CQ400" i="1" s="1"/>
  <c r="CT400" i="1" s="1"/>
  <c r="E400" i="1"/>
  <c r="D400" i="1"/>
  <c r="B400" i="1"/>
  <c r="Q400" i="1" s="1"/>
  <c r="T400" i="1" s="1"/>
  <c r="U400" i="1" s="1"/>
  <c r="M399" i="1"/>
  <c r="K399" i="1"/>
  <c r="J399" i="1"/>
  <c r="H399" i="1"/>
  <c r="CR399" i="1" s="1"/>
  <c r="G399" i="1"/>
  <c r="CQ399" i="1" s="1"/>
  <c r="CT399" i="1" s="1"/>
  <c r="EJ399" i="1" s="1"/>
  <c r="E399" i="1"/>
  <c r="D399" i="1"/>
  <c r="B399" i="1"/>
  <c r="Q399" i="1" s="1"/>
  <c r="T399" i="1" s="1"/>
  <c r="U399" i="1" s="1"/>
  <c r="M398" i="1"/>
  <c r="K398" i="1"/>
  <c r="J398" i="1"/>
  <c r="H398" i="1"/>
  <c r="CR398" i="1" s="1"/>
  <c r="G398" i="1"/>
  <c r="CQ398" i="1" s="1"/>
  <c r="E398" i="1"/>
  <c r="D398" i="1"/>
  <c r="B398" i="1"/>
  <c r="Q398" i="1" s="1"/>
  <c r="T398" i="1" s="1"/>
  <c r="U398" i="1" s="1"/>
  <c r="M397" i="1"/>
  <c r="K397" i="1"/>
  <c r="J397" i="1"/>
  <c r="H397" i="1"/>
  <c r="CR397" i="1" s="1"/>
  <c r="G397" i="1"/>
  <c r="CQ397" i="1" s="1"/>
  <c r="CT397" i="1" s="1"/>
  <c r="E397" i="1"/>
  <c r="D397" i="1"/>
  <c r="B397" i="1"/>
  <c r="Q397" i="1" s="1"/>
  <c r="T397" i="1" s="1"/>
  <c r="U397" i="1" s="1"/>
  <c r="M396" i="1"/>
  <c r="K396" i="1"/>
  <c r="J396" i="1"/>
  <c r="H396" i="1"/>
  <c r="CR396" i="1" s="1"/>
  <c r="G396" i="1"/>
  <c r="CQ396" i="1" s="1"/>
  <c r="E396" i="1"/>
  <c r="D396" i="1"/>
  <c r="B396" i="1"/>
  <c r="Q396" i="1" s="1"/>
  <c r="T396" i="1" s="1"/>
  <c r="U396" i="1" s="1"/>
  <c r="M395" i="1"/>
  <c r="K395" i="1"/>
  <c r="J395" i="1"/>
  <c r="H395" i="1"/>
  <c r="CR395" i="1" s="1"/>
  <c r="G395" i="1"/>
  <c r="CQ395" i="1" s="1"/>
  <c r="CT395" i="1" s="1"/>
  <c r="E395" i="1"/>
  <c r="D395" i="1"/>
  <c r="B395" i="1"/>
  <c r="Q395" i="1" s="1"/>
  <c r="T395" i="1" s="1"/>
  <c r="U395" i="1" s="1"/>
  <c r="M394" i="1"/>
  <c r="K394" i="1"/>
  <c r="J394" i="1"/>
  <c r="H394" i="1"/>
  <c r="CR394" i="1" s="1"/>
  <c r="G394" i="1"/>
  <c r="CQ394" i="1" s="1"/>
  <c r="E394" i="1"/>
  <c r="D394" i="1"/>
  <c r="B394" i="1"/>
  <c r="Q394" i="1" s="1"/>
  <c r="T394" i="1" s="1"/>
  <c r="U394" i="1" s="1"/>
  <c r="M393" i="1"/>
  <c r="K393" i="1"/>
  <c r="J393" i="1"/>
  <c r="H393" i="1"/>
  <c r="CR393" i="1" s="1"/>
  <c r="G393" i="1"/>
  <c r="CQ393" i="1" s="1"/>
  <c r="CT393" i="1" s="1"/>
  <c r="EJ393" i="1" s="1"/>
  <c r="E393" i="1"/>
  <c r="D393" i="1"/>
  <c r="B393" i="1"/>
  <c r="Q393" i="1" s="1"/>
  <c r="T393" i="1" s="1"/>
  <c r="U393" i="1" s="1"/>
  <c r="M392" i="1"/>
  <c r="K392" i="1"/>
  <c r="J392" i="1"/>
  <c r="H392" i="1"/>
  <c r="CR392" i="1" s="1"/>
  <c r="G392" i="1"/>
  <c r="CQ392" i="1" s="1"/>
  <c r="E392" i="1"/>
  <c r="D392" i="1"/>
  <c r="B392" i="1"/>
  <c r="Q392" i="1" s="1"/>
  <c r="T392" i="1" s="1"/>
  <c r="U392" i="1" s="1"/>
  <c r="M391" i="1"/>
  <c r="K391" i="1"/>
  <c r="J391" i="1"/>
  <c r="H391" i="1"/>
  <c r="CR391" i="1" s="1"/>
  <c r="G391" i="1"/>
  <c r="CQ391" i="1" s="1"/>
  <c r="CT391" i="1" s="1"/>
  <c r="E391" i="1"/>
  <c r="D391" i="1"/>
  <c r="B391" i="1"/>
  <c r="M390" i="1"/>
  <c r="K390" i="1"/>
  <c r="J390" i="1"/>
  <c r="H390" i="1"/>
  <c r="CR390" i="1" s="1"/>
  <c r="G390" i="1"/>
  <c r="CQ390" i="1" s="1"/>
  <c r="E390" i="1"/>
  <c r="D390" i="1"/>
  <c r="B390" i="1"/>
  <c r="Q390" i="1" s="1"/>
  <c r="T390" i="1" s="1"/>
  <c r="U390" i="1" s="1"/>
  <c r="M389" i="1"/>
  <c r="K389" i="1"/>
  <c r="J389" i="1"/>
  <c r="H389" i="1"/>
  <c r="CR389" i="1" s="1"/>
  <c r="G389" i="1"/>
  <c r="CQ389" i="1" s="1"/>
  <c r="CT389" i="1" s="1"/>
  <c r="EJ389" i="1" s="1"/>
  <c r="E389" i="1"/>
  <c r="D389" i="1"/>
  <c r="B389" i="1"/>
  <c r="Q389" i="1" s="1"/>
  <c r="T389" i="1" s="1"/>
  <c r="U389" i="1" s="1"/>
  <c r="M388" i="1"/>
  <c r="K388" i="1"/>
  <c r="J388" i="1"/>
  <c r="H388" i="1"/>
  <c r="CR388" i="1" s="1"/>
  <c r="G388" i="1"/>
  <c r="CQ388" i="1" s="1"/>
  <c r="CT388" i="1" s="1"/>
  <c r="EJ388" i="1" s="1"/>
  <c r="E388" i="1"/>
  <c r="D388" i="1"/>
  <c r="B388" i="1"/>
  <c r="Q388" i="1" s="1"/>
  <c r="T388" i="1" s="1"/>
  <c r="U388" i="1" s="1"/>
  <c r="M387" i="1"/>
  <c r="K387" i="1"/>
  <c r="J387" i="1"/>
  <c r="H387" i="1"/>
  <c r="CR387" i="1" s="1"/>
  <c r="G387" i="1"/>
  <c r="CQ387" i="1" s="1"/>
  <c r="E387" i="1"/>
  <c r="D387" i="1"/>
  <c r="B387" i="1"/>
  <c r="Q387" i="1" s="1"/>
  <c r="T387" i="1" s="1"/>
  <c r="U387" i="1" s="1"/>
  <c r="M386" i="1"/>
  <c r="K386" i="1"/>
  <c r="J386" i="1"/>
  <c r="H386" i="1"/>
  <c r="CR386" i="1" s="1"/>
  <c r="G386" i="1"/>
  <c r="CQ386" i="1" s="1"/>
  <c r="E386" i="1"/>
  <c r="D386" i="1"/>
  <c r="B386" i="1"/>
  <c r="Q386" i="1" s="1"/>
  <c r="T386" i="1" s="1"/>
  <c r="U386" i="1" s="1"/>
  <c r="M385" i="1"/>
  <c r="K385" i="1"/>
  <c r="J385" i="1"/>
  <c r="H385" i="1"/>
  <c r="CR385" i="1" s="1"/>
  <c r="G385" i="1"/>
  <c r="CQ385" i="1" s="1"/>
  <c r="E385" i="1"/>
  <c r="D385" i="1"/>
  <c r="B385" i="1"/>
  <c r="M384" i="1"/>
  <c r="K384" i="1"/>
  <c r="J384" i="1"/>
  <c r="H384" i="1"/>
  <c r="CR384" i="1" s="1"/>
  <c r="G384" i="1"/>
  <c r="CQ384" i="1" s="1"/>
  <c r="CT384" i="1" s="1"/>
  <c r="E384" i="1"/>
  <c r="D384" i="1"/>
  <c r="B384" i="1"/>
  <c r="M383" i="1"/>
  <c r="K383" i="1"/>
  <c r="J383" i="1"/>
  <c r="H383" i="1"/>
  <c r="CR383" i="1" s="1"/>
  <c r="G383" i="1"/>
  <c r="CQ383" i="1" s="1"/>
  <c r="CT383" i="1" s="1"/>
  <c r="E383" i="1"/>
  <c r="D383" i="1"/>
  <c r="B383" i="1"/>
  <c r="Q383" i="1" s="1"/>
  <c r="T383" i="1" s="1"/>
  <c r="U383" i="1" s="1"/>
  <c r="M382" i="1"/>
  <c r="K382" i="1"/>
  <c r="J382" i="1"/>
  <c r="H382" i="1"/>
  <c r="CR382" i="1" s="1"/>
  <c r="G382" i="1"/>
  <c r="CQ382" i="1" s="1"/>
  <c r="CT382" i="1" s="1"/>
  <c r="E382" i="1"/>
  <c r="D382" i="1"/>
  <c r="B382" i="1"/>
  <c r="Q382" i="1" s="1"/>
  <c r="T382" i="1" s="1"/>
  <c r="U382" i="1" s="1"/>
  <c r="M381" i="1"/>
  <c r="K381" i="1"/>
  <c r="J381" i="1"/>
  <c r="H381" i="1"/>
  <c r="CR381" i="1" s="1"/>
  <c r="G381" i="1"/>
  <c r="CQ381" i="1" s="1"/>
  <c r="CT381" i="1" s="1"/>
  <c r="EJ381" i="1" s="1"/>
  <c r="E381" i="1"/>
  <c r="D381" i="1"/>
  <c r="B381" i="1"/>
  <c r="Q381" i="1" s="1"/>
  <c r="T381" i="1" s="1"/>
  <c r="U381" i="1" s="1"/>
  <c r="M380" i="1"/>
  <c r="K380" i="1"/>
  <c r="J380" i="1"/>
  <c r="H380" i="1"/>
  <c r="CR380" i="1" s="1"/>
  <c r="G380" i="1"/>
  <c r="CQ380" i="1" s="1"/>
  <c r="E380" i="1"/>
  <c r="D380" i="1"/>
  <c r="B380" i="1"/>
  <c r="Q380" i="1" s="1"/>
  <c r="T380" i="1" s="1"/>
  <c r="U380" i="1" s="1"/>
  <c r="M379" i="1"/>
  <c r="K379" i="1"/>
  <c r="J379" i="1"/>
  <c r="H379" i="1"/>
  <c r="CR379" i="1" s="1"/>
  <c r="G379" i="1"/>
  <c r="CQ379" i="1" s="1"/>
  <c r="CT379" i="1" s="1"/>
  <c r="E379" i="1"/>
  <c r="D379" i="1"/>
  <c r="B379" i="1"/>
  <c r="Q379" i="1" s="1"/>
  <c r="T379" i="1" s="1"/>
  <c r="U379" i="1" s="1"/>
  <c r="M378" i="1"/>
  <c r="K378" i="1"/>
  <c r="J378" i="1"/>
  <c r="H378" i="1"/>
  <c r="CR378" i="1" s="1"/>
  <c r="G378" i="1"/>
  <c r="CQ378" i="1" s="1"/>
  <c r="CT378" i="1" s="1"/>
  <c r="EJ378" i="1" s="1"/>
  <c r="E378" i="1"/>
  <c r="D378" i="1"/>
  <c r="B378" i="1"/>
  <c r="Q378" i="1" s="1"/>
  <c r="T378" i="1" s="1"/>
  <c r="U378" i="1" s="1"/>
  <c r="M377" i="1"/>
  <c r="K377" i="1"/>
  <c r="J377" i="1"/>
  <c r="H377" i="1"/>
  <c r="CR377" i="1" s="1"/>
  <c r="G377" i="1"/>
  <c r="CQ377" i="1" s="1"/>
  <c r="CT377" i="1" s="1"/>
  <c r="E377" i="1"/>
  <c r="D377" i="1"/>
  <c r="B377" i="1"/>
  <c r="Q377" i="1" s="1"/>
  <c r="T377" i="1" s="1"/>
  <c r="U377" i="1" s="1"/>
  <c r="M376" i="1"/>
  <c r="K376" i="1"/>
  <c r="J376" i="1"/>
  <c r="H376" i="1"/>
  <c r="CR376" i="1" s="1"/>
  <c r="G376" i="1"/>
  <c r="CQ376" i="1" s="1"/>
  <c r="E376" i="1"/>
  <c r="D376" i="1"/>
  <c r="B376" i="1"/>
  <c r="Q376" i="1" s="1"/>
  <c r="T376" i="1" s="1"/>
  <c r="U376" i="1" s="1"/>
  <c r="M375" i="1"/>
  <c r="K375" i="1"/>
  <c r="J375" i="1"/>
  <c r="H375" i="1"/>
  <c r="CR375" i="1" s="1"/>
  <c r="G375" i="1"/>
  <c r="CQ375" i="1" s="1"/>
  <c r="CT375" i="1" s="1"/>
  <c r="E375" i="1"/>
  <c r="D375" i="1"/>
  <c r="B375" i="1"/>
  <c r="Q375" i="1" s="1"/>
  <c r="T375" i="1" s="1"/>
  <c r="U375" i="1" s="1"/>
  <c r="M374" i="1"/>
  <c r="K374" i="1"/>
  <c r="J374" i="1"/>
  <c r="H374" i="1"/>
  <c r="CR374" i="1" s="1"/>
  <c r="G374" i="1"/>
  <c r="CQ374" i="1" s="1"/>
  <c r="E374" i="1"/>
  <c r="D374" i="1"/>
  <c r="B374" i="1"/>
  <c r="Q374" i="1" s="1"/>
  <c r="T374" i="1" s="1"/>
  <c r="U374" i="1" s="1"/>
  <c r="M373" i="1"/>
  <c r="K373" i="1"/>
  <c r="J373" i="1"/>
  <c r="H373" i="1"/>
  <c r="CR373" i="1" s="1"/>
  <c r="G373" i="1"/>
  <c r="CQ373" i="1" s="1"/>
  <c r="E373" i="1"/>
  <c r="D373" i="1"/>
  <c r="B373" i="1"/>
  <c r="M372" i="1"/>
  <c r="K372" i="1"/>
  <c r="J372" i="1"/>
  <c r="H372" i="1"/>
  <c r="CR372" i="1" s="1"/>
  <c r="G372" i="1"/>
  <c r="CQ372" i="1" s="1"/>
  <c r="CT372" i="1" s="1"/>
  <c r="EJ372" i="1" s="1"/>
  <c r="E372" i="1"/>
  <c r="D372" i="1"/>
  <c r="B372" i="1"/>
  <c r="Q372" i="1" s="1"/>
  <c r="T372" i="1" s="1"/>
  <c r="U372" i="1" s="1"/>
  <c r="M371" i="1"/>
  <c r="K371" i="1"/>
  <c r="J371" i="1"/>
  <c r="H371" i="1"/>
  <c r="CR371" i="1" s="1"/>
  <c r="G371" i="1"/>
  <c r="CQ371" i="1" s="1"/>
  <c r="E371" i="1"/>
  <c r="D371" i="1"/>
  <c r="B371" i="1"/>
  <c r="Q371" i="1" s="1"/>
  <c r="T371" i="1" s="1"/>
  <c r="U371" i="1" s="1"/>
  <c r="M370" i="1"/>
  <c r="K370" i="1"/>
  <c r="J370" i="1"/>
  <c r="H370" i="1"/>
  <c r="CR370" i="1" s="1"/>
  <c r="G370" i="1"/>
  <c r="CQ370" i="1" s="1"/>
  <c r="E370" i="1"/>
  <c r="O370" i="1" s="1"/>
  <c r="D370" i="1"/>
  <c r="B370" i="1"/>
  <c r="Q370" i="1" s="1"/>
  <c r="T370" i="1" s="1"/>
  <c r="U370" i="1" s="1"/>
  <c r="M369" i="1"/>
  <c r="K369" i="1"/>
  <c r="J369" i="1"/>
  <c r="H369" i="1"/>
  <c r="CR369" i="1" s="1"/>
  <c r="G369" i="1"/>
  <c r="CQ369" i="1" s="1"/>
  <c r="E369" i="1"/>
  <c r="D369" i="1"/>
  <c r="B369" i="1"/>
  <c r="Q369" i="1" s="1"/>
  <c r="T369" i="1" s="1"/>
  <c r="U369" i="1" s="1"/>
  <c r="M368" i="1"/>
  <c r="K368" i="1"/>
  <c r="J368" i="1"/>
  <c r="H368" i="1"/>
  <c r="CR368" i="1" s="1"/>
  <c r="G368" i="1"/>
  <c r="CQ368" i="1" s="1"/>
  <c r="CT368" i="1" s="1"/>
  <c r="EJ368" i="1" s="1"/>
  <c r="E368" i="1"/>
  <c r="D368" i="1"/>
  <c r="B368" i="1"/>
  <c r="Q368" i="1" s="1"/>
  <c r="T368" i="1" s="1"/>
  <c r="U368" i="1" s="1"/>
  <c r="M367" i="1"/>
  <c r="K367" i="1"/>
  <c r="J367" i="1"/>
  <c r="H367" i="1"/>
  <c r="CR367" i="1" s="1"/>
  <c r="G367" i="1"/>
  <c r="CQ367" i="1" s="1"/>
  <c r="CT367" i="1" s="1"/>
  <c r="E367" i="1"/>
  <c r="D367" i="1"/>
  <c r="B367" i="1"/>
  <c r="Q367" i="1" s="1"/>
  <c r="T367" i="1" s="1"/>
  <c r="U367" i="1" s="1"/>
  <c r="M366" i="1"/>
  <c r="K366" i="1"/>
  <c r="J366" i="1"/>
  <c r="H366" i="1"/>
  <c r="CR366" i="1" s="1"/>
  <c r="G366" i="1"/>
  <c r="CQ366" i="1" s="1"/>
  <c r="E366" i="1"/>
  <c r="D366" i="1"/>
  <c r="B366" i="1"/>
  <c r="Q366" i="1" s="1"/>
  <c r="T366" i="1" s="1"/>
  <c r="U366" i="1" s="1"/>
  <c r="M365" i="1"/>
  <c r="K365" i="1"/>
  <c r="J365" i="1"/>
  <c r="H365" i="1"/>
  <c r="CR365" i="1" s="1"/>
  <c r="G365" i="1"/>
  <c r="CQ365" i="1" s="1"/>
  <c r="CT365" i="1" s="1"/>
  <c r="EJ365" i="1" s="1"/>
  <c r="E365" i="1"/>
  <c r="D365" i="1"/>
  <c r="B365" i="1"/>
  <c r="Q365" i="1" s="1"/>
  <c r="T365" i="1" s="1"/>
  <c r="U365" i="1" s="1"/>
  <c r="M364" i="1"/>
  <c r="K364" i="1"/>
  <c r="J364" i="1"/>
  <c r="H364" i="1"/>
  <c r="CR364" i="1" s="1"/>
  <c r="G364" i="1"/>
  <c r="CQ364" i="1" s="1"/>
  <c r="E364" i="1"/>
  <c r="D364" i="1"/>
  <c r="B364" i="1"/>
  <c r="M363" i="1"/>
  <c r="K363" i="1"/>
  <c r="J363" i="1"/>
  <c r="H363" i="1"/>
  <c r="CR363" i="1" s="1"/>
  <c r="G363" i="1"/>
  <c r="CQ363" i="1" s="1"/>
  <c r="CT363" i="1" s="1"/>
  <c r="E363" i="1"/>
  <c r="D363" i="1"/>
  <c r="B363" i="1"/>
  <c r="M362" i="1"/>
  <c r="K362" i="1"/>
  <c r="J362" i="1"/>
  <c r="H362" i="1"/>
  <c r="CR362" i="1" s="1"/>
  <c r="G362" i="1"/>
  <c r="CQ362" i="1" s="1"/>
  <c r="E362" i="1"/>
  <c r="D362" i="1"/>
  <c r="B362" i="1"/>
  <c r="Q362" i="1" s="1"/>
  <c r="T362" i="1" s="1"/>
  <c r="U362" i="1" s="1"/>
  <c r="M361" i="1"/>
  <c r="K361" i="1"/>
  <c r="J361" i="1"/>
  <c r="H361" i="1"/>
  <c r="CR361" i="1" s="1"/>
  <c r="G361" i="1"/>
  <c r="CQ361" i="1" s="1"/>
  <c r="CT361" i="1" s="1"/>
  <c r="EJ361" i="1" s="1"/>
  <c r="E361" i="1"/>
  <c r="D361" i="1"/>
  <c r="B361" i="1"/>
  <c r="Q361" i="1" s="1"/>
  <c r="T361" i="1" s="1"/>
  <c r="U361" i="1" s="1"/>
  <c r="M360" i="1"/>
  <c r="K360" i="1"/>
  <c r="J360" i="1"/>
  <c r="H360" i="1"/>
  <c r="CR360" i="1" s="1"/>
  <c r="G360" i="1"/>
  <c r="CQ360" i="1" s="1"/>
  <c r="E360" i="1"/>
  <c r="D360" i="1"/>
  <c r="B360" i="1"/>
  <c r="M359" i="1"/>
  <c r="K359" i="1"/>
  <c r="J359" i="1"/>
  <c r="H359" i="1"/>
  <c r="CR359" i="1" s="1"/>
  <c r="G359" i="1"/>
  <c r="CQ359" i="1" s="1"/>
  <c r="CT359" i="1" s="1"/>
  <c r="E359" i="1"/>
  <c r="D359" i="1"/>
  <c r="B359" i="1"/>
  <c r="Q359" i="1" s="1"/>
  <c r="T359" i="1" s="1"/>
  <c r="U359" i="1" s="1"/>
  <c r="M358" i="1"/>
  <c r="K358" i="1"/>
  <c r="J358" i="1"/>
  <c r="H358" i="1"/>
  <c r="CR358" i="1" s="1"/>
  <c r="G358" i="1"/>
  <c r="CQ358" i="1" s="1"/>
  <c r="E358" i="1"/>
  <c r="D358" i="1"/>
  <c r="B358" i="1"/>
  <c r="M357" i="1"/>
  <c r="K357" i="1"/>
  <c r="J357" i="1"/>
  <c r="H357" i="1"/>
  <c r="CR357" i="1" s="1"/>
  <c r="G357" i="1"/>
  <c r="CQ357" i="1" s="1"/>
  <c r="CT357" i="1" s="1"/>
  <c r="EJ357" i="1" s="1"/>
  <c r="E357" i="1"/>
  <c r="D357" i="1"/>
  <c r="B357" i="1"/>
  <c r="Q357" i="1" s="1"/>
  <c r="T357" i="1" s="1"/>
  <c r="U357" i="1" s="1"/>
  <c r="M356" i="1"/>
  <c r="K356" i="1"/>
  <c r="J356" i="1"/>
  <c r="H356" i="1"/>
  <c r="CR356" i="1" s="1"/>
  <c r="G356" i="1"/>
  <c r="CQ356" i="1" s="1"/>
  <c r="CT356" i="1" s="1"/>
  <c r="E356" i="1"/>
  <c r="D356" i="1"/>
  <c r="B356" i="1"/>
  <c r="Q356" i="1" s="1"/>
  <c r="T356" i="1" s="1"/>
  <c r="U356" i="1" s="1"/>
  <c r="M355" i="1"/>
  <c r="K355" i="1"/>
  <c r="J355" i="1"/>
  <c r="H355" i="1"/>
  <c r="CR355" i="1" s="1"/>
  <c r="G355" i="1"/>
  <c r="CQ355" i="1" s="1"/>
  <c r="E355" i="1"/>
  <c r="D355" i="1"/>
  <c r="B355" i="1"/>
  <c r="Q355" i="1" s="1"/>
  <c r="T355" i="1" s="1"/>
  <c r="U355" i="1" s="1"/>
  <c r="M354" i="1"/>
  <c r="K354" i="1"/>
  <c r="J354" i="1"/>
  <c r="H354" i="1"/>
  <c r="CR354" i="1" s="1"/>
  <c r="G354" i="1"/>
  <c r="CQ354" i="1" s="1"/>
  <c r="E354" i="1"/>
  <c r="D354" i="1"/>
  <c r="B354" i="1"/>
  <c r="Q354" i="1" s="1"/>
  <c r="T354" i="1" s="1"/>
  <c r="U354" i="1" s="1"/>
  <c r="M353" i="1"/>
  <c r="K353" i="1"/>
  <c r="J353" i="1"/>
  <c r="H353" i="1"/>
  <c r="CR353" i="1" s="1"/>
  <c r="G353" i="1"/>
  <c r="CQ353" i="1" s="1"/>
  <c r="E353" i="1"/>
  <c r="D353" i="1"/>
  <c r="B353" i="1"/>
  <c r="Q353" i="1" s="1"/>
  <c r="T353" i="1" s="1"/>
  <c r="U353" i="1" s="1"/>
  <c r="M352" i="1"/>
  <c r="K352" i="1"/>
  <c r="J352" i="1"/>
  <c r="H352" i="1"/>
  <c r="CR352" i="1" s="1"/>
  <c r="G352" i="1"/>
  <c r="CQ352" i="1" s="1"/>
  <c r="CT352" i="1" s="1"/>
  <c r="EJ352" i="1" s="1"/>
  <c r="E352" i="1"/>
  <c r="D352" i="1"/>
  <c r="B352" i="1"/>
  <c r="M351" i="1"/>
  <c r="K351" i="1"/>
  <c r="J351" i="1"/>
  <c r="H351" i="1"/>
  <c r="CR351" i="1" s="1"/>
  <c r="G351" i="1"/>
  <c r="CQ351" i="1" s="1"/>
  <c r="CT351" i="1" s="1"/>
  <c r="EJ351" i="1" s="1"/>
  <c r="E351" i="1"/>
  <c r="D351" i="1"/>
  <c r="B351" i="1"/>
  <c r="Q351" i="1" s="1"/>
  <c r="T351" i="1" s="1"/>
  <c r="U351" i="1" s="1"/>
  <c r="M350" i="1"/>
  <c r="K350" i="1"/>
  <c r="J350" i="1"/>
  <c r="H350" i="1"/>
  <c r="CR350" i="1" s="1"/>
  <c r="G350" i="1"/>
  <c r="CQ350" i="1" s="1"/>
  <c r="E350" i="1"/>
  <c r="D350" i="1"/>
  <c r="B350" i="1"/>
  <c r="Q350" i="1" s="1"/>
  <c r="T350" i="1" s="1"/>
  <c r="U350" i="1" s="1"/>
  <c r="M349" i="1"/>
  <c r="K349" i="1"/>
  <c r="J349" i="1"/>
  <c r="H349" i="1"/>
  <c r="CR349" i="1" s="1"/>
  <c r="G349" i="1"/>
  <c r="CQ349" i="1" s="1"/>
  <c r="CT349" i="1" s="1"/>
  <c r="E349" i="1"/>
  <c r="D349" i="1"/>
  <c r="B349" i="1"/>
  <c r="Q349" i="1" s="1"/>
  <c r="T349" i="1" s="1"/>
  <c r="U349" i="1" s="1"/>
  <c r="M348" i="1"/>
  <c r="K348" i="1"/>
  <c r="J348" i="1"/>
  <c r="H348" i="1"/>
  <c r="CR348" i="1" s="1"/>
  <c r="G348" i="1"/>
  <c r="CQ348" i="1" s="1"/>
  <c r="E348" i="1"/>
  <c r="D348" i="1"/>
  <c r="B348" i="1"/>
  <c r="M347" i="1"/>
  <c r="K347" i="1"/>
  <c r="J347" i="1"/>
  <c r="H347" i="1"/>
  <c r="CR347" i="1" s="1"/>
  <c r="G347" i="1"/>
  <c r="CQ347" i="1" s="1"/>
  <c r="CT347" i="1" s="1"/>
  <c r="EJ347" i="1" s="1"/>
  <c r="E347" i="1"/>
  <c r="D347" i="1"/>
  <c r="B347" i="1"/>
  <c r="Q347" i="1" s="1"/>
  <c r="T347" i="1" s="1"/>
  <c r="U347" i="1" s="1"/>
  <c r="M346" i="1"/>
  <c r="K346" i="1"/>
  <c r="J346" i="1"/>
  <c r="H346" i="1"/>
  <c r="CR346" i="1" s="1"/>
  <c r="G346" i="1"/>
  <c r="E346" i="1"/>
  <c r="D346" i="1"/>
  <c r="B346" i="1"/>
  <c r="Q346" i="1" s="1"/>
  <c r="T346" i="1" s="1"/>
  <c r="U346" i="1" s="1"/>
  <c r="M345" i="1"/>
  <c r="K345" i="1"/>
  <c r="J345" i="1"/>
  <c r="H345" i="1"/>
  <c r="CR345" i="1" s="1"/>
  <c r="G345" i="1"/>
  <c r="E345" i="1"/>
  <c r="D345" i="1"/>
  <c r="B345" i="1"/>
  <c r="Q345" i="1" s="1"/>
  <c r="T345" i="1" s="1"/>
  <c r="U345" i="1" s="1"/>
  <c r="M344" i="1"/>
  <c r="K344" i="1"/>
  <c r="J344" i="1"/>
  <c r="H344" i="1"/>
  <c r="CR344" i="1" s="1"/>
  <c r="G344" i="1"/>
  <c r="E344" i="1"/>
  <c r="D344" i="1"/>
  <c r="B344" i="1"/>
  <c r="Q344" i="1" s="1"/>
  <c r="S344" i="1" s="1"/>
  <c r="DF344" i="1" s="1"/>
  <c r="M343" i="1"/>
  <c r="K343" i="1"/>
  <c r="J343" i="1"/>
  <c r="H343" i="1"/>
  <c r="CR343" i="1" s="1"/>
  <c r="G343" i="1"/>
  <c r="CQ343" i="1" s="1"/>
  <c r="CT343" i="1" s="1"/>
  <c r="E343" i="1"/>
  <c r="D343" i="1"/>
  <c r="B343" i="1"/>
  <c r="Q343" i="1" s="1"/>
  <c r="S343" i="1" s="1"/>
  <c r="DF343" i="1" s="1"/>
  <c r="M342" i="1"/>
  <c r="K342" i="1"/>
  <c r="J342" i="1"/>
  <c r="H342" i="1"/>
  <c r="CR342" i="1" s="1"/>
  <c r="G342" i="1"/>
  <c r="CQ342" i="1" s="1"/>
  <c r="E342" i="1"/>
  <c r="D342" i="1"/>
  <c r="B342" i="1"/>
  <c r="Q342" i="1" s="1"/>
  <c r="S342" i="1" s="1"/>
  <c r="DF342" i="1" s="1"/>
  <c r="M341" i="1"/>
  <c r="K341" i="1"/>
  <c r="J341" i="1"/>
  <c r="H341" i="1"/>
  <c r="CR341" i="1" s="1"/>
  <c r="G341" i="1"/>
  <c r="CQ341" i="1" s="1"/>
  <c r="E341" i="1"/>
  <c r="D341" i="1"/>
  <c r="B341" i="1"/>
  <c r="Q341" i="1" s="1"/>
  <c r="S341" i="1" s="1"/>
  <c r="DF341" i="1" s="1"/>
  <c r="M340" i="1"/>
  <c r="K340" i="1"/>
  <c r="J340" i="1"/>
  <c r="H340" i="1"/>
  <c r="CR340" i="1" s="1"/>
  <c r="G340" i="1"/>
  <c r="CQ340" i="1" s="1"/>
  <c r="CT340" i="1" s="1"/>
  <c r="E340" i="1"/>
  <c r="D340" i="1"/>
  <c r="B340" i="1"/>
  <c r="Q340" i="1" s="1"/>
  <c r="S340" i="1" s="1"/>
  <c r="DF340" i="1" s="1"/>
  <c r="M339" i="1"/>
  <c r="K339" i="1"/>
  <c r="J339" i="1"/>
  <c r="H339" i="1"/>
  <c r="CR339" i="1" s="1"/>
  <c r="G339" i="1"/>
  <c r="CQ339" i="1" s="1"/>
  <c r="E339" i="1"/>
  <c r="D339" i="1"/>
  <c r="B339" i="1"/>
  <c r="Q339" i="1" s="1"/>
  <c r="S339" i="1" s="1"/>
  <c r="DF339" i="1" s="1"/>
  <c r="M338" i="1"/>
  <c r="K338" i="1"/>
  <c r="J338" i="1"/>
  <c r="H338" i="1"/>
  <c r="CR338" i="1" s="1"/>
  <c r="G338" i="1"/>
  <c r="CQ338" i="1" s="1"/>
  <c r="E338" i="1"/>
  <c r="D338" i="1"/>
  <c r="B338" i="1"/>
  <c r="Q338" i="1" s="1"/>
  <c r="S338" i="1" s="1"/>
  <c r="DF338" i="1" s="1"/>
  <c r="M337" i="1"/>
  <c r="K337" i="1"/>
  <c r="J337" i="1"/>
  <c r="H337" i="1"/>
  <c r="CR337" i="1" s="1"/>
  <c r="G337" i="1"/>
  <c r="CQ337" i="1" s="1"/>
  <c r="E337" i="1"/>
  <c r="D337" i="1"/>
  <c r="B337" i="1"/>
  <c r="Q337" i="1" s="1"/>
  <c r="S337" i="1" s="1"/>
  <c r="DF337" i="1" s="1"/>
  <c r="M336" i="1"/>
  <c r="K336" i="1"/>
  <c r="J336" i="1"/>
  <c r="H336" i="1"/>
  <c r="CR336" i="1" s="1"/>
  <c r="G336" i="1"/>
  <c r="CQ336" i="1" s="1"/>
  <c r="CT336" i="1" s="1"/>
  <c r="E336" i="1"/>
  <c r="D336" i="1"/>
  <c r="B336" i="1"/>
  <c r="Q336" i="1" s="1"/>
  <c r="S336" i="1" s="1"/>
  <c r="DF336" i="1" s="1"/>
  <c r="M335" i="1"/>
  <c r="K335" i="1"/>
  <c r="J335" i="1"/>
  <c r="H335" i="1"/>
  <c r="CR335" i="1" s="1"/>
  <c r="G335" i="1"/>
  <c r="CQ335" i="1" s="1"/>
  <c r="CT335" i="1" s="1"/>
  <c r="E335" i="1"/>
  <c r="D335" i="1"/>
  <c r="B335" i="1"/>
  <c r="Q335" i="1" s="1"/>
  <c r="S335" i="1" s="1"/>
  <c r="DF335" i="1" s="1"/>
  <c r="M334" i="1"/>
  <c r="K334" i="1"/>
  <c r="J334" i="1"/>
  <c r="H334" i="1"/>
  <c r="CR334" i="1" s="1"/>
  <c r="G334" i="1"/>
  <c r="CQ334" i="1" s="1"/>
  <c r="E334" i="1"/>
  <c r="D334" i="1"/>
  <c r="B334" i="1"/>
  <c r="Q334" i="1" s="1"/>
  <c r="S334" i="1" s="1"/>
  <c r="DF334" i="1" s="1"/>
  <c r="M333" i="1"/>
  <c r="K333" i="1"/>
  <c r="J333" i="1"/>
  <c r="H333" i="1"/>
  <c r="CR333" i="1" s="1"/>
  <c r="G333" i="1"/>
  <c r="CQ333" i="1" s="1"/>
  <c r="CT333" i="1" s="1"/>
  <c r="E333" i="1"/>
  <c r="D333" i="1"/>
  <c r="B333" i="1"/>
  <c r="Q333" i="1" s="1"/>
  <c r="S333" i="1" s="1"/>
  <c r="DF333" i="1" s="1"/>
  <c r="M332" i="1"/>
  <c r="K332" i="1"/>
  <c r="J332" i="1"/>
  <c r="H332" i="1"/>
  <c r="CR332" i="1" s="1"/>
  <c r="G332" i="1"/>
  <c r="CQ332" i="1" s="1"/>
  <c r="E332" i="1"/>
  <c r="D332" i="1"/>
  <c r="B332" i="1"/>
  <c r="Q332" i="1" s="1"/>
  <c r="S332" i="1" s="1"/>
  <c r="DF332" i="1" s="1"/>
  <c r="M331" i="1"/>
  <c r="K331" i="1"/>
  <c r="J331" i="1"/>
  <c r="H331" i="1"/>
  <c r="CR331" i="1" s="1"/>
  <c r="G331" i="1"/>
  <c r="CQ331" i="1" s="1"/>
  <c r="CT331" i="1" s="1"/>
  <c r="E331" i="1"/>
  <c r="D331" i="1"/>
  <c r="B331" i="1"/>
  <c r="Q331" i="1" s="1"/>
  <c r="S331" i="1" s="1"/>
  <c r="DF331" i="1" s="1"/>
  <c r="M330" i="1"/>
  <c r="K330" i="1"/>
  <c r="J330" i="1"/>
  <c r="H330" i="1"/>
  <c r="CR330" i="1" s="1"/>
  <c r="G330" i="1"/>
  <c r="CQ330" i="1" s="1"/>
  <c r="E330" i="1"/>
  <c r="D330" i="1"/>
  <c r="B330" i="1"/>
  <c r="Q330" i="1" s="1"/>
  <c r="S330" i="1" s="1"/>
  <c r="DF330" i="1" s="1"/>
  <c r="M329" i="1"/>
  <c r="K329" i="1"/>
  <c r="J329" i="1"/>
  <c r="H329" i="1"/>
  <c r="CR329" i="1" s="1"/>
  <c r="G329" i="1"/>
  <c r="E329" i="1"/>
  <c r="D329" i="1"/>
  <c r="B329" i="1"/>
  <c r="Q329" i="1" s="1"/>
  <c r="S329" i="1" s="1"/>
  <c r="DF329" i="1" s="1"/>
  <c r="M328" i="1"/>
  <c r="K328" i="1"/>
  <c r="J328" i="1"/>
  <c r="H328" i="1"/>
  <c r="CR328" i="1" s="1"/>
  <c r="G328" i="1"/>
  <c r="CQ328" i="1" s="1"/>
  <c r="E328" i="1"/>
  <c r="D328" i="1"/>
  <c r="B328" i="1"/>
  <c r="Q328" i="1" s="1"/>
  <c r="S328" i="1" s="1"/>
  <c r="DF328" i="1" s="1"/>
  <c r="M327" i="1"/>
  <c r="K327" i="1"/>
  <c r="J327" i="1"/>
  <c r="H327" i="1"/>
  <c r="CR327" i="1" s="1"/>
  <c r="G327" i="1"/>
  <c r="CQ327" i="1" s="1"/>
  <c r="E327" i="1"/>
  <c r="D327" i="1"/>
  <c r="B327" i="1"/>
  <c r="Q327" i="1" s="1"/>
  <c r="S327" i="1" s="1"/>
  <c r="DF327" i="1" s="1"/>
  <c r="M326" i="1"/>
  <c r="K326" i="1"/>
  <c r="J326" i="1"/>
  <c r="H326" i="1"/>
  <c r="CR326" i="1" s="1"/>
  <c r="G326" i="1"/>
  <c r="CQ326" i="1" s="1"/>
  <c r="E326" i="1"/>
  <c r="D326" i="1"/>
  <c r="B326" i="1"/>
  <c r="Q326" i="1" s="1"/>
  <c r="S326" i="1" s="1"/>
  <c r="DF326" i="1" s="1"/>
  <c r="M325" i="1"/>
  <c r="K325" i="1"/>
  <c r="J325" i="1"/>
  <c r="H325" i="1"/>
  <c r="CR325" i="1" s="1"/>
  <c r="G325" i="1"/>
  <c r="CQ325" i="1" s="1"/>
  <c r="E325" i="1"/>
  <c r="D325" i="1"/>
  <c r="B325" i="1"/>
  <c r="Q325" i="1" s="1"/>
  <c r="S325" i="1" s="1"/>
  <c r="DF325" i="1" s="1"/>
  <c r="M324" i="1"/>
  <c r="K324" i="1"/>
  <c r="J324" i="1"/>
  <c r="H324" i="1"/>
  <c r="CR324" i="1" s="1"/>
  <c r="G324" i="1"/>
  <c r="CQ324" i="1" s="1"/>
  <c r="CT324" i="1" s="1"/>
  <c r="E324" i="1"/>
  <c r="D324" i="1"/>
  <c r="B324" i="1"/>
  <c r="Q324" i="1" s="1"/>
  <c r="S324" i="1" s="1"/>
  <c r="DF324" i="1" s="1"/>
  <c r="M323" i="1"/>
  <c r="K323" i="1"/>
  <c r="J323" i="1"/>
  <c r="H323" i="1"/>
  <c r="CR323" i="1" s="1"/>
  <c r="G323" i="1"/>
  <c r="CQ323" i="1" s="1"/>
  <c r="E323" i="1"/>
  <c r="D323" i="1"/>
  <c r="B323" i="1"/>
  <c r="Q323" i="1" s="1"/>
  <c r="S323" i="1" s="1"/>
  <c r="DF323" i="1" s="1"/>
  <c r="M322" i="1"/>
  <c r="K322" i="1"/>
  <c r="J322" i="1"/>
  <c r="H322" i="1"/>
  <c r="CR322" i="1" s="1"/>
  <c r="G322" i="1"/>
  <c r="CQ322" i="1" s="1"/>
  <c r="E322" i="1"/>
  <c r="D322" i="1"/>
  <c r="B322" i="1"/>
  <c r="Q322" i="1" s="1"/>
  <c r="S322" i="1" s="1"/>
  <c r="DF322" i="1" s="1"/>
  <c r="M321" i="1"/>
  <c r="K321" i="1"/>
  <c r="J321" i="1"/>
  <c r="H321" i="1"/>
  <c r="CR321" i="1" s="1"/>
  <c r="G321" i="1"/>
  <c r="CQ321" i="1" s="1"/>
  <c r="E321" i="1"/>
  <c r="D321" i="1"/>
  <c r="B321" i="1"/>
  <c r="Q321" i="1" s="1"/>
  <c r="S321" i="1" s="1"/>
  <c r="DF321" i="1" s="1"/>
  <c r="M320" i="1"/>
  <c r="K320" i="1"/>
  <c r="J320" i="1"/>
  <c r="H320" i="1"/>
  <c r="CR320" i="1" s="1"/>
  <c r="G320" i="1"/>
  <c r="CQ320" i="1" s="1"/>
  <c r="CT320" i="1" s="1"/>
  <c r="E320" i="1"/>
  <c r="D320" i="1"/>
  <c r="B320" i="1"/>
  <c r="Q320" i="1" s="1"/>
  <c r="S320" i="1" s="1"/>
  <c r="DF320" i="1" s="1"/>
  <c r="M319" i="1"/>
  <c r="K319" i="1"/>
  <c r="J319" i="1"/>
  <c r="H319" i="1"/>
  <c r="CR319" i="1" s="1"/>
  <c r="G319" i="1"/>
  <c r="CQ319" i="1" s="1"/>
  <c r="CT319" i="1" s="1"/>
  <c r="E319" i="1"/>
  <c r="D319" i="1"/>
  <c r="B319" i="1"/>
  <c r="Q319" i="1" s="1"/>
  <c r="S319" i="1" s="1"/>
  <c r="DF319" i="1" s="1"/>
  <c r="M318" i="1"/>
  <c r="K318" i="1"/>
  <c r="J318" i="1"/>
  <c r="H318" i="1"/>
  <c r="CR318" i="1" s="1"/>
  <c r="G318" i="1"/>
  <c r="CQ318" i="1" s="1"/>
  <c r="E318" i="1"/>
  <c r="D318" i="1"/>
  <c r="B318" i="1"/>
  <c r="Q318" i="1" s="1"/>
  <c r="S318" i="1" s="1"/>
  <c r="DF318" i="1" s="1"/>
  <c r="M317" i="1"/>
  <c r="K317" i="1"/>
  <c r="J317" i="1"/>
  <c r="H317" i="1"/>
  <c r="CR317" i="1" s="1"/>
  <c r="G317" i="1"/>
  <c r="CQ317" i="1" s="1"/>
  <c r="CT317" i="1" s="1"/>
  <c r="E317" i="1"/>
  <c r="D317" i="1"/>
  <c r="B317" i="1"/>
  <c r="Q317" i="1" s="1"/>
  <c r="S317" i="1" s="1"/>
  <c r="DF317" i="1" s="1"/>
  <c r="M316" i="1"/>
  <c r="K316" i="1"/>
  <c r="J316" i="1"/>
  <c r="H316" i="1"/>
  <c r="CR316" i="1" s="1"/>
  <c r="G316" i="1"/>
  <c r="CQ316" i="1" s="1"/>
  <c r="E316" i="1"/>
  <c r="D316" i="1"/>
  <c r="B316" i="1"/>
  <c r="Q316" i="1" s="1"/>
  <c r="S316" i="1" s="1"/>
  <c r="DF316" i="1" s="1"/>
  <c r="M315" i="1"/>
  <c r="K315" i="1"/>
  <c r="J315" i="1"/>
  <c r="H315" i="1"/>
  <c r="CR315" i="1" s="1"/>
  <c r="G315" i="1"/>
  <c r="CQ315" i="1" s="1"/>
  <c r="E315" i="1"/>
  <c r="D315" i="1"/>
  <c r="B315" i="1"/>
  <c r="Q315" i="1" s="1"/>
  <c r="S315" i="1" s="1"/>
  <c r="DF315" i="1" s="1"/>
  <c r="M314" i="1"/>
  <c r="K314" i="1"/>
  <c r="J314" i="1"/>
  <c r="H314" i="1"/>
  <c r="CR314" i="1" s="1"/>
  <c r="G314" i="1"/>
  <c r="CQ314" i="1" s="1"/>
  <c r="E314" i="1"/>
  <c r="D314" i="1"/>
  <c r="B314" i="1"/>
  <c r="Q314" i="1" s="1"/>
  <c r="S314" i="1" s="1"/>
  <c r="DF314" i="1" s="1"/>
  <c r="M313" i="1"/>
  <c r="K313" i="1"/>
  <c r="J313" i="1"/>
  <c r="H313" i="1"/>
  <c r="CR313" i="1" s="1"/>
  <c r="G313" i="1"/>
  <c r="CQ313" i="1" s="1"/>
  <c r="CT313" i="1" s="1"/>
  <c r="E313" i="1"/>
  <c r="D313" i="1"/>
  <c r="B313" i="1"/>
  <c r="Q313" i="1" s="1"/>
  <c r="S313" i="1" s="1"/>
  <c r="DF313" i="1" s="1"/>
  <c r="M312" i="1"/>
  <c r="K312" i="1"/>
  <c r="J312" i="1"/>
  <c r="H312" i="1"/>
  <c r="CR312" i="1" s="1"/>
  <c r="G312" i="1"/>
  <c r="CQ312" i="1" s="1"/>
  <c r="CT312" i="1" s="1"/>
  <c r="E312" i="1"/>
  <c r="D312" i="1"/>
  <c r="B312" i="1"/>
  <c r="Q312" i="1" s="1"/>
  <c r="S312" i="1" s="1"/>
  <c r="DF312" i="1" s="1"/>
  <c r="M311" i="1"/>
  <c r="K311" i="1"/>
  <c r="J311" i="1"/>
  <c r="H311" i="1"/>
  <c r="CR311" i="1" s="1"/>
  <c r="G311" i="1"/>
  <c r="CQ311" i="1" s="1"/>
  <c r="E311" i="1"/>
  <c r="D311" i="1"/>
  <c r="B311" i="1"/>
  <c r="Q311" i="1" s="1"/>
  <c r="S311" i="1" s="1"/>
  <c r="DF311" i="1" s="1"/>
  <c r="M310" i="1"/>
  <c r="K310" i="1"/>
  <c r="J310" i="1"/>
  <c r="H310" i="1"/>
  <c r="CR310" i="1" s="1"/>
  <c r="G310" i="1"/>
  <c r="CQ310" i="1" s="1"/>
  <c r="E310" i="1"/>
  <c r="D310" i="1"/>
  <c r="B310" i="1"/>
  <c r="Q310" i="1" s="1"/>
  <c r="S310" i="1" s="1"/>
  <c r="DF310" i="1" s="1"/>
  <c r="M309" i="1"/>
  <c r="K309" i="1"/>
  <c r="J309" i="1"/>
  <c r="H309" i="1"/>
  <c r="CR309" i="1" s="1"/>
  <c r="G309" i="1"/>
  <c r="CQ309" i="1" s="1"/>
  <c r="E309" i="1"/>
  <c r="D309" i="1"/>
  <c r="B309" i="1"/>
  <c r="Q309" i="1" s="1"/>
  <c r="S309" i="1" s="1"/>
  <c r="DF309" i="1" s="1"/>
  <c r="M308" i="1"/>
  <c r="K308" i="1"/>
  <c r="J308" i="1"/>
  <c r="H308" i="1"/>
  <c r="CR308" i="1" s="1"/>
  <c r="G308" i="1"/>
  <c r="CQ308" i="1" s="1"/>
  <c r="CT308" i="1" s="1"/>
  <c r="E308" i="1"/>
  <c r="D308" i="1"/>
  <c r="B308" i="1"/>
  <c r="Q308" i="1" s="1"/>
  <c r="S308" i="1" s="1"/>
  <c r="DF308" i="1" s="1"/>
  <c r="M307" i="1"/>
  <c r="K307" i="1"/>
  <c r="J307" i="1"/>
  <c r="H307" i="1"/>
  <c r="CR307" i="1" s="1"/>
  <c r="G307" i="1"/>
  <c r="CQ307" i="1" s="1"/>
  <c r="E307" i="1"/>
  <c r="D307" i="1"/>
  <c r="B307" i="1"/>
  <c r="Q307" i="1" s="1"/>
  <c r="S307" i="1" s="1"/>
  <c r="DF307" i="1" s="1"/>
  <c r="M306" i="1"/>
  <c r="K306" i="1"/>
  <c r="J306" i="1"/>
  <c r="H306" i="1"/>
  <c r="CR306" i="1" s="1"/>
  <c r="G306" i="1"/>
  <c r="CQ306" i="1" s="1"/>
  <c r="E306" i="1"/>
  <c r="D306" i="1"/>
  <c r="B306" i="1"/>
  <c r="Q306" i="1" s="1"/>
  <c r="S306" i="1" s="1"/>
  <c r="DF306" i="1" s="1"/>
  <c r="M305" i="1"/>
  <c r="K305" i="1"/>
  <c r="J305" i="1"/>
  <c r="H305" i="1"/>
  <c r="CR305" i="1" s="1"/>
  <c r="G305" i="1"/>
  <c r="CQ305" i="1" s="1"/>
  <c r="E305" i="1"/>
  <c r="D305" i="1"/>
  <c r="B305" i="1"/>
  <c r="Q305" i="1" s="1"/>
  <c r="S305" i="1" s="1"/>
  <c r="DF305" i="1" s="1"/>
  <c r="M304" i="1"/>
  <c r="K304" i="1"/>
  <c r="J304" i="1"/>
  <c r="H304" i="1"/>
  <c r="CR304" i="1" s="1"/>
  <c r="G304" i="1"/>
  <c r="CQ304" i="1" s="1"/>
  <c r="CT304" i="1" s="1"/>
  <c r="E304" i="1"/>
  <c r="D304" i="1"/>
  <c r="B304" i="1"/>
  <c r="Q304" i="1" s="1"/>
  <c r="S304" i="1" s="1"/>
  <c r="DF304" i="1" s="1"/>
  <c r="M303" i="1"/>
  <c r="K303" i="1"/>
  <c r="J303" i="1"/>
  <c r="H303" i="1"/>
  <c r="CR303" i="1" s="1"/>
  <c r="G303" i="1"/>
  <c r="CQ303" i="1" s="1"/>
  <c r="CT303" i="1" s="1"/>
  <c r="E303" i="1"/>
  <c r="D303" i="1"/>
  <c r="B303" i="1"/>
  <c r="Q303" i="1" s="1"/>
  <c r="S303" i="1" s="1"/>
  <c r="DF303" i="1" s="1"/>
  <c r="M302" i="1"/>
  <c r="K302" i="1"/>
  <c r="J302" i="1"/>
  <c r="H302" i="1"/>
  <c r="CR302" i="1" s="1"/>
  <c r="G302" i="1"/>
  <c r="CQ302" i="1" s="1"/>
  <c r="E302" i="1"/>
  <c r="D302" i="1"/>
  <c r="B302" i="1"/>
  <c r="Q302" i="1" s="1"/>
  <c r="S302" i="1" s="1"/>
  <c r="DF302" i="1" s="1"/>
  <c r="M301" i="1"/>
  <c r="K301" i="1"/>
  <c r="J301" i="1"/>
  <c r="H301" i="1"/>
  <c r="CR301" i="1" s="1"/>
  <c r="G301" i="1"/>
  <c r="CQ301" i="1" s="1"/>
  <c r="CT301" i="1" s="1"/>
  <c r="E301" i="1"/>
  <c r="D301" i="1"/>
  <c r="B301" i="1"/>
  <c r="Q301" i="1" s="1"/>
  <c r="S301" i="1" s="1"/>
  <c r="DF301" i="1" s="1"/>
  <c r="M300" i="1"/>
  <c r="K300" i="1"/>
  <c r="J300" i="1"/>
  <c r="H300" i="1"/>
  <c r="CR300" i="1" s="1"/>
  <c r="G300" i="1"/>
  <c r="CQ300" i="1" s="1"/>
  <c r="E300" i="1"/>
  <c r="D300" i="1"/>
  <c r="B300" i="1"/>
  <c r="Q300" i="1" s="1"/>
  <c r="S300" i="1" s="1"/>
  <c r="DF300" i="1" s="1"/>
  <c r="M299" i="1"/>
  <c r="K299" i="1"/>
  <c r="J299" i="1"/>
  <c r="H299" i="1"/>
  <c r="CR299" i="1" s="1"/>
  <c r="G299" i="1"/>
  <c r="CQ299" i="1" s="1"/>
  <c r="E299" i="1"/>
  <c r="D299" i="1"/>
  <c r="B299" i="1"/>
  <c r="Q299" i="1" s="1"/>
  <c r="S299" i="1" s="1"/>
  <c r="DF299" i="1" s="1"/>
  <c r="M298" i="1"/>
  <c r="K298" i="1"/>
  <c r="J298" i="1"/>
  <c r="H298" i="1"/>
  <c r="CR298" i="1" s="1"/>
  <c r="G298" i="1"/>
  <c r="CQ298" i="1" s="1"/>
  <c r="E298" i="1"/>
  <c r="D298" i="1"/>
  <c r="B298" i="1"/>
  <c r="Q298" i="1" s="1"/>
  <c r="S298" i="1" s="1"/>
  <c r="DF298" i="1" s="1"/>
  <c r="M297" i="1"/>
  <c r="K297" i="1"/>
  <c r="J297" i="1"/>
  <c r="H297" i="1"/>
  <c r="CR297" i="1" s="1"/>
  <c r="G297" i="1"/>
  <c r="CQ297" i="1" s="1"/>
  <c r="CT297" i="1" s="1"/>
  <c r="E297" i="1"/>
  <c r="D297" i="1"/>
  <c r="B297" i="1"/>
  <c r="Q297" i="1" s="1"/>
  <c r="S297" i="1" s="1"/>
  <c r="DF297" i="1" s="1"/>
  <c r="M296" i="1"/>
  <c r="K296" i="1"/>
  <c r="J296" i="1"/>
  <c r="H296" i="1"/>
  <c r="CR296" i="1" s="1"/>
  <c r="G296" i="1"/>
  <c r="CQ296" i="1" s="1"/>
  <c r="E296" i="1"/>
  <c r="D296" i="1"/>
  <c r="B296" i="1"/>
  <c r="Q296" i="1" s="1"/>
  <c r="S296" i="1" s="1"/>
  <c r="DF296" i="1" s="1"/>
  <c r="M295" i="1"/>
  <c r="K295" i="1"/>
  <c r="J295" i="1"/>
  <c r="H295" i="1"/>
  <c r="CR295" i="1" s="1"/>
  <c r="G295" i="1"/>
  <c r="CQ295" i="1" s="1"/>
  <c r="E295" i="1"/>
  <c r="D295" i="1"/>
  <c r="B295" i="1"/>
  <c r="Q295" i="1" s="1"/>
  <c r="S295" i="1" s="1"/>
  <c r="DF295" i="1" s="1"/>
  <c r="M294" i="1"/>
  <c r="K294" i="1"/>
  <c r="J294" i="1"/>
  <c r="H294" i="1"/>
  <c r="CR294" i="1" s="1"/>
  <c r="G294" i="1"/>
  <c r="CQ294" i="1" s="1"/>
  <c r="E294" i="1"/>
  <c r="D294" i="1"/>
  <c r="B294" i="1"/>
  <c r="Q294" i="1" s="1"/>
  <c r="S294" i="1" s="1"/>
  <c r="DF294" i="1" s="1"/>
  <c r="M293" i="1"/>
  <c r="K293" i="1"/>
  <c r="J293" i="1"/>
  <c r="H293" i="1"/>
  <c r="CR293" i="1" s="1"/>
  <c r="G293" i="1"/>
  <c r="CQ293" i="1" s="1"/>
  <c r="E293" i="1"/>
  <c r="D293" i="1"/>
  <c r="B293" i="1"/>
  <c r="Q293" i="1" s="1"/>
  <c r="S293" i="1" s="1"/>
  <c r="DF293" i="1" s="1"/>
  <c r="M292" i="1"/>
  <c r="K292" i="1"/>
  <c r="J292" i="1"/>
  <c r="H292" i="1"/>
  <c r="CR292" i="1" s="1"/>
  <c r="G292" i="1"/>
  <c r="CQ292" i="1" s="1"/>
  <c r="CT292" i="1" s="1"/>
  <c r="E292" i="1"/>
  <c r="D292" i="1"/>
  <c r="B292" i="1"/>
  <c r="Q292" i="1" s="1"/>
  <c r="S292" i="1" s="1"/>
  <c r="DF292" i="1" s="1"/>
  <c r="M291" i="1"/>
  <c r="K291" i="1"/>
  <c r="J291" i="1"/>
  <c r="H291" i="1"/>
  <c r="CR291" i="1" s="1"/>
  <c r="G291" i="1"/>
  <c r="CQ291" i="1" s="1"/>
  <c r="E291" i="1"/>
  <c r="D291" i="1"/>
  <c r="B291" i="1"/>
  <c r="Q291" i="1" s="1"/>
  <c r="S291" i="1" s="1"/>
  <c r="DF291" i="1" s="1"/>
  <c r="M290" i="1"/>
  <c r="K290" i="1"/>
  <c r="J290" i="1"/>
  <c r="H290" i="1"/>
  <c r="CR290" i="1" s="1"/>
  <c r="G290" i="1"/>
  <c r="CQ290" i="1" s="1"/>
  <c r="E290" i="1"/>
  <c r="D290" i="1"/>
  <c r="B290" i="1"/>
  <c r="Q290" i="1" s="1"/>
  <c r="S290" i="1" s="1"/>
  <c r="DF290" i="1" s="1"/>
  <c r="M289" i="1"/>
  <c r="K289" i="1"/>
  <c r="J289" i="1"/>
  <c r="H289" i="1"/>
  <c r="CR289" i="1" s="1"/>
  <c r="G289" i="1"/>
  <c r="CQ289" i="1" s="1"/>
  <c r="E289" i="1"/>
  <c r="D289" i="1"/>
  <c r="B289" i="1"/>
  <c r="Q289" i="1" s="1"/>
  <c r="S289" i="1" s="1"/>
  <c r="DF289" i="1" s="1"/>
  <c r="M288" i="1"/>
  <c r="K288" i="1"/>
  <c r="J288" i="1"/>
  <c r="H288" i="1"/>
  <c r="CR288" i="1" s="1"/>
  <c r="G288" i="1"/>
  <c r="CQ288" i="1" s="1"/>
  <c r="CT288" i="1" s="1"/>
  <c r="E288" i="1"/>
  <c r="D288" i="1"/>
  <c r="B288" i="1"/>
  <c r="Q288" i="1" s="1"/>
  <c r="S288" i="1" s="1"/>
  <c r="DF288" i="1" s="1"/>
  <c r="M287" i="1"/>
  <c r="K287" i="1"/>
  <c r="J287" i="1"/>
  <c r="H287" i="1"/>
  <c r="CR287" i="1" s="1"/>
  <c r="G287" i="1"/>
  <c r="CQ287" i="1" s="1"/>
  <c r="CT287" i="1" s="1"/>
  <c r="E287" i="1"/>
  <c r="O287" i="1" s="1"/>
  <c r="D287" i="1"/>
  <c r="B287" i="1"/>
  <c r="Q287" i="1" s="1"/>
  <c r="S287" i="1" s="1"/>
  <c r="DF287" i="1" s="1"/>
  <c r="M286" i="1"/>
  <c r="K286" i="1"/>
  <c r="J286" i="1"/>
  <c r="H286" i="1"/>
  <c r="CR286" i="1" s="1"/>
  <c r="G286" i="1"/>
  <c r="CQ286" i="1" s="1"/>
  <c r="E286" i="1"/>
  <c r="D286" i="1"/>
  <c r="B286" i="1"/>
  <c r="Q286" i="1" s="1"/>
  <c r="S286" i="1" s="1"/>
  <c r="DF286" i="1" s="1"/>
  <c r="M285" i="1"/>
  <c r="K285" i="1"/>
  <c r="J285" i="1"/>
  <c r="H285" i="1"/>
  <c r="CR285" i="1" s="1"/>
  <c r="G285" i="1"/>
  <c r="CQ285" i="1" s="1"/>
  <c r="CT285" i="1" s="1"/>
  <c r="E285" i="1"/>
  <c r="D285" i="1"/>
  <c r="B285" i="1"/>
  <c r="Q285" i="1" s="1"/>
  <c r="S285" i="1" s="1"/>
  <c r="DF285" i="1" s="1"/>
  <c r="M284" i="1"/>
  <c r="K284" i="1"/>
  <c r="J284" i="1"/>
  <c r="H284" i="1"/>
  <c r="CR284" i="1" s="1"/>
  <c r="G284" i="1"/>
  <c r="CQ284" i="1" s="1"/>
  <c r="E284" i="1"/>
  <c r="D284" i="1"/>
  <c r="B284" i="1"/>
  <c r="Q284" i="1" s="1"/>
  <c r="S284" i="1" s="1"/>
  <c r="DF284" i="1" s="1"/>
  <c r="M283" i="1"/>
  <c r="K283" i="1"/>
  <c r="J283" i="1"/>
  <c r="H283" i="1"/>
  <c r="CR283" i="1" s="1"/>
  <c r="G283" i="1"/>
  <c r="CQ283" i="1" s="1"/>
  <c r="E283" i="1"/>
  <c r="D283" i="1"/>
  <c r="B283" i="1"/>
  <c r="Q283" i="1" s="1"/>
  <c r="S283" i="1" s="1"/>
  <c r="DF283" i="1" s="1"/>
  <c r="M282" i="1"/>
  <c r="K282" i="1"/>
  <c r="J282" i="1"/>
  <c r="H282" i="1"/>
  <c r="CR282" i="1" s="1"/>
  <c r="G282" i="1"/>
  <c r="CQ282" i="1" s="1"/>
  <c r="E282" i="1"/>
  <c r="D282" i="1"/>
  <c r="B282" i="1"/>
  <c r="Q282" i="1" s="1"/>
  <c r="S282" i="1" s="1"/>
  <c r="DF282" i="1" s="1"/>
  <c r="M281" i="1"/>
  <c r="K281" i="1"/>
  <c r="J281" i="1"/>
  <c r="H281" i="1"/>
  <c r="CR281" i="1" s="1"/>
  <c r="G281" i="1"/>
  <c r="CQ281" i="1" s="1"/>
  <c r="CT281" i="1" s="1"/>
  <c r="E281" i="1"/>
  <c r="D281" i="1"/>
  <c r="B281" i="1"/>
  <c r="Q281" i="1" s="1"/>
  <c r="S281" i="1" s="1"/>
  <c r="DF281" i="1" s="1"/>
  <c r="M280" i="1"/>
  <c r="K280" i="1"/>
  <c r="J280" i="1"/>
  <c r="H280" i="1"/>
  <c r="CR280" i="1" s="1"/>
  <c r="G280" i="1"/>
  <c r="CQ280" i="1" s="1"/>
  <c r="E280" i="1"/>
  <c r="D280" i="1"/>
  <c r="B280" i="1"/>
  <c r="Q280" i="1" s="1"/>
  <c r="S280" i="1" s="1"/>
  <c r="DF280" i="1" s="1"/>
  <c r="M279" i="1"/>
  <c r="K279" i="1"/>
  <c r="J279" i="1"/>
  <c r="H279" i="1"/>
  <c r="CR279" i="1" s="1"/>
  <c r="G279" i="1"/>
  <c r="CQ279" i="1" s="1"/>
  <c r="E279" i="1"/>
  <c r="D279" i="1"/>
  <c r="B279" i="1"/>
  <c r="Q279" i="1" s="1"/>
  <c r="S279" i="1" s="1"/>
  <c r="DF279" i="1" s="1"/>
  <c r="M278" i="1"/>
  <c r="K278" i="1"/>
  <c r="J278" i="1"/>
  <c r="H278" i="1"/>
  <c r="CR278" i="1" s="1"/>
  <c r="G278" i="1"/>
  <c r="CQ278" i="1" s="1"/>
  <c r="E278" i="1"/>
  <c r="D278" i="1"/>
  <c r="B278" i="1"/>
  <c r="Q278" i="1" s="1"/>
  <c r="S278" i="1" s="1"/>
  <c r="DF278" i="1" s="1"/>
  <c r="M277" i="1"/>
  <c r="K277" i="1"/>
  <c r="J277" i="1"/>
  <c r="H277" i="1"/>
  <c r="CR277" i="1" s="1"/>
  <c r="G277" i="1"/>
  <c r="CQ277" i="1" s="1"/>
  <c r="E277" i="1"/>
  <c r="D277" i="1"/>
  <c r="B277" i="1"/>
  <c r="Q277" i="1" s="1"/>
  <c r="S277" i="1" s="1"/>
  <c r="DF277" i="1" s="1"/>
  <c r="M276" i="1"/>
  <c r="K276" i="1"/>
  <c r="J276" i="1"/>
  <c r="H276" i="1"/>
  <c r="CR276" i="1" s="1"/>
  <c r="G276" i="1"/>
  <c r="CQ276" i="1" s="1"/>
  <c r="CT276" i="1" s="1"/>
  <c r="E276" i="1"/>
  <c r="D276" i="1"/>
  <c r="B276" i="1"/>
  <c r="Q276" i="1" s="1"/>
  <c r="S276" i="1" s="1"/>
  <c r="DF276" i="1" s="1"/>
  <c r="M275" i="1"/>
  <c r="K275" i="1"/>
  <c r="J275" i="1"/>
  <c r="H275" i="1"/>
  <c r="CR275" i="1" s="1"/>
  <c r="G275" i="1"/>
  <c r="CQ275" i="1" s="1"/>
  <c r="E275" i="1"/>
  <c r="O275" i="1" s="1"/>
  <c r="D275" i="1"/>
  <c r="B275" i="1"/>
  <c r="Q275" i="1" s="1"/>
  <c r="S275" i="1" s="1"/>
  <c r="DF275" i="1" s="1"/>
  <c r="M274" i="1"/>
  <c r="K274" i="1"/>
  <c r="J274" i="1"/>
  <c r="H274" i="1"/>
  <c r="CR274" i="1" s="1"/>
  <c r="G274" i="1"/>
  <c r="CQ274" i="1" s="1"/>
  <c r="E274" i="1"/>
  <c r="D274" i="1"/>
  <c r="B274" i="1"/>
  <c r="Q274" i="1" s="1"/>
  <c r="S274" i="1" s="1"/>
  <c r="DF274" i="1" s="1"/>
  <c r="M273" i="1"/>
  <c r="K273" i="1"/>
  <c r="J273" i="1"/>
  <c r="H273" i="1"/>
  <c r="CR273" i="1" s="1"/>
  <c r="G273" i="1"/>
  <c r="CQ273" i="1" s="1"/>
  <c r="E273" i="1"/>
  <c r="D273" i="1"/>
  <c r="B273" i="1"/>
  <c r="Q273" i="1" s="1"/>
  <c r="S273" i="1" s="1"/>
  <c r="DF273" i="1" s="1"/>
  <c r="M272" i="1"/>
  <c r="K272" i="1"/>
  <c r="J272" i="1"/>
  <c r="H272" i="1"/>
  <c r="CR272" i="1" s="1"/>
  <c r="G272" i="1"/>
  <c r="CQ272" i="1" s="1"/>
  <c r="CT272" i="1" s="1"/>
  <c r="E272" i="1"/>
  <c r="D272" i="1"/>
  <c r="B272" i="1"/>
  <c r="Q272" i="1" s="1"/>
  <c r="S272" i="1" s="1"/>
  <c r="DF272" i="1" s="1"/>
  <c r="M271" i="1"/>
  <c r="K271" i="1"/>
  <c r="J271" i="1"/>
  <c r="H271" i="1"/>
  <c r="CR271" i="1" s="1"/>
  <c r="G271" i="1"/>
  <c r="CQ271" i="1" s="1"/>
  <c r="CT271" i="1" s="1"/>
  <c r="E271" i="1"/>
  <c r="D271" i="1"/>
  <c r="B271" i="1"/>
  <c r="Q271" i="1" s="1"/>
  <c r="S271" i="1" s="1"/>
  <c r="DF271" i="1" s="1"/>
  <c r="M270" i="1"/>
  <c r="K270" i="1"/>
  <c r="J270" i="1"/>
  <c r="H270" i="1"/>
  <c r="CR270" i="1" s="1"/>
  <c r="G270" i="1"/>
  <c r="CQ270" i="1" s="1"/>
  <c r="E270" i="1"/>
  <c r="D270" i="1"/>
  <c r="B270" i="1"/>
  <c r="Q270" i="1" s="1"/>
  <c r="S270" i="1" s="1"/>
  <c r="DF270" i="1" s="1"/>
  <c r="M269" i="1"/>
  <c r="K269" i="1"/>
  <c r="J269" i="1"/>
  <c r="H269" i="1"/>
  <c r="CR269" i="1" s="1"/>
  <c r="G269" i="1"/>
  <c r="CQ269" i="1" s="1"/>
  <c r="CT269" i="1" s="1"/>
  <c r="E269" i="1"/>
  <c r="D269" i="1"/>
  <c r="B269" i="1"/>
  <c r="Q269" i="1" s="1"/>
  <c r="S269" i="1" s="1"/>
  <c r="DF269" i="1" s="1"/>
  <c r="M268" i="1"/>
  <c r="K268" i="1"/>
  <c r="J268" i="1"/>
  <c r="H268" i="1"/>
  <c r="CR268" i="1" s="1"/>
  <c r="G268" i="1"/>
  <c r="CQ268" i="1" s="1"/>
  <c r="E268" i="1"/>
  <c r="D268" i="1"/>
  <c r="B268" i="1"/>
  <c r="Q268" i="1" s="1"/>
  <c r="S268" i="1" s="1"/>
  <c r="DF268" i="1" s="1"/>
  <c r="M267" i="1"/>
  <c r="K267" i="1"/>
  <c r="J267" i="1"/>
  <c r="H267" i="1"/>
  <c r="CR267" i="1" s="1"/>
  <c r="G267" i="1"/>
  <c r="CQ267" i="1" s="1"/>
  <c r="E267" i="1"/>
  <c r="D267" i="1"/>
  <c r="B267" i="1"/>
  <c r="Q267" i="1" s="1"/>
  <c r="S267" i="1" s="1"/>
  <c r="DF267" i="1" s="1"/>
  <c r="M266" i="1"/>
  <c r="K266" i="1"/>
  <c r="J266" i="1"/>
  <c r="H266" i="1"/>
  <c r="CR266" i="1" s="1"/>
  <c r="G266" i="1"/>
  <c r="CQ266" i="1" s="1"/>
  <c r="E266" i="1"/>
  <c r="D266" i="1"/>
  <c r="B266" i="1"/>
  <c r="Q266" i="1" s="1"/>
  <c r="S266" i="1" s="1"/>
  <c r="DF266" i="1" s="1"/>
  <c r="M265" i="1"/>
  <c r="K265" i="1"/>
  <c r="J265" i="1"/>
  <c r="H265" i="1"/>
  <c r="CR265" i="1" s="1"/>
  <c r="G265" i="1"/>
  <c r="CQ265" i="1" s="1"/>
  <c r="CT265" i="1" s="1"/>
  <c r="E265" i="1"/>
  <c r="D265" i="1"/>
  <c r="B265" i="1"/>
  <c r="Q265" i="1" s="1"/>
  <c r="S265" i="1" s="1"/>
  <c r="DF265" i="1" s="1"/>
  <c r="M264" i="1"/>
  <c r="K264" i="1"/>
  <c r="J264" i="1"/>
  <c r="H264" i="1"/>
  <c r="CR264" i="1" s="1"/>
  <c r="G264" i="1"/>
  <c r="CQ264" i="1" s="1"/>
  <c r="E264" i="1"/>
  <c r="D264" i="1"/>
  <c r="B264" i="1"/>
  <c r="Q264" i="1" s="1"/>
  <c r="S264" i="1" s="1"/>
  <c r="DF264" i="1" s="1"/>
  <c r="M263" i="1"/>
  <c r="K263" i="1"/>
  <c r="J263" i="1"/>
  <c r="H263" i="1"/>
  <c r="CR263" i="1" s="1"/>
  <c r="G263" i="1"/>
  <c r="CQ263" i="1" s="1"/>
  <c r="E263" i="1"/>
  <c r="D263" i="1"/>
  <c r="B263" i="1"/>
  <c r="Q263" i="1" s="1"/>
  <c r="S263" i="1" s="1"/>
  <c r="DF263" i="1" s="1"/>
  <c r="M262" i="1"/>
  <c r="K262" i="1"/>
  <c r="J262" i="1"/>
  <c r="H262" i="1"/>
  <c r="CR262" i="1" s="1"/>
  <c r="G262" i="1"/>
  <c r="CQ262" i="1" s="1"/>
  <c r="E262" i="1"/>
  <c r="D262" i="1"/>
  <c r="B262" i="1"/>
  <c r="Q262" i="1" s="1"/>
  <c r="S262" i="1" s="1"/>
  <c r="DF262" i="1" s="1"/>
  <c r="M261" i="1"/>
  <c r="K261" i="1"/>
  <c r="J261" i="1"/>
  <c r="H261" i="1"/>
  <c r="CR261" i="1" s="1"/>
  <c r="G261" i="1"/>
  <c r="CQ261" i="1" s="1"/>
  <c r="E261" i="1"/>
  <c r="D261" i="1"/>
  <c r="B261" i="1"/>
  <c r="Q261" i="1" s="1"/>
  <c r="S261" i="1" s="1"/>
  <c r="DF261" i="1" s="1"/>
  <c r="M260" i="1"/>
  <c r="K260" i="1"/>
  <c r="J260" i="1"/>
  <c r="H260" i="1"/>
  <c r="CR260" i="1" s="1"/>
  <c r="G260" i="1"/>
  <c r="CQ260" i="1" s="1"/>
  <c r="CT260" i="1" s="1"/>
  <c r="E260" i="1"/>
  <c r="D260" i="1"/>
  <c r="B260" i="1"/>
  <c r="Q260" i="1" s="1"/>
  <c r="S260" i="1" s="1"/>
  <c r="DF260" i="1" s="1"/>
  <c r="M259" i="1"/>
  <c r="K259" i="1"/>
  <c r="J259" i="1"/>
  <c r="H259" i="1"/>
  <c r="CR259" i="1" s="1"/>
  <c r="G259" i="1"/>
  <c r="CQ259" i="1" s="1"/>
  <c r="E259" i="1"/>
  <c r="D259" i="1"/>
  <c r="B259" i="1"/>
  <c r="Q259" i="1" s="1"/>
  <c r="S259" i="1" s="1"/>
  <c r="DF259" i="1" s="1"/>
  <c r="M258" i="1"/>
  <c r="K258" i="1"/>
  <c r="J258" i="1"/>
  <c r="H258" i="1"/>
  <c r="CR258" i="1" s="1"/>
  <c r="G258" i="1"/>
  <c r="CQ258" i="1" s="1"/>
  <c r="E258" i="1"/>
  <c r="D258" i="1"/>
  <c r="B258" i="1"/>
  <c r="Q258" i="1" s="1"/>
  <c r="S258" i="1" s="1"/>
  <c r="DF258" i="1" s="1"/>
  <c r="M257" i="1"/>
  <c r="K257" i="1"/>
  <c r="J257" i="1"/>
  <c r="H257" i="1"/>
  <c r="CR257" i="1" s="1"/>
  <c r="G257" i="1"/>
  <c r="CQ257" i="1" s="1"/>
  <c r="E257" i="1"/>
  <c r="D257" i="1"/>
  <c r="B257" i="1"/>
  <c r="Q257" i="1" s="1"/>
  <c r="S257" i="1" s="1"/>
  <c r="DF257" i="1" s="1"/>
  <c r="M256" i="1"/>
  <c r="K256" i="1"/>
  <c r="J256" i="1"/>
  <c r="H256" i="1"/>
  <c r="CR256" i="1" s="1"/>
  <c r="G256" i="1"/>
  <c r="CQ256" i="1" s="1"/>
  <c r="CT256" i="1" s="1"/>
  <c r="E256" i="1"/>
  <c r="D256" i="1"/>
  <c r="B256" i="1"/>
  <c r="Q256" i="1" s="1"/>
  <c r="S256" i="1" s="1"/>
  <c r="DF256" i="1" s="1"/>
  <c r="M255" i="1"/>
  <c r="K255" i="1"/>
  <c r="J255" i="1"/>
  <c r="H255" i="1"/>
  <c r="CR255" i="1" s="1"/>
  <c r="G255" i="1"/>
  <c r="CQ255" i="1" s="1"/>
  <c r="CT255" i="1" s="1"/>
  <c r="E255" i="1"/>
  <c r="D255" i="1"/>
  <c r="B255" i="1"/>
  <c r="Q255" i="1" s="1"/>
  <c r="S255" i="1" s="1"/>
  <c r="DF255" i="1" s="1"/>
  <c r="M254" i="1"/>
  <c r="K254" i="1"/>
  <c r="J254" i="1"/>
  <c r="H254" i="1"/>
  <c r="CR254" i="1" s="1"/>
  <c r="G254" i="1"/>
  <c r="CQ254" i="1" s="1"/>
  <c r="E254" i="1"/>
  <c r="D254" i="1"/>
  <c r="B254" i="1"/>
  <c r="Q254" i="1" s="1"/>
  <c r="S254" i="1" s="1"/>
  <c r="DF254" i="1" s="1"/>
  <c r="M253" i="1"/>
  <c r="K253" i="1"/>
  <c r="J253" i="1"/>
  <c r="H253" i="1"/>
  <c r="CR253" i="1" s="1"/>
  <c r="G253" i="1"/>
  <c r="CQ253" i="1" s="1"/>
  <c r="CT253" i="1" s="1"/>
  <c r="E253" i="1"/>
  <c r="D253" i="1"/>
  <c r="B253" i="1"/>
  <c r="Q253" i="1" s="1"/>
  <c r="S253" i="1" s="1"/>
  <c r="DF253" i="1" s="1"/>
  <c r="M252" i="1"/>
  <c r="K252" i="1"/>
  <c r="J252" i="1"/>
  <c r="H252" i="1"/>
  <c r="CR252" i="1" s="1"/>
  <c r="G252" i="1"/>
  <c r="CQ252" i="1" s="1"/>
  <c r="E252" i="1"/>
  <c r="D252" i="1"/>
  <c r="B252" i="1"/>
  <c r="Q252" i="1" s="1"/>
  <c r="S252" i="1" s="1"/>
  <c r="DF252" i="1" s="1"/>
  <c r="M251" i="1"/>
  <c r="K251" i="1"/>
  <c r="J251" i="1"/>
  <c r="H251" i="1"/>
  <c r="CR251" i="1" s="1"/>
  <c r="G251" i="1"/>
  <c r="CQ251" i="1" s="1"/>
  <c r="E251" i="1"/>
  <c r="D251" i="1"/>
  <c r="B251" i="1"/>
  <c r="Q251" i="1" s="1"/>
  <c r="S251" i="1" s="1"/>
  <c r="DF251" i="1" s="1"/>
  <c r="M250" i="1"/>
  <c r="K250" i="1"/>
  <c r="J250" i="1"/>
  <c r="H250" i="1"/>
  <c r="CR250" i="1" s="1"/>
  <c r="G250" i="1"/>
  <c r="CQ250" i="1" s="1"/>
  <c r="E250" i="1"/>
  <c r="D250" i="1"/>
  <c r="B250" i="1"/>
  <c r="Q250" i="1" s="1"/>
  <c r="S250" i="1" s="1"/>
  <c r="DF250" i="1" s="1"/>
  <c r="M249" i="1"/>
  <c r="K249" i="1"/>
  <c r="J249" i="1"/>
  <c r="H249" i="1"/>
  <c r="CR249" i="1" s="1"/>
  <c r="G249" i="1"/>
  <c r="CQ249" i="1" s="1"/>
  <c r="CT249" i="1" s="1"/>
  <c r="E249" i="1"/>
  <c r="D249" i="1"/>
  <c r="B249" i="1"/>
  <c r="Q249" i="1" s="1"/>
  <c r="S249" i="1" s="1"/>
  <c r="DF249" i="1" s="1"/>
  <c r="M248" i="1"/>
  <c r="K248" i="1"/>
  <c r="J248" i="1"/>
  <c r="H248" i="1"/>
  <c r="CR248" i="1" s="1"/>
  <c r="G248" i="1"/>
  <c r="CQ248" i="1" s="1"/>
  <c r="E248" i="1"/>
  <c r="D248" i="1"/>
  <c r="B248" i="1"/>
  <c r="Q248" i="1" s="1"/>
  <c r="S248" i="1" s="1"/>
  <c r="DF248" i="1" s="1"/>
  <c r="M247" i="1"/>
  <c r="K247" i="1"/>
  <c r="J247" i="1"/>
  <c r="H247" i="1"/>
  <c r="CR247" i="1" s="1"/>
  <c r="G247" i="1"/>
  <c r="CQ247" i="1" s="1"/>
  <c r="E247" i="1"/>
  <c r="D247" i="1"/>
  <c r="B247" i="1"/>
  <c r="Q247" i="1" s="1"/>
  <c r="S247" i="1" s="1"/>
  <c r="DF247" i="1" s="1"/>
  <c r="M246" i="1"/>
  <c r="K246" i="1"/>
  <c r="J246" i="1"/>
  <c r="H246" i="1"/>
  <c r="CR246" i="1" s="1"/>
  <c r="G246" i="1"/>
  <c r="CQ246" i="1" s="1"/>
  <c r="E246" i="1"/>
  <c r="D246" i="1"/>
  <c r="B246" i="1"/>
  <c r="Q246" i="1" s="1"/>
  <c r="S246" i="1" s="1"/>
  <c r="DF246" i="1" s="1"/>
  <c r="M245" i="1"/>
  <c r="K245" i="1"/>
  <c r="J245" i="1"/>
  <c r="H245" i="1"/>
  <c r="CR245" i="1" s="1"/>
  <c r="G245" i="1"/>
  <c r="CQ245" i="1" s="1"/>
  <c r="E245" i="1"/>
  <c r="D245" i="1"/>
  <c r="B245" i="1"/>
  <c r="Q245" i="1" s="1"/>
  <c r="S245" i="1" s="1"/>
  <c r="DF245" i="1" s="1"/>
  <c r="M244" i="1"/>
  <c r="K244" i="1"/>
  <c r="J244" i="1"/>
  <c r="H244" i="1"/>
  <c r="CR244" i="1" s="1"/>
  <c r="G244" i="1"/>
  <c r="CQ244" i="1" s="1"/>
  <c r="CT244" i="1" s="1"/>
  <c r="E244" i="1"/>
  <c r="D244" i="1"/>
  <c r="B244" i="1"/>
  <c r="Q244" i="1" s="1"/>
  <c r="S244" i="1" s="1"/>
  <c r="DF244" i="1" s="1"/>
  <c r="M243" i="1"/>
  <c r="K243" i="1"/>
  <c r="J243" i="1"/>
  <c r="H243" i="1"/>
  <c r="CR243" i="1" s="1"/>
  <c r="G243" i="1"/>
  <c r="CQ243" i="1" s="1"/>
  <c r="E243" i="1"/>
  <c r="D243" i="1"/>
  <c r="B243" i="1"/>
  <c r="Q243" i="1" s="1"/>
  <c r="S243" i="1" s="1"/>
  <c r="DF243" i="1" s="1"/>
  <c r="M242" i="1"/>
  <c r="K242" i="1"/>
  <c r="J242" i="1"/>
  <c r="H242" i="1"/>
  <c r="CR242" i="1" s="1"/>
  <c r="G242" i="1"/>
  <c r="CQ242" i="1" s="1"/>
  <c r="E242" i="1"/>
  <c r="D242" i="1"/>
  <c r="B242" i="1"/>
  <c r="Q242" i="1" s="1"/>
  <c r="S242" i="1" s="1"/>
  <c r="DF242" i="1" s="1"/>
  <c r="M241" i="1"/>
  <c r="K241" i="1"/>
  <c r="J241" i="1"/>
  <c r="H241" i="1"/>
  <c r="CR241" i="1" s="1"/>
  <c r="G241" i="1"/>
  <c r="CQ241" i="1" s="1"/>
  <c r="E241" i="1"/>
  <c r="D241" i="1"/>
  <c r="B241" i="1"/>
  <c r="Q241" i="1" s="1"/>
  <c r="S241" i="1" s="1"/>
  <c r="DF241" i="1" s="1"/>
  <c r="M240" i="1"/>
  <c r="K240" i="1"/>
  <c r="J240" i="1"/>
  <c r="H240" i="1"/>
  <c r="CR240" i="1" s="1"/>
  <c r="G240" i="1"/>
  <c r="CQ240" i="1" s="1"/>
  <c r="CT240" i="1" s="1"/>
  <c r="E240" i="1"/>
  <c r="D240" i="1"/>
  <c r="B240" i="1"/>
  <c r="Q240" i="1" s="1"/>
  <c r="S240" i="1" s="1"/>
  <c r="DF240" i="1" s="1"/>
  <c r="M239" i="1"/>
  <c r="K239" i="1"/>
  <c r="J239" i="1"/>
  <c r="H239" i="1"/>
  <c r="CR239" i="1" s="1"/>
  <c r="G239" i="1"/>
  <c r="CQ239" i="1" s="1"/>
  <c r="CT239" i="1" s="1"/>
  <c r="E239" i="1"/>
  <c r="D239" i="1"/>
  <c r="B239" i="1"/>
  <c r="Q239" i="1" s="1"/>
  <c r="S239" i="1" s="1"/>
  <c r="DF239" i="1" s="1"/>
  <c r="M238" i="1"/>
  <c r="K238" i="1"/>
  <c r="J238" i="1"/>
  <c r="H238" i="1"/>
  <c r="CR238" i="1" s="1"/>
  <c r="G238" i="1"/>
  <c r="CQ238" i="1" s="1"/>
  <c r="E238" i="1"/>
  <c r="D238" i="1"/>
  <c r="B238" i="1"/>
  <c r="Q238" i="1" s="1"/>
  <c r="S238" i="1" s="1"/>
  <c r="DF238" i="1" s="1"/>
  <c r="M237" i="1"/>
  <c r="K237" i="1"/>
  <c r="J237" i="1"/>
  <c r="H237" i="1"/>
  <c r="CR237" i="1" s="1"/>
  <c r="G237" i="1"/>
  <c r="CQ237" i="1" s="1"/>
  <c r="CT237" i="1" s="1"/>
  <c r="E237" i="1"/>
  <c r="D237" i="1"/>
  <c r="B237" i="1"/>
  <c r="Q237" i="1" s="1"/>
  <c r="S237" i="1" s="1"/>
  <c r="DF237" i="1" s="1"/>
  <c r="M236" i="1"/>
  <c r="K236" i="1"/>
  <c r="J236" i="1"/>
  <c r="H236" i="1"/>
  <c r="CR236" i="1" s="1"/>
  <c r="G236" i="1"/>
  <c r="E236" i="1"/>
  <c r="D236" i="1"/>
  <c r="B236" i="1"/>
  <c r="Q236" i="1" s="1"/>
  <c r="S236" i="1" s="1"/>
  <c r="DF236" i="1" s="1"/>
  <c r="M235" i="1"/>
  <c r="K235" i="1"/>
  <c r="J235" i="1"/>
  <c r="H235" i="1"/>
  <c r="CR235" i="1" s="1"/>
  <c r="G235" i="1"/>
  <c r="CQ235" i="1" s="1"/>
  <c r="E235" i="1"/>
  <c r="D235" i="1"/>
  <c r="B235" i="1"/>
  <c r="Q235" i="1" s="1"/>
  <c r="S235" i="1" s="1"/>
  <c r="DF235" i="1" s="1"/>
  <c r="M234" i="1"/>
  <c r="K234" i="1"/>
  <c r="J234" i="1"/>
  <c r="H234" i="1"/>
  <c r="CR234" i="1" s="1"/>
  <c r="G234" i="1"/>
  <c r="CQ234" i="1" s="1"/>
  <c r="E234" i="1"/>
  <c r="D234" i="1"/>
  <c r="B234" i="1"/>
  <c r="Q234" i="1" s="1"/>
  <c r="S234" i="1" s="1"/>
  <c r="DF234" i="1" s="1"/>
  <c r="M233" i="1"/>
  <c r="K233" i="1"/>
  <c r="J233" i="1"/>
  <c r="H233" i="1"/>
  <c r="CR233" i="1" s="1"/>
  <c r="G233" i="1"/>
  <c r="CQ233" i="1" s="1"/>
  <c r="CT233" i="1" s="1"/>
  <c r="E233" i="1"/>
  <c r="D233" i="1"/>
  <c r="B233" i="1"/>
  <c r="Q233" i="1" s="1"/>
  <c r="S233" i="1" s="1"/>
  <c r="DF233" i="1" s="1"/>
  <c r="M232" i="1"/>
  <c r="K232" i="1"/>
  <c r="J232" i="1"/>
  <c r="H232" i="1"/>
  <c r="CR232" i="1" s="1"/>
  <c r="G232" i="1"/>
  <c r="CQ232" i="1" s="1"/>
  <c r="E232" i="1"/>
  <c r="D232" i="1"/>
  <c r="B232" i="1"/>
  <c r="Q232" i="1" s="1"/>
  <c r="S232" i="1" s="1"/>
  <c r="DF232" i="1" s="1"/>
  <c r="M231" i="1"/>
  <c r="K231" i="1"/>
  <c r="J231" i="1"/>
  <c r="H231" i="1"/>
  <c r="CR231" i="1" s="1"/>
  <c r="G231" i="1"/>
  <c r="CQ231" i="1" s="1"/>
  <c r="E231" i="1"/>
  <c r="D231" i="1"/>
  <c r="B231" i="1"/>
  <c r="Q231" i="1" s="1"/>
  <c r="S231" i="1" s="1"/>
  <c r="DF231" i="1" s="1"/>
  <c r="M230" i="1"/>
  <c r="K230" i="1"/>
  <c r="J230" i="1"/>
  <c r="H230" i="1"/>
  <c r="CR230" i="1" s="1"/>
  <c r="G230" i="1"/>
  <c r="CQ230" i="1" s="1"/>
  <c r="E230" i="1"/>
  <c r="D230" i="1"/>
  <c r="B230" i="1"/>
  <c r="Q230" i="1" s="1"/>
  <c r="S230" i="1" s="1"/>
  <c r="DF230" i="1" s="1"/>
  <c r="M229" i="1"/>
  <c r="K229" i="1"/>
  <c r="J229" i="1"/>
  <c r="H229" i="1"/>
  <c r="CR229" i="1" s="1"/>
  <c r="G229" i="1"/>
  <c r="CQ229" i="1" s="1"/>
  <c r="E229" i="1"/>
  <c r="D229" i="1"/>
  <c r="B229" i="1"/>
  <c r="Q229" i="1" s="1"/>
  <c r="S229" i="1" s="1"/>
  <c r="DF229" i="1" s="1"/>
  <c r="M228" i="1"/>
  <c r="K228" i="1"/>
  <c r="J228" i="1"/>
  <c r="H228" i="1"/>
  <c r="CR228" i="1" s="1"/>
  <c r="G228" i="1"/>
  <c r="CQ228" i="1" s="1"/>
  <c r="CT228" i="1" s="1"/>
  <c r="E228" i="1"/>
  <c r="D228" i="1"/>
  <c r="B228" i="1"/>
  <c r="Q228" i="1" s="1"/>
  <c r="S228" i="1" s="1"/>
  <c r="DF228" i="1" s="1"/>
  <c r="M227" i="1"/>
  <c r="K227" i="1"/>
  <c r="J227" i="1"/>
  <c r="H227" i="1"/>
  <c r="CR227" i="1" s="1"/>
  <c r="G227" i="1"/>
  <c r="CQ227" i="1" s="1"/>
  <c r="E227" i="1"/>
  <c r="D227" i="1"/>
  <c r="B227" i="1"/>
  <c r="Q227" i="1" s="1"/>
  <c r="S227" i="1" s="1"/>
  <c r="DF227" i="1" s="1"/>
  <c r="M226" i="1"/>
  <c r="K226" i="1"/>
  <c r="J226" i="1"/>
  <c r="H226" i="1"/>
  <c r="CR226" i="1" s="1"/>
  <c r="G226" i="1"/>
  <c r="CQ226" i="1" s="1"/>
  <c r="E226" i="1"/>
  <c r="D226" i="1"/>
  <c r="B226" i="1"/>
  <c r="Q226" i="1" s="1"/>
  <c r="S226" i="1" s="1"/>
  <c r="DF226" i="1" s="1"/>
  <c r="M225" i="1"/>
  <c r="K225" i="1"/>
  <c r="J225" i="1"/>
  <c r="H225" i="1"/>
  <c r="CR225" i="1" s="1"/>
  <c r="G225" i="1"/>
  <c r="CQ225" i="1" s="1"/>
  <c r="E225" i="1"/>
  <c r="D225" i="1"/>
  <c r="B225" i="1"/>
  <c r="Q225" i="1" s="1"/>
  <c r="S225" i="1" s="1"/>
  <c r="DF225" i="1" s="1"/>
  <c r="M224" i="1"/>
  <c r="K224" i="1"/>
  <c r="J224" i="1"/>
  <c r="H224" i="1"/>
  <c r="CR224" i="1" s="1"/>
  <c r="G224" i="1"/>
  <c r="CQ224" i="1" s="1"/>
  <c r="CT224" i="1" s="1"/>
  <c r="E224" i="1"/>
  <c r="D224" i="1"/>
  <c r="B224" i="1"/>
  <c r="Q224" i="1" s="1"/>
  <c r="S224" i="1" s="1"/>
  <c r="DF224" i="1" s="1"/>
  <c r="M223" i="1"/>
  <c r="K223" i="1"/>
  <c r="J223" i="1"/>
  <c r="H223" i="1"/>
  <c r="CR223" i="1" s="1"/>
  <c r="G223" i="1"/>
  <c r="CQ223" i="1" s="1"/>
  <c r="CT223" i="1" s="1"/>
  <c r="E223" i="1"/>
  <c r="D223" i="1"/>
  <c r="B223" i="1"/>
  <c r="Q223" i="1" s="1"/>
  <c r="S223" i="1" s="1"/>
  <c r="DF223" i="1" s="1"/>
  <c r="M222" i="1"/>
  <c r="K222" i="1"/>
  <c r="J222" i="1"/>
  <c r="H222" i="1"/>
  <c r="CR222" i="1" s="1"/>
  <c r="G222" i="1"/>
  <c r="CQ222" i="1" s="1"/>
  <c r="E222" i="1"/>
  <c r="D222" i="1"/>
  <c r="B222" i="1"/>
  <c r="Q222" i="1" s="1"/>
  <c r="S222" i="1" s="1"/>
  <c r="DF222" i="1" s="1"/>
  <c r="M221" i="1"/>
  <c r="K221" i="1"/>
  <c r="J221" i="1"/>
  <c r="H221" i="1"/>
  <c r="CR221" i="1" s="1"/>
  <c r="G221" i="1"/>
  <c r="CQ221" i="1" s="1"/>
  <c r="CT221" i="1" s="1"/>
  <c r="E221" i="1"/>
  <c r="D221" i="1"/>
  <c r="B221" i="1"/>
  <c r="Q221" i="1" s="1"/>
  <c r="S221" i="1" s="1"/>
  <c r="DF221" i="1" s="1"/>
  <c r="M220" i="1"/>
  <c r="K220" i="1"/>
  <c r="J220" i="1"/>
  <c r="H220" i="1"/>
  <c r="CR220" i="1" s="1"/>
  <c r="G220" i="1"/>
  <c r="CQ220" i="1" s="1"/>
  <c r="E220" i="1"/>
  <c r="D220" i="1"/>
  <c r="B220" i="1"/>
  <c r="Q220" i="1" s="1"/>
  <c r="S220" i="1" s="1"/>
  <c r="DF220" i="1" s="1"/>
  <c r="M219" i="1"/>
  <c r="K219" i="1"/>
  <c r="J219" i="1"/>
  <c r="H219" i="1"/>
  <c r="CR219" i="1" s="1"/>
  <c r="G219" i="1"/>
  <c r="CQ219" i="1" s="1"/>
  <c r="E219" i="1"/>
  <c r="D219" i="1"/>
  <c r="B219" i="1"/>
  <c r="Q219" i="1" s="1"/>
  <c r="S219" i="1" s="1"/>
  <c r="DF219" i="1" s="1"/>
  <c r="M218" i="1"/>
  <c r="K218" i="1"/>
  <c r="J218" i="1"/>
  <c r="H218" i="1"/>
  <c r="CR218" i="1" s="1"/>
  <c r="G218" i="1"/>
  <c r="CQ218" i="1" s="1"/>
  <c r="E218" i="1"/>
  <c r="D218" i="1"/>
  <c r="B218" i="1"/>
  <c r="Q218" i="1" s="1"/>
  <c r="S218" i="1" s="1"/>
  <c r="DF218" i="1" s="1"/>
  <c r="M217" i="1"/>
  <c r="K217" i="1"/>
  <c r="J217" i="1"/>
  <c r="H217" i="1"/>
  <c r="CR217" i="1" s="1"/>
  <c r="G217" i="1"/>
  <c r="CQ217" i="1" s="1"/>
  <c r="CT217" i="1" s="1"/>
  <c r="E217" i="1"/>
  <c r="D217" i="1"/>
  <c r="B217" i="1"/>
  <c r="Q217" i="1" s="1"/>
  <c r="S217" i="1" s="1"/>
  <c r="DF217" i="1" s="1"/>
  <c r="M216" i="1"/>
  <c r="K216" i="1"/>
  <c r="J216" i="1"/>
  <c r="H216" i="1"/>
  <c r="CR216" i="1" s="1"/>
  <c r="G216" i="1"/>
  <c r="CQ216" i="1" s="1"/>
  <c r="E216" i="1"/>
  <c r="D216" i="1"/>
  <c r="B216" i="1"/>
  <c r="Q216" i="1" s="1"/>
  <c r="S216" i="1" s="1"/>
  <c r="DF216" i="1" s="1"/>
  <c r="M215" i="1"/>
  <c r="K215" i="1"/>
  <c r="J215" i="1"/>
  <c r="H215" i="1"/>
  <c r="CR215" i="1" s="1"/>
  <c r="G215" i="1"/>
  <c r="CQ215" i="1" s="1"/>
  <c r="E215" i="1"/>
  <c r="D215" i="1"/>
  <c r="B215" i="1"/>
  <c r="Q215" i="1" s="1"/>
  <c r="S215" i="1" s="1"/>
  <c r="DF215" i="1" s="1"/>
  <c r="M214" i="1"/>
  <c r="K214" i="1"/>
  <c r="J214" i="1"/>
  <c r="H214" i="1"/>
  <c r="CR214" i="1" s="1"/>
  <c r="G214" i="1"/>
  <c r="CQ214" i="1" s="1"/>
  <c r="E214" i="1"/>
  <c r="D214" i="1"/>
  <c r="B214" i="1"/>
  <c r="Q214" i="1" s="1"/>
  <c r="S214" i="1" s="1"/>
  <c r="DF214" i="1" s="1"/>
  <c r="M213" i="1"/>
  <c r="K213" i="1"/>
  <c r="J213" i="1"/>
  <c r="H213" i="1"/>
  <c r="CR213" i="1" s="1"/>
  <c r="G213" i="1"/>
  <c r="CQ213" i="1" s="1"/>
  <c r="E213" i="1"/>
  <c r="D213" i="1"/>
  <c r="B213" i="1"/>
  <c r="Q213" i="1" s="1"/>
  <c r="S213" i="1" s="1"/>
  <c r="DF213" i="1" s="1"/>
  <c r="M212" i="1"/>
  <c r="K212" i="1"/>
  <c r="J212" i="1"/>
  <c r="H212" i="1"/>
  <c r="CR212" i="1" s="1"/>
  <c r="G212" i="1"/>
  <c r="CQ212" i="1" s="1"/>
  <c r="CT212" i="1" s="1"/>
  <c r="E212" i="1"/>
  <c r="D212" i="1"/>
  <c r="B212" i="1"/>
  <c r="Q212" i="1" s="1"/>
  <c r="S212" i="1" s="1"/>
  <c r="DF212" i="1" s="1"/>
  <c r="M211" i="1"/>
  <c r="K211" i="1"/>
  <c r="J211" i="1"/>
  <c r="H211" i="1"/>
  <c r="CR211" i="1" s="1"/>
  <c r="G211" i="1"/>
  <c r="CQ211" i="1" s="1"/>
  <c r="E211" i="1"/>
  <c r="D211" i="1"/>
  <c r="B211" i="1"/>
  <c r="Q211" i="1" s="1"/>
  <c r="S211" i="1" s="1"/>
  <c r="DF211" i="1" s="1"/>
  <c r="M210" i="1"/>
  <c r="K210" i="1"/>
  <c r="J210" i="1"/>
  <c r="H210" i="1"/>
  <c r="CR210" i="1" s="1"/>
  <c r="G210" i="1"/>
  <c r="CQ210" i="1" s="1"/>
  <c r="E210" i="1"/>
  <c r="D210" i="1"/>
  <c r="B210" i="1"/>
  <c r="Q210" i="1" s="1"/>
  <c r="S210" i="1" s="1"/>
  <c r="DF210" i="1" s="1"/>
  <c r="M209" i="1"/>
  <c r="K209" i="1"/>
  <c r="J209" i="1"/>
  <c r="H209" i="1"/>
  <c r="CR209" i="1" s="1"/>
  <c r="G209" i="1"/>
  <c r="CQ209" i="1" s="1"/>
  <c r="E209" i="1"/>
  <c r="D209" i="1"/>
  <c r="B209" i="1"/>
  <c r="Q209" i="1" s="1"/>
  <c r="S209" i="1" s="1"/>
  <c r="DF209" i="1" s="1"/>
  <c r="M208" i="1"/>
  <c r="K208" i="1"/>
  <c r="J208" i="1"/>
  <c r="H208" i="1"/>
  <c r="CR208" i="1" s="1"/>
  <c r="G208" i="1"/>
  <c r="CQ208" i="1" s="1"/>
  <c r="CT208" i="1" s="1"/>
  <c r="E208" i="1"/>
  <c r="D208" i="1"/>
  <c r="B208" i="1"/>
  <c r="Q208" i="1" s="1"/>
  <c r="M207" i="1"/>
  <c r="K207" i="1"/>
  <c r="J207" i="1"/>
  <c r="H207" i="1"/>
  <c r="CR207" i="1" s="1"/>
  <c r="G207" i="1"/>
  <c r="CQ207" i="1" s="1"/>
  <c r="CT207" i="1" s="1"/>
  <c r="E207" i="1"/>
  <c r="D207" i="1"/>
  <c r="B207" i="1"/>
  <c r="Q207" i="1" s="1"/>
  <c r="M206" i="1"/>
  <c r="K206" i="1"/>
  <c r="J206" i="1"/>
  <c r="H206" i="1"/>
  <c r="CR206" i="1" s="1"/>
  <c r="G206" i="1"/>
  <c r="CQ206" i="1" s="1"/>
  <c r="E206" i="1"/>
  <c r="D206" i="1"/>
  <c r="B206" i="1"/>
  <c r="Q206" i="1" s="1"/>
  <c r="M205" i="1"/>
  <c r="K205" i="1"/>
  <c r="J205" i="1"/>
  <c r="H205" i="1"/>
  <c r="CR205" i="1" s="1"/>
  <c r="G205" i="1"/>
  <c r="CQ205" i="1" s="1"/>
  <c r="CT205" i="1" s="1"/>
  <c r="E205" i="1"/>
  <c r="D205" i="1"/>
  <c r="B205" i="1"/>
  <c r="Q205" i="1" s="1"/>
  <c r="M204" i="1"/>
  <c r="K204" i="1"/>
  <c r="J204" i="1"/>
  <c r="H204" i="1"/>
  <c r="CR204" i="1" s="1"/>
  <c r="G204" i="1"/>
  <c r="CQ204" i="1" s="1"/>
  <c r="E204" i="1"/>
  <c r="D204" i="1"/>
  <c r="B204" i="1"/>
  <c r="Q204" i="1" s="1"/>
  <c r="M203" i="1"/>
  <c r="K203" i="1"/>
  <c r="J203" i="1"/>
  <c r="H203" i="1"/>
  <c r="CR203" i="1" s="1"/>
  <c r="G203" i="1"/>
  <c r="CQ203" i="1" s="1"/>
  <c r="E203" i="1"/>
  <c r="D203" i="1"/>
  <c r="B203" i="1"/>
  <c r="Q203" i="1" s="1"/>
  <c r="M202" i="1"/>
  <c r="K202" i="1"/>
  <c r="J202" i="1"/>
  <c r="H202" i="1"/>
  <c r="CR202" i="1" s="1"/>
  <c r="G202" i="1"/>
  <c r="E202" i="1"/>
  <c r="D202" i="1"/>
  <c r="B202" i="1"/>
  <c r="Q202" i="1" s="1"/>
  <c r="M201" i="1"/>
  <c r="K201" i="1"/>
  <c r="J201" i="1"/>
  <c r="H201" i="1"/>
  <c r="CR201" i="1" s="1"/>
  <c r="G201" i="1"/>
  <c r="CQ201" i="1" s="1"/>
  <c r="CT201" i="1" s="1"/>
  <c r="E201" i="1"/>
  <c r="D201" i="1"/>
  <c r="B201" i="1"/>
  <c r="Q201" i="1" s="1"/>
  <c r="M200" i="1"/>
  <c r="K200" i="1"/>
  <c r="J200" i="1"/>
  <c r="H200" i="1"/>
  <c r="CR200" i="1" s="1"/>
  <c r="G200" i="1"/>
  <c r="CQ200" i="1" s="1"/>
  <c r="E200" i="1"/>
  <c r="D200" i="1"/>
  <c r="B200" i="1"/>
  <c r="Q200" i="1" s="1"/>
  <c r="M199" i="1"/>
  <c r="K199" i="1"/>
  <c r="J199" i="1"/>
  <c r="H199" i="1"/>
  <c r="CR199" i="1" s="1"/>
  <c r="G199" i="1"/>
  <c r="CQ199" i="1" s="1"/>
  <c r="E199" i="1"/>
  <c r="D199" i="1"/>
  <c r="B199" i="1"/>
  <c r="Q199" i="1" s="1"/>
  <c r="M198" i="1"/>
  <c r="K198" i="1"/>
  <c r="J198" i="1"/>
  <c r="H198" i="1"/>
  <c r="CR198" i="1" s="1"/>
  <c r="G198" i="1"/>
  <c r="CQ198" i="1" s="1"/>
  <c r="E198" i="1"/>
  <c r="D198" i="1"/>
  <c r="B198" i="1"/>
  <c r="Q198" i="1" s="1"/>
  <c r="M197" i="1"/>
  <c r="K197" i="1"/>
  <c r="J197" i="1"/>
  <c r="H197" i="1"/>
  <c r="CR197" i="1" s="1"/>
  <c r="G197" i="1"/>
  <c r="CQ197" i="1" s="1"/>
  <c r="E197" i="1"/>
  <c r="D197" i="1"/>
  <c r="B197" i="1"/>
  <c r="Q197" i="1" s="1"/>
  <c r="M196" i="1"/>
  <c r="K196" i="1"/>
  <c r="J196" i="1"/>
  <c r="H196" i="1"/>
  <c r="CR196" i="1" s="1"/>
  <c r="G196" i="1"/>
  <c r="CQ196" i="1" s="1"/>
  <c r="CT196" i="1" s="1"/>
  <c r="E196" i="1"/>
  <c r="D196" i="1"/>
  <c r="B196" i="1"/>
  <c r="Q196" i="1" s="1"/>
  <c r="M195" i="1"/>
  <c r="K195" i="1"/>
  <c r="J195" i="1"/>
  <c r="H195" i="1"/>
  <c r="CR195" i="1" s="1"/>
  <c r="G195" i="1"/>
  <c r="CQ195" i="1" s="1"/>
  <c r="E195" i="1"/>
  <c r="D195" i="1"/>
  <c r="B195" i="1"/>
  <c r="Q195" i="1" s="1"/>
  <c r="M194" i="1"/>
  <c r="K194" i="1"/>
  <c r="J194" i="1"/>
  <c r="H194" i="1"/>
  <c r="CR194" i="1" s="1"/>
  <c r="G194" i="1"/>
  <c r="CQ194" i="1" s="1"/>
  <c r="CT194" i="1" s="1"/>
  <c r="E194" i="1"/>
  <c r="D194" i="1"/>
  <c r="B194" i="1"/>
  <c r="Q194" i="1" s="1"/>
  <c r="M193" i="1"/>
  <c r="K193" i="1"/>
  <c r="J193" i="1"/>
  <c r="H193" i="1"/>
  <c r="CR193" i="1" s="1"/>
  <c r="G193" i="1"/>
  <c r="CQ193" i="1" s="1"/>
  <c r="E193" i="1"/>
  <c r="D193" i="1"/>
  <c r="B193" i="1"/>
  <c r="Q193" i="1" s="1"/>
  <c r="M192" i="1"/>
  <c r="K192" i="1"/>
  <c r="J192" i="1"/>
  <c r="H192" i="1"/>
  <c r="CR192" i="1" s="1"/>
  <c r="G192" i="1"/>
  <c r="CQ192" i="1" s="1"/>
  <c r="CT192" i="1" s="1"/>
  <c r="E192" i="1"/>
  <c r="D192" i="1"/>
  <c r="B192" i="1"/>
  <c r="Q192" i="1" s="1"/>
  <c r="M191" i="1"/>
  <c r="K191" i="1"/>
  <c r="J191" i="1"/>
  <c r="H191" i="1"/>
  <c r="CR191" i="1" s="1"/>
  <c r="G191" i="1"/>
  <c r="CQ191" i="1" s="1"/>
  <c r="CT191" i="1" s="1"/>
  <c r="E191" i="1"/>
  <c r="D191" i="1"/>
  <c r="B191" i="1"/>
  <c r="Q191" i="1" s="1"/>
  <c r="M190" i="1"/>
  <c r="K190" i="1"/>
  <c r="J190" i="1"/>
  <c r="H190" i="1"/>
  <c r="CR190" i="1" s="1"/>
  <c r="G190" i="1"/>
  <c r="CQ190" i="1" s="1"/>
  <c r="E190" i="1"/>
  <c r="D190" i="1"/>
  <c r="B190" i="1"/>
  <c r="Q190" i="1" s="1"/>
  <c r="M189" i="1"/>
  <c r="K189" i="1"/>
  <c r="J189" i="1"/>
  <c r="H189" i="1"/>
  <c r="CR189" i="1" s="1"/>
  <c r="G189" i="1"/>
  <c r="CQ189" i="1" s="1"/>
  <c r="CT189" i="1" s="1"/>
  <c r="E189" i="1"/>
  <c r="D189" i="1"/>
  <c r="B189" i="1"/>
  <c r="Q189" i="1" s="1"/>
  <c r="M188" i="1"/>
  <c r="K188" i="1"/>
  <c r="J188" i="1"/>
  <c r="H188" i="1"/>
  <c r="CR188" i="1" s="1"/>
  <c r="G188" i="1"/>
  <c r="CQ188" i="1" s="1"/>
  <c r="E188" i="1"/>
  <c r="D188" i="1"/>
  <c r="B188" i="1"/>
  <c r="Q188" i="1" s="1"/>
  <c r="M187" i="1"/>
  <c r="K187" i="1"/>
  <c r="J187" i="1"/>
  <c r="H187" i="1"/>
  <c r="CR187" i="1" s="1"/>
  <c r="G187" i="1"/>
  <c r="CQ187" i="1" s="1"/>
  <c r="E187" i="1"/>
  <c r="D187" i="1"/>
  <c r="B187" i="1"/>
  <c r="Q187" i="1" s="1"/>
  <c r="M186" i="1"/>
  <c r="K186" i="1"/>
  <c r="J186" i="1"/>
  <c r="H186" i="1"/>
  <c r="CR186" i="1" s="1"/>
  <c r="G186" i="1"/>
  <c r="E186" i="1"/>
  <c r="D186" i="1"/>
  <c r="B186" i="1"/>
  <c r="Q186" i="1" s="1"/>
  <c r="M185" i="1"/>
  <c r="K185" i="1"/>
  <c r="J185" i="1"/>
  <c r="H185" i="1"/>
  <c r="CR185" i="1" s="1"/>
  <c r="G185" i="1"/>
  <c r="CQ185" i="1" s="1"/>
  <c r="CT185" i="1" s="1"/>
  <c r="E185" i="1"/>
  <c r="D185" i="1"/>
  <c r="B185" i="1"/>
  <c r="Q185" i="1" s="1"/>
  <c r="M184" i="1"/>
  <c r="K184" i="1"/>
  <c r="J184" i="1"/>
  <c r="H184" i="1"/>
  <c r="CR184" i="1" s="1"/>
  <c r="G184" i="1"/>
  <c r="CQ184" i="1" s="1"/>
  <c r="E184" i="1"/>
  <c r="D184" i="1"/>
  <c r="B184" i="1"/>
  <c r="Q184" i="1" s="1"/>
  <c r="M183" i="1"/>
  <c r="K183" i="1"/>
  <c r="J183" i="1"/>
  <c r="H183" i="1"/>
  <c r="CR183" i="1" s="1"/>
  <c r="G183" i="1"/>
  <c r="CQ183" i="1" s="1"/>
  <c r="E183" i="1"/>
  <c r="D183" i="1"/>
  <c r="B183" i="1"/>
  <c r="Q183" i="1" s="1"/>
  <c r="S183" i="1" s="1"/>
  <c r="DF183" i="1" s="1"/>
  <c r="M182" i="1"/>
  <c r="K182" i="1"/>
  <c r="J182" i="1"/>
  <c r="H182" i="1"/>
  <c r="CR182" i="1" s="1"/>
  <c r="G182" i="1"/>
  <c r="CQ182" i="1" s="1"/>
  <c r="E182" i="1"/>
  <c r="D182" i="1"/>
  <c r="B182" i="1"/>
  <c r="Q182" i="1" s="1"/>
  <c r="S182" i="1" s="1"/>
  <c r="DF182" i="1" s="1"/>
  <c r="M181" i="1"/>
  <c r="K181" i="1"/>
  <c r="J181" i="1"/>
  <c r="H181" i="1"/>
  <c r="CR181" i="1" s="1"/>
  <c r="G181" i="1"/>
  <c r="CQ181" i="1" s="1"/>
  <c r="E181" i="1"/>
  <c r="D181" i="1"/>
  <c r="B181" i="1"/>
  <c r="Q181" i="1" s="1"/>
  <c r="S181" i="1" s="1"/>
  <c r="DF181" i="1" s="1"/>
  <c r="M180" i="1"/>
  <c r="K180" i="1"/>
  <c r="J180" i="1"/>
  <c r="H180" i="1"/>
  <c r="CR180" i="1" s="1"/>
  <c r="G180" i="1"/>
  <c r="CQ180" i="1" s="1"/>
  <c r="CT180" i="1" s="1"/>
  <c r="E180" i="1"/>
  <c r="D180" i="1"/>
  <c r="B180" i="1"/>
  <c r="Q180" i="1" s="1"/>
  <c r="S180" i="1" s="1"/>
  <c r="DF180" i="1" s="1"/>
  <c r="M179" i="1"/>
  <c r="K179" i="1"/>
  <c r="J179" i="1"/>
  <c r="H179" i="1"/>
  <c r="CR179" i="1" s="1"/>
  <c r="G179" i="1"/>
  <c r="CQ179" i="1" s="1"/>
  <c r="E179" i="1"/>
  <c r="D179" i="1"/>
  <c r="B179" i="1"/>
  <c r="Q179" i="1" s="1"/>
  <c r="S179" i="1" s="1"/>
  <c r="DF179" i="1" s="1"/>
  <c r="M178" i="1"/>
  <c r="K178" i="1"/>
  <c r="J178" i="1"/>
  <c r="H178" i="1"/>
  <c r="CR178" i="1" s="1"/>
  <c r="G178" i="1"/>
  <c r="CQ178" i="1" s="1"/>
  <c r="CT178" i="1" s="1"/>
  <c r="E178" i="1"/>
  <c r="D178" i="1"/>
  <c r="B178" i="1"/>
  <c r="Q178" i="1" s="1"/>
  <c r="S178" i="1" s="1"/>
  <c r="DF178" i="1" s="1"/>
  <c r="M177" i="1"/>
  <c r="K177" i="1"/>
  <c r="J177" i="1"/>
  <c r="H177" i="1"/>
  <c r="CR177" i="1" s="1"/>
  <c r="G177" i="1"/>
  <c r="CQ177" i="1" s="1"/>
  <c r="E177" i="1"/>
  <c r="D177" i="1"/>
  <c r="B177" i="1"/>
  <c r="Q177" i="1" s="1"/>
  <c r="S177" i="1" s="1"/>
  <c r="DF177" i="1" s="1"/>
  <c r="M176" i="1"/>
  <c r="K176" i="1"/>
  <c r="J176" i="1"/>
  <c r="H176" i="1"/>
  <c r="CR176" i="1" s="1"/>
  <c r="G176" i="1"/>
  <c r="CQ176" i="1" s="1"/>
  <c r="CT176" i="1" s="1"/>
  <c r="E176" i="1"/>
  <c r="D176" i="1"/>
  <c r="B176" i="1"/>
  <c r="Q176" i="1" s="1"/>
  <c r="S176" i="1" s="1"/>
  <c r="DF176" i="1" s="1"/>
  <c r="M175" i="1"/>
  <c r="K175" i="1"/>
  <c r="J175" i="1"/>
  <c r="H175" i="1"/>
  <c r="CR175" i="1" s="1"/>
  <c r="G175" i="1"/>
  <c r="CQ175" i="1" s="1"/>
  <c r="CT175" i="1" s="1"/>
  <c r="E175" i="1"/>
  <c r="D175" i="1"/>
  <c r="B175" i="1"/>
  <c r="Q175" i="1" s="1"/>
  <c r="S175" i="1" s="1"/>
  <c r="DF175" i="1" s="1"/>
  <c r="M174" i="1"/>
  <c r="K174" i="1"/>
  <c r="J174" i="1"/>
  <c r="H174" i="1"/>
  <c r="CR174" i="1" s="1"/>
  <c r="G174" i="1"/>
  <c r="CQ174" i="1" s="1"/>
  <c r="E174" i="1"/>
  <c r="D174" i="1"/>
  <c r="B174" i="1"/>
  <c r="Q174" i="1" s="1"/>
  <c r="S174" i="1" s="1"/>
  <c r="DF174" i="1" s="1"/>
  <c r="M173" i="1"/>
  <c r="K173" i="1"/>
  <c r="J173" i="1"/>
  <c r="H173" i="1"/>
  <c r="CR173" i="1" s="1"/>
  <c r="G173" i="1"/>
  <c r="CQ173" i="1" s="1"/>
  <c r="CT173" i="1" s="1"/>
  <c r="E173" i="1"/>
  <c r="D173" i="1"/>
  <c r="B173" i="1"/>
  <c r="Q173" i="1" s="1"/>
  <c r="S173" i="1" s="1"/>
  <c r="DF173" i="1" s="1"/>
  <c r="M172" i="1"/>
  <c r="K172" i="1"/>
  <c r="J172" i="1"/>
  <c r="H172" i="1"/>
  <c r="CR172" i="1" s="1"/>
  <c r="G172" i="1"/>
  <c r="E172" i="1"/>
  <c r="D172" i="1"/>
  <c r="B172" i="1"/>
  <c r="Q172" i="1" s="1"/>
  <c r="S172" i="1" s="1"/>
  <c r="DF172" i="1" s="1"/>
  <c r="M171" i="1"/>
  <c r="K171" i="1"/>
  <c r="J171" i="1"/>
  <c r="H171" i="1"/>
  <c r="CR171" i="1" s="1"/>
  <c r="G171" i="1"/>
  <c r="CQ171" i="1" s="1"/>
  <c r="E171" i="1"/>
  <c r="D171" i="1"/>
  <c r="B171" i="1"/>
  <c r="Q171" i="1" s="1"/>
  <c r="S171" i="1" s="1"/>
  <c r="DF171" i="1" s="1"/>
  <c r="M170" i="1"/>
  <c r="K170" i="1"/>
  <c r="J170" i="1"/>
  <c r="H170" i="1"/>
  <c r="CR170" i="1" s="1"/>
  <c r="G170" i="1"/>
  <c r="CQ170" i="1" s="1"/>
  <c r="E170" i="1"/>
  <c r="D170" i="1"/>
  <c r="B170" i="1"/>
  <c r="Q170" i="1" s="1"/>
  <c r="S170" i="1" s="1"/>
  <c r="DF170" i="1" s="1"/>
  <c r="M169" i="1"/>
  <c r="K169" i="1"/>
  <c r="J169" i="1"/>
  <c r="H169" i="1"/>
  <c r="CR169" i="1" s="1"/>
  <c r="G169" i="1"/>
  <c r="CQ169" i="1" s="1"/>
  <c r="CT169" i="1" s="1"/>
  <c r="E169" i="1"/>
  <c r="D169" i="1"/>
  <c r="B169" i="1"/>
  <c r="Q169" i="1" s="1"/>
  <c r="S169" i="1" s="1"/>
  <c r="DF169" i="1" s="1"/>
  <c r="M168" i="1"/>
  <c r="K168" i="1"/>
  <c r="J168" i="1"/>
  <c r="H168" i="1"/>
  <c r="CR168" i="1" s="1"/>
  <c r="G168" i="1"/>
  <c r="CQ168" i="1" s="1"/>
  <c r="E168" i="1"/>
  <c r="D168" i="1"/>
  <c r="B168" i="1"/>
  <c r="Q168" i="1" s="1"/>
  <c r="S168" i="1" s="1"/>
  <c r="DF168" i="1" s="1"/>
  <c r="M167" i="1"/>
  <c r="K167" i="1"/>
  <c r="J167" i="1"/>
  <c r="H167" i="1"/>
  <c r="CR167" i="1" s="1"/>
  <c r="G167" i="1"/>
  <c r="CQ167" i="1" s="1"/>
  <c r="E167" i="1"/>
  <c r="D167" i="1"/>
  <c r="B167" i="1"/>
  <c r="Q167" i="1" s="1"/>
  <c r="S167" i="1" s="1"/>
  <c r="DF167" i="1" s="1"/>
  <c r="M166" i="1"/>
  <c r="K166" i="1"/>
  <c r="J166" i="1"/>
  <c r="H166" i="1"/>
  <c r="CR166" i="1" s="1"/>
  <c r="G166" i="1"/>
  <c r="CQ166" i="1" s="1"/>
  <c r="E166" i="1"/>
  <c r="D166" i="1"/>
  <c r="B166" i="1"/>
  <c r="Q166" i="1" s="1"/>
  <c r="S166" i="1" s="1"/>
  <c r="DF166" i="1" s="1"/>
  <c r="M165" i="1"/>
  <c r="K165" i="1"/>
  <c r="J165" i="1"/>
  <c r="H165" i="1"/>
  <c r="CR165" i="1" s="1"/>
  <c r="G165" i="1"/>
  <c r="CQ165" i="1" s="1"/>
  <c r="E165" i="1"/>
  <c r="D165" i="1"/>
  <c r="B165" i="1"/>
  <c r="Q165" i="1" s="1"/>
  <c r="S165" i="1" s="1"/>
  <c r="DF165" i="1" s="1"/>
  <c r="M164" i="1"/>
  <c r="K164" i="1"/>
  <c r="J164" i="1"/>
  <c r="H164" i="1"/>
  <c r="CR164" i="1" s="1"/>
  <c r="G164" i="1"/>
  <c r="CQ164" i="1" s="1"/>
  <c r="CT164" i="1" s="1"/>
  <c r="E164" i="1"/>
  <c r="D164" i="1"/>
  <c r="B164" i="1"/>
  <c r="Q164" i="1" s="1"/>
  <c r="S164" i="1" s="1"/>
  <c r="DF164" i="1" s="1"/>
  <c r="M163" i="1"/>
  <c r="K163" i="1"/>
  <c r="J163" i="1"/>
  <c r="H163" i="1"/>
  <c r="CR163" i="1" s="1"/>
  <c r="G163" i="1"/>
  <c r="CQ163" i="1" s="1"/>
  <c r="E163" i="1"/>
  <c r="D163" i="1"/>
  <c r="B163" i="1"/>
  <c r="Q163" i="1" s="1"/>
  <c r="S163" i="1" s="1"/>
  <c r="DF163" i="1" s="1"/>
  <c r="M162" i="1"/>
  <c r="K162" i="1"/>
  <c r="J162" i="1"/>
  <c r="H162" i="1"/>
  <c r="CR162" i="1" s="1"/>
  <c r="G162" i="1"/>
  <c r="CQ162" i="1" s="1"/>
  <c r="CT162" i="1" s="1"/>
  <c r="E162" i="1"/>
  <c r="D162" i="1"/>
  <c r="B162" i="1"/>
  <c r="Q162" i="1" s="1"/>
  <c r="S162" i="1" s="1"/>
  <c r="DF162" i="1" s="1"/>
  <c r="M161" i="1"/>
  <c r="K161" i="1"/>
  <c r="J161" i="1"/>
  <c r="H161" i="1"/>
  <c r="CR161" i="1" s="1"/>
  <c r="G161" i="1"/>
  <c r="CQ161" i="1" s="1"/>
  <c r="E161" i="1"/>
  <c r="D161" i="1"/>
  <c r="B161" i="1"/>
  <c r="Q161" i="1" s="1"/>
  <c r="S161" i="1" s="1"/>
  <c r="DF161" i="1" s="1"/>
  <c r="M160" i="1"/>
  <c r="K160" i="1"/>
  <c r="J160" i="1"/>
  <c r="H160" i="1"/>
  <c r="CR160" i="1" s="1"/>
  <c r="G160" i="1"/>
  <c r="CQ160" i="1" s="1"/>
  <c r="CT160" i="1" s="1"/>
  <c r="E160" i="1"/>
  <c r="D160" i="1"/>
  <c r="B160" i="1"/>
  <c r="Q160" i="1" s="1"/>
  <c r="S160" i="1" s="1"/>
  <c r="DF160" i="1" s="1"/>
  <c r="M159" i="1"/>
  <c r="K159" i="1"/>
  <c r="J159" i="1"/>
  <c r="H159" i="1"/>
  <c r="CR159" i="1" s="1"/>
  <c r="G159" i="1"/>
  <c r="CQ159" i="1" s="1"/>
  <c r="CT159" i="1" s="1"/>
  <c r="E159" i="1"/>
  <c r="D159" i="1"/>
  <c r="B159" i="1"/>
  <c r="Q159" i="1" s="1"/>
  <c r="S159" i="1" s="1"/>
  <c r="DF159" i="1" s="1"/>
  <c r="M158" i="1"/>
  <c r="K158" i="1"/>
  <c r="J158" i="1"/>
  <c r="H158" i="1"/>
  <c r="CR158" i="1" s="1"/>
  <c r="G158" i="1"/>
  <c r="CQ158" i="1" s="1"/>
  <c r="E158" i="1"/>
  <c r="D158" i="1"/>
  <c r="B158" i="1"/>
  <c r="Q158" i="1" s="1"/>
  <c r="S158" i="1" s="1"/>
  <c r="DF158" i="1" s="1"/>
  <c r="M157" i="1"/>
  <c r="K157" i="1"/>
  <c r="J157" i="1"/>
  <c r="H157" i="1"/>
  <c r="CR157" i="1" s="1"/>
  <c r="G157" i="1"/>
  <c r="CQ157" i="1" s="1"/>
  <c r="CT157" i="1" s="1"/>
  <c r="E157" i="1"/>
  <c r="D157" i="1"/>
  <c r="B157" i="1"/>
  <c r="Q157" i="1" s="1"/>
  <c r="S157" i="1" s="1"/>
  <c r="DF157" i="1" s="1"/>
  <c r="M156" i="1"/>
  <c r="K156" i="1"/>
  <c r="J156" i="1"/>
  <c r="H156" i="1"/>
  <c r="CR156" i="1" s="1"/>
  <c r="G156" i="1"/>
  <c r="CQ156" i="1" s="1"/>
  <c r="E156" i="1"/>
  <c r="D156" i="1"/>
  <c r="B156" i="1"/>
  <c r="Q156" i="1" s="1"/>
  <c r="S156" i="1" s="1"/>
  <c r="DF156" i="1" s="1"/>
  <c r="M155" i="1"/>
  <c r="K155" i="1"/>
  <c r="J155" i="1"/>
  <c r="H155" i="1"/>
  <c r="CR155" i="1" s="1"/>
  <c r="G155" i="1"/>
  <c r="CQ155" i="1" s="1"/>
  <c r="E155" i="1"/>
  <c r="D155" i="1"/>
  <c r="B155" i="1"/>
  <c r="Q155" i="1" s="1"/>
  <c r="S155" i="1" s="1"/>
  <c r="DF155" i="1" s="1"/>
  <c r="M154" i="1"/>
  <c r="K154" i="1"/>
  <c r="J154" i="1"/>
  <c r="H154" i="1"/>
  <c r="CR154" i="1" s="1"/>
  <c r="G154" i="1"/>
  <c r="CQ154" i="1" s="1"/>
  <c r="E154" i="1"/>
  <c r="D154" i="1"/>
  <c r="B154" i="1"/>
  <c r="Q154" i="1" s="1"/>
  <c r="S154" i="1" s="1"/>
  <c r="DF154" i="1" s="1"/>
  <c r="M153" i="1"/>
  <c r="K153" i="1"/>
  <c r="J153" i="1"/>
  <c r="H153" i="1"/>
  <c r="CR153" i="1" s="1"/>
  <c r="G153" i="1"/>
  <c r="CQ153" i="1" s="1"/>
  <c r="CT153" i="1" s="1"/>
  <c r="E153" i="1"/>
  <c r="D153" i="1"/>
  <c r="B153" i="1"/>
  <c r="Q153" i="1" s="1"/>
  <c r="S153" i="1" s="1"/>
  <c r="DF153" i="1" s="1"/>
  <c r="M152" i="1"/>
  <c r="K152" i="1"/>
  <c r="J152" i="1"/>
  <c r="H152" i="1"/>
  <c r="CR152" i="1" s="1"/>
  <c r="G152" i="1"/>
  <c r="CQ152" i="1" s="1"/>
  <c r="E152" i="1"/>
  <c r="D152" i="1"/>
  <c r="B152" i="1"/>
  <c r="Q152" i="1" s="1"/>
  <c r="S152" i="1" s="1"/>
  <c r="DF152" i="1" s="1"/>
  <c r="M151" i="1"/>
  <c r="K151" i="1"/>
  <c r="J151" i="1"/>
  <c r="H151" i="1"/>
  <c r="CR151" i="1" s="1"/>
  <c r="G151" i="1"/>
  <c r="CQ151" i="1" s="1"/>
  <c r="E151" i="1"/>
  <c r="D151" i="1"/>
  <c r="B151" i="1"/>
  <c r="Q151" i="1" s="1"/>
  <c r="S151" i="1" s="1"/>
  <c r="DF151" i="1" s="1"/>
  <c r="M150" i="1"/>
  <c r="K150" i="1"/>
  <c r="J150" i="1"/>
  <c r="H150" i="1"/>
  <c r="CR150" i="1" s="1"/>
  <c r="G150" i="1"/>
  <c r="CQ150" i="1" s="1"/>
  <c r="E150" i="1"/>
  <c r="D150" i="1"/>
  <c r="B150" i="1"/>
  <c r="Q150" i="1" s="1"/>
  <c r="S150" i="1" s="1"/>
  <c r="DF150" i="1" s="1"/>
  <c r="M149" i="1"/>
  <c r="K149" i="1"/>
  <c r="J149" i="1"/>
  <c r="H149" i="1"/>
  <c r="CR149" i="1" s="1"/>
  <c r="G149" i="1"/>
  <c r="CQ149" i="1" s="1"/>
  <c r="E149" i="1"/>
  <c r="D149" i="1"/>
  <c r="B149" i="1"/>
  <c r="Q149" i="1" s="1"/>
  <c r="S149" i="1" s="1"/>
  <c r="DF149" i="1" s="1"/>
  <c r="M148" i="1"/>
  <c r="K148" i="1"/>
  <c r="J148" i="1"/>
  <c r="H148" i="1"/>
  <c r="CR148" i="1" s="1"/>
  <c r="G148" i="1"/>
  <c r="CQ148" i="1" s="1"/>
  <c r="CT148" i="1" s="1"/>
  <c r="E148" i="1"/>
  <c r="D148" i="1"/>
  <c r="B148" i="1"/>
  <c r="Q148" i="1" s="1"/>
  <c r="S148" i="1" s="1"/>
  <c r="DF148" i="1" s="1"/>
  <c r="M147" i="1"/>
  <c r="K147" i="1"/>
  <c r="J147" i="1"/>
  <c r="H147" i="1"/>
  <c r="CR147" i="1" s="1"/>
  <c r="G147" i="1"/>
  <c r="CQ147" i="1" s="1"/>
  <c r="E147" i="1"/>
  <c r="D147" i="1"/>
  <c r="B147" i="1"/>
  <c r="Q147" i="1" s="1"/>
  <c r="S147" i="1" s="1"/>
  <c r="DF147" i="1" s="1"/>
  <c r="M146" i="1"/>
  <c r="K146" i="1"/>
  <c r="J146" i="1"/>
  <c r="H146" i="1"/>
  <c r="CR146" i="1" s="1"/>
  <c r="G146" i="1"/>
  <c r="CQ146" i="1" s="1"/>
  <c r="CT146" i="1" s="1"/>
  <c r="E146" i="1"/>
  <c r="D146" i="1"/>
  <c r="B146" i="1"/>
  <c r="Q146" i="1" s="1"/>
  <c r="S146" i="1" s="1"/>
  <c r="DF146" i="1" s="1"/>
  <c r="M145" i="1"/>
  <c r="K145" i="1"/>
  <c r="J145" i="1"/>
  <c r="H145" i="1"/>
  <c r="CR145" i="1" s="1"/>
  <c r="G145" i="1"/>
  <c r="CQ145" i="1" s="1"/>
  <c r="E145" i="1"/>
  <c r="D145" i="1"/>
  <c r="B145" i="1"/>
  <c r="Q145" i="1" s="1"/>
  <c r="S145" i="1" s="1"/>
  <c r="DF145" i="1" s="1"/>
  <c r="M144" i="1"/>
  <c r="K144" i="1"/>
  <c r="J144" i="1"/>
  <c r="H144" i="1"/>
  <c r="CR144" i="1" s="1"/>
  <c r="G144" i="1"/>
  <c r="CQ144" i="1" s="1"/>
  <c r="CT144" i="1" s="1"/>
  <c r="E144" i="1"/>
  <c r="D144" i="1"/>
  <c r="B144" i="1"/>
  <c r="Q144" i="1" s="1"/>
  <c r="S144" i="1" s="1"/>
  <c r="DF144" i="1" s="1"/>
  <c r="M143" i="1"/>
  <c r="K143" i="1"/>
  <c r="J143" i="1"/>
  <c r="H143" i="1"/>
  <c r="CR143" i="1" s="1"/>
  <c r="G143" i="1"/>
  <c r="CQ143" i="1" s="1"/>
  <c r="CT143" i="1" s="1"/>
  <c r="E143" i="1"/>
  <c r="D143" i="1"/>
  <c r="B143" i="1"/>
  <c r="Q143" i="1" s="1"/>
  <c r="S143" i="1" s="1"/>
  <c r="DF143" i="1" s="1"/>
  <c r="M142" i="1"/>
  <c r="K142" i="1"/>
  <c r="J142" i="1"/>
  <c r="H142" i="1"/>
  <c r="CR142" i="1" s="1"/>
  <c r="G142" i="1"/>
  <c r="CQ142" i="1" s="1"/>
  <c r="E142" i="1"/>
  <c r="D142" i="1"/>
  <c r="B142" i="1"/>
  <c r="Q142" i="1" s="1"/>
  <c r="S142" i="1" s="1"/>
  <c r="DF142" i="1" s="1"/>
  <c r="M141" i="1"/>
  <c r="K141" i="1"/>
  <c r="J141" i="1"/>
  <c r="H141" i="1"/>
  <c r="CR141" i="1" s="1"/>
  <c r="G141" i="1"/>
  <c r="CQ141" i="1" s="1"/>
  <c r="CT141" i="1" s="1"/>
  <c r="E141" i="1"/>
  <c r="D141" i="1"/>
  <c r="B141" i="1"/>
  <c r="Q141" i="1" s="1"/>
  <c r="S141" i="1" s="1"/>
  <c r="DF141" i="1" s="1"/>
  <c r="M140" i="1"/>
  <c r="K140" i="1"/>
  <c r="J140" i="1"/>
  <c r="H140" i="1"/>
  <c r="CR140" i="1" s="1"/>
  <c r="G140" i="1"/>
  <c r="CQ140" i="1" s="1"/>
  <c r="E140" i="1"/>
  <c r="D140" i="1"/>
  <c r="B140" i="1"/>
  <c r="Q140" i="1" s="1"/>
  <c r="S140" i="1" s="1"/>
  <c r="DF140" i="1" s="1"/>
  <c r="M139" i="1"/>
  <c r="K139" i="1"/>
  <c r="J139" i="1"/>
  <c r="H139" i="1"/>
  <c r="CR139" i="1" s="1"/>
  <c r="G139" i="1"/>
  <c r="CQ139" i="1" s="1"/>
  <c r="E139" i="1"/>
  <c r="D139" i="1"/>
  <c r="B139" i="1"/>
  <c r="Q139" i="1" s="1"/>
  <c r="S139" i="1" s="1"/>
  <c r="DF139" i="1" s="1"/>
  <c r="M138" i="1"/>
  <c r="K138" i="1"/>
  <c r="J138" i="1"/>
  <c r="H138" i="1"/>
  <c r="CR138" i="1" s="1"/>
  <c r="G138" i="1"/>
  <c r="CQ138" i="1" s="1"/>
  <c r="E138" i="1"/>
  <c r="D138" i="1"/>
  <c r="B138" i="1"/>
  <c r="Q138" i="1" s="1"/>
  <c r="S138" i="1" s="1"/>
  <c r="DF138" i="1" s="1"/>
  <c r="M137" i="1"/>
  <c r="K137" i="1"/>
  <c r="J137" i="1"/>
  <c r="H137" i="1"/>
  <c r="CR137" i="1" s="1"/>
  <c r="G137" i="1"/>
  <c r="CQ137" i="1" s="1"/>
  <c r="CT137" i="1" s="1"/>
  <c r="E137" i="1"/>
  <c r="D137" i="1"/>
  <c r="B137" i="1"/>
  <c r="Q137" i="1" s="1"/>
  <c r="S137" i="1" s="1"/>
  <c r="DF137" i="1" s="1"/>
  <c r="M136" i="1"/>
  <c r="K136" i="1"/>
  <c r="J136" i="1"/>
  <c r="H136" i="1"/>
  <c r="CR136" i="1" s="1"/>
  <c r="G136" i="1"/>
  <c r="CQ136" i="1" s="1"/>
  <c r="E136" i="1"/>
  <c r="D136" i="1"/>
  <c r="B136" i="1"/>
  <c r="Q136" i="1" s="1"/>
  <c r="S136" i="1" s="1"/>
  <c r="DF136" i="1" s="1"/>
  <c r="M135" i="1"/>
  <c r="K135" i="1"/>
  <c r="J135" i="1"/>
  <c r="H135" i="1"/>
  <c r="CR135" i="1" s="1"/>
  <c r="G135" i="1"/>
  <c r="CQ135" i="1" s="1"/>
  <c r="E135" i="1"/>
  <c r="D135" i="1"/>
  <c r="B135" i="1"/>
  <c r="Q135" i="1" s="1"/>
  <c r="S135" i="1" s="1"/>
  <c r="DF135" i="1" s="1"/>
  <c r="M134" i="1"/>
  <c r="K134" i="1"/>
  <c r="J134" i="1"/>
  <c r="H134" i="1"/>
  <c r="CR134" i="1" s="1"/>
  <c r="G134" i="1"/>
  <c r="CQ134" i="1" s="1"/>
  <c r="E134" i="1"/>
  <c r="D134" i="1"/>
  <c r="B134" i="1"/>
  <c r="Q134" i="1" s="1"/>
  <c r="S134" i="1" s="1"/>
  <c r="DF134" i="1" s="1"/>
  <c r="M133" i="1"/>
  <c r="K133" i="1"/>
  <c r="J133" i="1"/>
  <c r="H133" i="1"/>
  <c r="CR133" i="1" s="1"/>
  <c r="G133" i="1"/>
  <c r="CQ133" i="1" s="1"/>
  <c r="E133" i="1"/>
  <c r="D133" i="1"/>
  <c r="B133" i="1"/>
  <c r="Q133" i="1" s="1"/>
  <c r="S133" i="1" s="1"/>
  <c r="DF133" i="1" s="1"/>
  <c r="M132" i="1"/>
  <c r="K132" i="1"/>
  <c r="J132" i="1"/>
  <c r="H132" i="1"/>
  <c r="CR132" i="1" s="1"/>
  <c r="G132" i="1"/>
  <c r="CQ132" i="1" s="1"/>
  <c r="CT132" i="1" s="1"/>
  <c r="E132" i="1"/>
  <c r="D132" i="1"/>
  <c r="B132" i="1"/>
  <c r="Q132" i="1" s="1"/>
  <c r="S132" i="1" s="1"/>
  <c r="DF132" i="1" s="1"/>
  <c r="M131" i="1"/>
  <c r="K131" i="1"/>
  <c r="J131" i="1"/>
  <c r="H131" i="1"/>
  <c r="CR131" i="1" s="1"/>
  <c r="G131" i="1"/>
  <c r="CQ131" i="1" s="1"/>
  <c r="E131" i="1"/>
  <c r="D131" i="1"/>
  <c r="B131" i="1"/>
  <c r="Q131" i="1" s="1"/>
  <c r="S131" i="1" s="1"/>
  <c r="DF131" i="1" s="1"/>
  <c r="M130" i="1"/>
  <c r="K130" i="1"/>
  <c r="J130" i="1"/>
  <c r="H130" i="1"/>
  <c r="CR130" i="1" s="1"/>
  <c r="G130" i="1"/>
  <c r="CQ130" i="1" s="1"/>
  <c r="CT130" i="1" s="1"/>
  <c r="E130" i="1"/>
  <c r="D130" i="1"/>
  <c r="B130" i="1"/>
  <c r="Q130" i="1" s="1"/>
  <c r="S130" i="1" s="1"/>
  <c r="DF130" i="1" s="1"/>
  <c r="M129" i="1"/>
  <c r="K129" i="1"/>
  <c r="J129" i="1"/>
  <c r="H129" i="1"/>
  <c r="CR129" i="1" s="1"/>
  <c r="G129" i="1"/>
  <c r="CQ129" i="1" s="1"/>
  <c r="E129" i="1"/>
  <c r="D129" i="1"/>
  <c r="B129" i="1"/>
  <c r="Q129" i="1" s="1"/>
  <c r="S129" i="1" s="1"/>
  <c r="DF129" i="1" s="1"/>
  <c r="M128" i="1"/>
  <c r="K128" i="1"/>
  <c r="J128" i="1"/>
  <c r="H128" i="1"/>
  <c r="CR128" i="1" s="1"/>
  <c r="G128" i="1"/>
  <c r="CQ128" i="1" s="1"/>
  <c r="CT128" i="1" s="1"/>
  <c r="E128" i="1"/>
  <c r="D128" i="1"/>
  <c r="B128" i="1"/>
  <c r="Q128" i="1" s="1"/>
  <c r="S128" i="1" s="1"/>
  <c r="DF128" i="1" s="1"/>
  <c r="M127" i="1"/>
  <c r="K127" i="1"/>
  <c r="J127" i="1"/>
  <c r="H127" i="1"/>
  <c r="CR127" i="1" s="1"/>
  <c r="G127" i="1"/>
  <c r="CQ127" i="1" s="1"/>
  <c r="CT127" i="1" s="1"/>
  <c r="E127" i="1"/>
  <c r="D127" i="1"/>
  <c r="B127" i="1"/>
  <c r="Q127" i="1" s="1"/>
  <c r="S127" i="1" s="1"/>
  <c r="DF127" i="1" s="1"/>
  <c r="M126" i="1"/>
  <c r="K126" i="1"/>
  <c r="J126" i="1"/>
  <c r="H126" i="1"/>
  <c r="CR126" i="1" s="1"/>
  <c r="G126" i="1"/>
  <c r="CQ126" i="1" s="1"/>
  <c r="E126" i="1"/>
  <c r="D126" i="1"/>
  <c r="B126" i="1"/>
  <c r="Q126" i="1" s="1"/>
  <c r="S126" i="1" s="1"/>
  <c r="DF126" i="1" s="1"/>
  <c r="M125" i="1"/>
  <c r="K125" i="1"/>
  <c r="J125" i="1"/>
  <c r="H125" i="1"/>
  <c r="CR125" i="1" s="1"/>
  <c r="G125" i="1"/>
  <c r="CQ125" i="1" s="1"/>
  <c r="CT125" i="1" s="1"/>
  <c r="E125" i="1"/>
  <c r="D125" i="1"/>
  <c r="B125" i="1"/>
  <c r="Q125" i="1" s="1"/>
  <c r="S125" i="1" s="1"/>
  <c r="DF125" i="1" s="1"/>
  <c r="M124" i="1"/>
  <c r="K124" i="1"/>
  <c r="J124" i="1"/>
  <c r="H124" i="1"/>
  <c r="CR124" i="1" s="1"/>
  <c r="G124" i="1"/>
  <c r="CQ124" i="1" s="1"/>
  <c r="E124" i="1"/>
  <c r="D124" i="1"/>
  <c r="B124" i="1"/>
  <c r="Q124" i="1" s="1"/>
  <c r="S124" i="1" s="1"/>
  <c r="DF124" i="1" s="1"/>
  <c r="M123" i="1"/>
  <c r="K123" i="1"/>
  <c r="J123" i="1"/>
  <c r="H123" i="1"/>
  <c r="CR123" i="1" s="1"/>
  <c r="G123" i="1"/>
  <c r="CQ123" i="1" s="1"/>
  <c r="E123" i="1"/>
  <c r="D123" i="1"/>
  <c r="B123" i="1"/>
  <c r="Q123" i="1" s="1"/>
  <c r="S123" i="1" s="1"/>
  <c r="DF123" i="1" s="1"/>
  <c r="M122" i="1"/>
  <c r="K122" i="1"/>
  <c r="J122" i="1"/>
  <c r="H122" i="1"/>
  <c r="CR122" i="1" s="1"/>
  <c r="G122" i="1"/>
  <c r="CQ122" i="1" s="1"/>
  <c r="E122" i="1"/>
  <c r="D122" i="1"/>
  <c r="B122" i="1"/>
  <c r="Q122" i="1" s="1"/>
  <c r="S122" i="1" s="1"/>
  <c r="DF122" i="1" s="1"/>
  <c r="M121" i="1"/>
  <c r="K121" i="1"/>
  <c r="J121" i="1"/>
  <c r="H121" i="1"/>
  <c r="CR121" i="1" s="1"/>
  <c r="G121" i="1"/>
  <c r="CQ121" i="1" s="1"/>
  <c r="CT121" i="1" s="1"/>
  <c r="E121" i="1"/>
  <c r="D121" i="1"/>
  <c r="B121" i="1"/>
  <c r="Q121" i="1" s="1"/>
  <c r="S121" i="1" s="1"/>
  <c r="DF121" i="1" s="1"/>
  <c r="M120" i="1"/>
  <c r="K120" i="1"/>
  <c r="J120" i="1"/>
  <c r="H120" i="1"/>
  <c r="CR120" i="1" s="1"/>
  <c r="G120" i="1"/>
  <c r="CQ120" i="1" s="1"/>
  <c r="E120" i="1"/>
  <c r="D120" i="1"/>
  <c r="B120" i="1"/>
  <c r="Q120" i="1" s="1"/>
  <c r="S120" i="1" s="1"/>
  <c r="DF120" i="1" s="1"/>
  <c r="M119" i="1"/>
  <c r="K119" i="1"/>
  <c r="J119" i="1"/>
  <c r="H119" i="1"/>
  <c r="CR119" i="1" s="1"/>
  <c r="G119" i="1"/>
  <c r="CQ119" i="1" s="1"/>
  <c r="E119" i="1"/>
  <c r="D119" i="1"/>
  <c r="B119" i="1"/>
  <c r="Q119" i="1" s="1"/>
  <c r="S119" i="1" s="1"/>
  <c r="DF119" i="1" s="1"/>
  <c r="M118" i="1"/>
  <c r="K118" i="1"/>
  <c r="J118" i="1"/>
  <c r="H118" i="1"/>
  <c r="CR118" i="1" s="1"/>
  <c r="G118" i="1"/>
  <c r="CQ118" i="1" s="1"/>
  <c r="E118" i="1"/>
  <c r="D118" i="1"/>
  <c r="B118" i="1"/>
  <c r="Q118" i="1" s="1"/>
  <c r="S118" i="1" s="1"/>
  <c r="DF118" i="1" s="1"/>
  <c r="M117" i="1"/>
  <c r="K117" i="1"/>
  <c r="J117" i="1"/>
  <c r="H117" i="1"/>
  <c r="CR117" i="1" s="1"/>
  <c r="G117" i="1"/>
  <c r="CQ117" i="1" s="1"/>
  <c r="E117" i="1"/>
  <c r="D117" i="1"/>
  <c r="B117" i="1"/>
  <c r="Q117" i="1" s="1"/>
  <c r="S117" i="1" s="1"/>
  <c r="DF117" i="1" s="1"/>
  <c r="M116" i="1"/>
  <c r="K116" i="1"/>
  <c r="J116" i="1"/>
  <c r="H116" i="1"/>
  <c r="CR116" i="1" s="1"/>
  <c r="G116" i="1"/>
  <c r="CQ116" i="1" s="1"/>
  <c r="CT116" i="1" s="1"/>
  <c r="E116" i="1"/>
  <c r="D116" i="1"/>
  <c r="B116" i="1"/>
  <c r="Q116" i="1" s="1"/>
  <c r="S116" i="1" s="1"/>
  <c r="DF116" i="1" s="1"/>
  <c r="M115" i="1"/>
  <c r="K115" i="1"/>
  <c r="J115" i="1"/>
  <c r="H115" i="1"/>
  <c r="CR115" i="1" s="1"/>
  <c r="G115" i="1"/>
  <c r="CQ115" i="1" s="1"/>
  <c r="E115" i="1"/>
  <c r="D115" i="1"/>
  <c r="B115" i="1"/>
  <c r="Q115" i="1" s="1"/>
  <c r="S115" i="1" s="1"/>
  <c r="DF115" i="1" s="1"/>
  <c r="M114" i="1"/>
  <c r="K114" i="1"/>
  <c r="J114" i="1"/>
  <c r="H114" i="1"/>
  <c r="CR114" i="1" s="1"/>
  <c r="G114" i="1"/>
  <c r="CQ114" i="1" s="1"/>
  <c r="CT114" i="1" s="1"/>
  <c r="E114" i="1"/>
  <c r="D114" i="1"/>
  <c r="B114" i="1"/>
  <c r="Q114" i="1" s="1"/>
  <c r="S114" i="1" s="1"/>
  <c r="DF114" i="1" s="1"/>
  <c r="M113" i="1"/>
  <c r="K113" i="1"/>
  <c r="J113" i="1"/>
  <c r="H113" i="1"/>
  <c r="CR113" i="1" s="1"/>
  <c r="G113" i="1"/>
  <c r="CQ113" i="1" s="1"/>
  <c r="E113" i="1"/>
  <c r="D113" i="1"/>
  <c r="B113" i="1"/>
  <c r="Q113" i="1" s="1"/>
  <c r="S113" i="1" s="1"/>
  <c r="DF113" i="1" s="1"/>
  <c r="M112" i="1"/>
  <c r="K112" i="1"/>
  <c r="J112" i="1"/>
  <c r="H112" i="1"/>
  <c r="CR112" i="1" s="1"/>
  <c r="G112" i="1"/>
  <c r="CQ112" i="1" s="1"/>
  <c r="CT112" i="1" s="1"/>
  <c r="E112" i="1"/>
  <c r="D112" i="1"/>
  <c r="B112" i="1"/>
  <c r="Q112" i="1" s="1"/>
  <c r="S112" i="1" s="1"/>
  <c r="DF112" i="1" s="1"/>
  <c r="M111" i="1"/>
  <c r="K111" i="1"/>
  <c r="J111" i="1"/>
  <c r="H111" i="1"/>
  <c r="CR111" i="1" s="1"/>
  <c r="G111" i="1"/>
  <c r="CQ111" i="1" s="1"/>
  <c r="CT111" i="1" s="1"/>
  <c r="E111" i="1"/>
  <c r="D111" i="1"/>
  <c r="B111" i="1"/>
  <c r="Q111" i="1" s="1"/>
  <c r="S111" i="1" s="1"/>
  <c r="DF111" i="1" s="1"/>
  <c r="M110" i="1"/>
  <c r="K110" i="1"/>
  <c r="J110" i="1"/>
  <c r="H110" i="1"/>
  <c r="CR110" i="1" s="1"/>
  <c r="G110" i="1"/>
  <c r="CQ110" i="1" s="1"/>
  <c r="E110" i="1"/>
  <c r="D110" i="1"/>
  <c r="B110" i="1"/>
  <c r="Q110" i="1" s="1"/>
  <c r="S110" i="1" s="1"/>
  <c r="DF110" i="1" s="1"/>
  <c r="M109" i="1"/>
  <c r="K109" i="1"/>
  <c r="J109" i="1"/>
  <c r="H109" i="1"/>
  <c r="CR109" i="1" s="1"/>
  <c r="G109" i="1"/>
  <c r="CQ109" i="1" s="1"/>
  <c r="CT109" i="1" s="1"/>
  <c r="E109" i="1"/>
  <c r="D109" i="1"/>
  <c r="B109" i="1"/>
  <c r="Q109" i="1" s="1"/>
  <c r="S109" i="1" s="1"/>
  <c r="DF109" i="1" s="1"/>
  <c r="M108" i="1"/>
  <c r="K108" i="1"/>
  <c r="J108" i="1"/>
  <c r="H108" i="1"/>
  <c r="CR108" i="1" s="1"/>
  <c r="G108" i="1"/>
  <c r="CQ108" i="1" s="1"/>
  <c r="E108" i="1"/>
  <c r="D108" i="1"/>
  <c r="B108" i="1"/>
  <c r="Q108" i="1" s="1"/>
  <c r="S108" i="1" s="1"/>
  <c r="DF108" i="1" s="1"/>
  <c r="M107" i="1"/>
  <c r="K107" i="1"/>
  <c r="J107" i="1"/>
  <c r="H107" i="1"/>
  <c r="CR107" i="1" s="1"/>
  <c r="G107" i="1"/>
  <c r="E107" i="1"/>
  <c r="D107" i="1"/>
  <c r="B107" i="1"/>
  <c r="Q107" i="1" s="1"/>
  <c r="S107" i="1" s="1"/>
  <c r="DF107" i="1" s="1"/>
  <c r="M106" i="1"/>
  <c r="K106" i="1"/>
  <c r="J106" i="1"/>
  <c r="H106" i="1"/>
  <c r="CR106" i="1" s="1"/>
  <c r="G106" i="1"/>
  <c r="E106" i="1"/>
  <c r="D106" i="1"/>
  <c r="B106" i="1"/>
  <c r="Q106" i="1" s="1"/>
  <c r="S106" i="1" s="1"/>
  <c r="DF106" i="1" s="1"/>
  <c r="M105" i="1"/>
  <c r="K105" i="1"/>
  <c r="J105" i="1"/>
  <c r="H105" i="1"/>
  <c r="CR105" i="1" s="1"/>
  <c r="G105" i="1"/>
  <c r="CQ105" i="1" s="1"/>
  <c r="CT105" i="1" s="1"/>
  <c r="E105" i="1"/>
  <c r="D105" i="1"/>
  <c r="B105" i="1"/>
  <c r="Q105" i="1" s="1"/>
  <c r="S105" i="1" s="1"/>
  <c r="DF105" i="1" s="1"/>
  <c r="M104" i="1"/>
  <c r="K104" i="1"/>
  <c r="J104" i="1"/>
  <c r="H104" i="1"/>
  <c r="CR104" i="1" s="1"/>
  <c r="G104" i="1"/>
  <c r="CQ104" i="1" s="1"/>
  <c r="E104" i="1"/>
  <c r="D104" i="1"/>
  <c r="B104" i="1"/>
  <c r="Q104" i="1" s="1"/>
  <c r="S104" i="1" s="1"/>
  <c r="DF104" i="1" s="1"/>
  <c r="M103" i="1"/>
  <c r="K103" i="1"/>
  <c r="J103" i="1"/>
  <c r="H103" i="1"/>
  <c r="CR103" i="1" s="1"/>
  <c r="G103" i="1"/>
  <c r="CQ103" i="1" s="1"/>
  <c r="E103" i="1"/>
  <c r="D103" i="1"/>
  <c r="B103" i="1"/>
  <c r="Q103" i="1" s="1"/>
  <c r="S103" i="1" s="1"/>
  <c r="DF103" i="1" s="1"/>
  <c r="M102" i="1"/>
  <c r="K102" i="1"/>
  <c r="J102" i="1"/>
  <c r="H102" i="1"/>
  <c r="CR102" i="1" s="1"/>
  <c r="G102" i="1"/>
  <c r="CQ102" i="1" s="1"/>
  <c r="E102" i="1"/>
  <c r="D102" i="1"/>
  <c r="B102" i="1"/>
  <c r="Q102" i="1" s="1"/>
  <c r="S102" i="1" s="1"/>
  <c r="DF102" i="1" s="1"/>
  <c r="M101" i="1"/>
  <c r="K101" i="1"/>
  <c r="J101" i="1"/>
  <c r="H101" i="1"/>
  <c r="CR101" i="1" s="1"/>
  <c r="G101" i="1"/>
  <c r="CQ101" i="1" s="1"/>
  <c r="E101" i="1"/>
  <c r="D101" i="1"/>
  <c r="B101" i="1"/>
  <c r="Q101" i="1" s="1"/>
  <c r="S101" i="1" s="1"/>
  <c r="DF101" i="1" s="1"/>
  <c r="M100" i="1"/>
  <c r="K100" i="1"/>
  <c r="J100" i="1"/>
  <c r="H100" i="1"/>
  <c r="CR100" i="1" s="1"/>
  <c r="G100" i="1"/>
  <c r="CQ100" i="1" s="1"/>
  <c r="CT100" i="1" s="1"/>
  <c r="E100" i="1"/>
  <c r="D100" i="1"/>
  <c r="B100" i="1"/>
  <c r="Q100" i="1" s="1"/>
  <c r="S100" i="1" s="1"/>
  <c r="DF100" i="1" s="1"/>
  <c r="M99" i="1"/>
  <c r="K99" i="1"/>
  <c r="J99" i="1"/>
  <c r="H99" i="1"/>
  <c r="CR99" i="1" s="1"/>
  <c r="G99" i="1"/>
  <c r="CQ99" i="1" s="1"/>
  <c r="E99" i="1"/>
  <c r="D99" i="1"/>
  <c r="B99" i="1"/>
  <c r="Q99" i="1" s="1"/>
  <c r="S99" i="1" s="1"/>
  <c r="DF99" i="1" s="1"/>
  <c r="M98" i="1"/>
  <c r="K98" i="1"/>
  <c r="J98" i="1"/>
  <c r="H98" i="1"/>
  <c r="CR98" i="1" s="1"/>
  <c r="G98" i="1"/>
  <c r="CQ98" i="1" s="1"/>
  <c r="CT98" i="1" s="1"/>
  <c r="E98" i="1"/>
  <c r="D98" i="1"/>
  <c r="B98" i="1"/>
  <c r="Q98" i="1" s="1"/>
  <c r="S98" i="1" s="1"/>
  <c r="DF98" i="1" s="1"/>
  <c r="M97" i="1"/>
  <c r="K97" i="1"/>
  <c r="J97" i="1"/>
  <c r="H97" i="1"/>
  <c r="CR97" i="1" s="1"/>
  <c r="G97" i="1"/>
  <c r="CQ97" i="1" s="1"/>
  <c r="E97" i="1"/>
  <c r="D97" i="1"/>
  <c r="B97" i="1"/>
  <c r="Q97" i="1" s="1"/>
  <c r="S97" i="1" s="1"/>
  <c r="DF97" i="1" s="1"/>
  <c r="M96" i="1"/>
  <c r="K96" i="1"/>
  <c r="J96" i="1"/>
  <c r="H96" i="1"/>
  <c r="CR96" i="1" s="1"/>
  <c r="G96" i="1"/>
  <c r="CQ96" i="1" s="1"/>
  <c r="CT96" i="1" s="1"/>
  <c r="E96" i="1"/>
  <c r="D96" i="1"/>
  <c r="B96" i="1"/>
  <c r="Q96" i="1" s="1"/>
  <c r="S96" i="1" s="1"/>
  <c r="DF96" i="1" s="1"/>
  <c r="M95" i="1"/>
  <c r="K95" i="1"/>
  <c r="J95" i="1"/>
  <c r="H95" i="1"/>
  <c r="CR95" i="1" s="1"/>
  <c r="G95" i="1"/>
  <c r="CQ95" i="1" s="1"/>
  <c r="CT95" i="1" s="1"/>
  <c r="E95" i="1"/>
  <c r="D95" i="1"/>
  <c r="B95" i="1"/>
  <c r="Q95" i="1" s="1"/>
  <c r="S95" i="1" s="1"/>
  <c r="DF95" i="1" s="1"/>
  <c r="M94" i="1"/>
  <c r="K94" i="1"/>
  <c r="J94" i="1"/>
  <c r="H94" i="1"/>
  <c r="CR94" i="1" s="1"/>
  <c r="G94" i="1"/>
  <c r="CQ94" i="1" s="1"/>
  <c r="E94" i="1"/>
  <c r="D94" i="1"/>
  <c r="B94" i="1"/>
  <c r="Q94" i="1" s="1"/>
  <c r="S94" i="1" s="1"/>
  <c r="DF94" i="1" s="1"/>
  <c r="M93" i="1"/>
  <c r="K93" i="1"/>
  <c r="J93" i="1"/>
  <c r="H93" i="1"/>
  <c r="CR93" i="1" s="1"/>
  <c r="G93" i="1"/>
  <c r="CQ93" i="1" s="1"/>
  <c r="CT93" i="1" s="1"/>
  <c r="E93" i="1"/>
  <c r="D93" i="1"/>
  <c r="B93" i="1"/>
  <c r="Q93" i="1" s="1"/>
  <c r="S93" i="1" s="1"/>
  <c r="DF93" i="1" s="1"/>
  <c r="M92" i="1"/>
  <c r="K92" i="1"/>
  <c r="J92" i="1"/>
  <c r="H92" i="1"/>
  <c r="CR92" i="1" s="1"/>
  <c r="G92" i="1"/>
  <c r="CQ92" i="1" s="1"/>
  <c r="E92" i="1"/>
  <c r="D92" i="1"/>
  <c r="B92" i="1"/>
  <c r="Q92" i="1" s="1"/>
  <c r="S92" i="1" s="1"/>
  <c r="DF92" i="1" s="1"/>
  <c r="M91" i="1"/>
  <c r="K91" i="1"/>
  <c r="J91" i="1"/>
  <c r="H91" i="1"/>
  <c r="CR91" i="1" s="1"/>
  <c r="G91" i="1"/>
  <c r="CQ91" i="1" s="1"/>
  <c r="E91" i="1"/>
  <c r="D91" i="1"/>
  <c r="B91" i="1"/>
  <c r="Q91" i="1" s="1"/>
  <c r="S91" i="1" s="1"/>
  <c r="DF91" i="1" s="1"/>
  <c r="M90" i="1"/>
  <c r="K90" i="1"/>
  <c r="J90" i="1"/>
  <c r="H90" i="1"/>
  <c r="CR90" i="1" s="1"/>
  <c r="G90" i="1"/>
  <c r="CQ90" i="1" s="1"/>
  <c r="E90" i="1"/>
  <c r="D90" i="1"/>
  <c r="B90" i="1"/>
  <c r="Q90" i="1" s="1"/>
  <c r="S90" i="1" s="1"/>
  <c r="DF90" i="1" s="1"/>
  <c r="M89" i="1"/>
  <c r="K89" i="1"/>
  <c r="J89" i="1"/>
  <c r="H89" i="1"/>
  <c r="CR89" i="1" s="1"/>
  <c r="G89" i="1"/>
  <c r="E89" i="1"/>
  <c r="D89" i="1"/>
  <c r="B89" i="1"/>
  <c r="Q89" i="1" s="1"/>
  <c r="S89" i="1" s="1"/>
  <c r="DF89" i="1" s="1"/>
  <c r="M88" i="1"/>
  <c r="K88" i="1"/>
  <c r="J88" i="1"/>
  <c r="H88" i="1"/>
  <c r="CR88" i="1" s="1"/>
  <c r="G88" i="1"/>
  <c r="CQ88" i="1" s="1"/>
  <c r="E88" i="1"/>
  <c r="D88" i="1"/>
  <c r="B88" i="1"/>
  <c r="Q88" i="1" s="1"/>
  <c r="S88" i="1" s="1"/>
  <c r="DF88" i="1" s="1"/>
  <c r="M87" i="1"/>
  <c r="K87" i="1"/>
  <c r="J87" i="1"/>
  <c r="H87" i="1"/>
  <c r="CR87" i="1" s="1"/>
  <c r="G87" i="1"/>
  <c r="CQ87" i="1" s="1"/>
  <c r="E87" i="1"/>
  <c r="D87" i="1"/>
  <c r="B87" i="1"/>
  <c r="Q87" i="1" s="1"/>
  <c r="S87" i="1" s="1"/>
  <c r="DF87" i="1" s="1"/>
  <c r="M86" i="1"/>
  <c r="K86" i="1"/>
  <c r="J86" i="1"/>
  <c r="H86" i="1"/>
  <c r="CR86" i="1" s="1"/>
  <c r="G86" i="1"/>
  <c r="CQ86" i="1" s="1"/>
  <c r="E86" i="1"/>
  <c r="D86" i="1"/>
  <c r="B86" i="1"/>
  <c r="Q86" i="1" s="1"/>
  <c r="S86" i="1" s="1"/>
  <c r="DF86" i="1" s="1"/>
  <c r="M85" i="1"/>
  <c r="K85" i="1"/>
  <c r="J85" i="1"/>
  <c r="H85" i="1"/>
  <c r="CR85" i="1" s="1"/>
  <c r="G85" i="1"/>
  <c r="CQ85" i="1" s="1"/>
  <c r="E85" i="1"/>
  <c r="D85" i="1"/>
  <c r="B85" i="1"/>
  <c r="Q85" i="1" s="1"/>
  <c r="S85" i="1" s="1"/>
  <c r="DF85" i="1" s="1"/>
  <c r="M84" i="1"/>
  <c r="K84" i="1"/>
  <c r="J84" i="1"/>
  <c r="H84" i="1"/>
  <c r="CR84" i="1" s="1"/>
  <c r="G84" i="1"/>
  <c r="CQ84" i="1" s="1"/>
  <c r="CT84" i="1" s="1"/>
  <c r="E84" i="1"/>
  <c r="D84" i="1"/>
  <c r="B84" i="1"/>
  <c r="Q84" i="1" s="1"/>
  <c r="S84" i="1" s="1"/>
  <c r="DF84" i="1" s="1"/>
  <c r="M83" i="1"/>
  <c r="K83" i="1"/>
  <c r="J83" i="1"/>
  <c r="H83" i="1"/>
  <c r="CR83" i="1" s="1"/>
  <c r="G83" i="1"/>
  <c r="CQ83" i="1" s="1"/>
  <c r="E83" i="1"/>
  <c r="D83" i="1"/>
  <c r="B83" i="1"/>
  <c r="Q83" i="1" s="1"/>
  <c r="S83" i="1" s="1"/>
  <c r="DF83" i="1" s="1"/>
  <c r="M82" i="1"/>
  <c r="K82" i="1"/>
  <c r="J82" i="1"/>
  <c r="H82" i="1"/>
  <c r="CR82" i="1" s="1"/>
  <c r="G82" i="1"/>
  <c r="CQ82" i="1" s="1"/>
  <c r="CT82" i="1" s="1"/>
  <c r="E82" i="1"/>
  <c r="D82" i="1"/>
  <c r="B82" i="1"/>
  <c r="Q82" i="1" s="1"/>
  <c r="S82" i="1" s="1"/>
  <c r="DF82" i="1" s="1"/>
  <c r="M81" i="1"/>
  <c r="K81" i="1"/>
  <c r="J81" i="1"/>
  <c r="H81" i="1"/>
  <c r="CR81" i="1" s="1"/>
  <c r="G81" i="1"/>
  <c r="CQ81" i="1" s="1"/>
  <c r="E81" i="1"/>
  <c r="D81" i="1"/>
  <c r="B81" i="1"/>
  <c r="Q81" i="1" s="1"/>
  <c r="S81" i="1" s="1"/>
  <c r="DF81" i="1" s="1"/>
  <c r="M80" i="1"/>
  <c r="K80" i="1"/>
  <c r="J80" i="1"/>
  <c r="H80" i="1"/>
  <c r="CR80" i="1" s="1"/>
  <c r="G80" i="1"/>
  <c r="CQ80" i="1" s="1"/>
  <c r="CT80" i="1" s="1"/>
  <c r="E80" i="1"/>
  <c r="D80" i="1"/>
  <c r="B80" i="1"/>
  <c r="Q80" i="1" s="1"/>
  <c r="S80" i="1" s="1"/>
  <c r="DF80" i="1" s="1"/>
  <c r="M79" i="1"/>
  <c r="K79" i="1"/>
  <c r="J79" i="1"/>
  <c r="H79" i="1"/>
  <c r="CR79" i="1" s="1"/>
  <c r="G79" i="1"/>
  <c r="CQ79" i="1" s="1"/>
  <c r="CT79" i="1" s="1"/>
  <c r="E79" i="1"/>
  <c r="D79" i="1"/>
  <c r="B79" i="1"/>
  <c r="Q79" i="1" s="1"/>
  <c r="S79" i="1" s="1"/>
  <c r="DF79" i="1" s="1"/>
  <c r="M78" i="1"/>
  <c r="K78" i="1"/>
  <c r="J78" i="1"/>
  <c r="H78" i="1"/>
  <c r="CR78" i="1" s="1"/>
  <c r="G78" i="1"/>
  <c r="CQ78" i="1" s="1"/>
  <c r="E78" i="1"/>
  <c r="D78" i="1"/>
  <c r="B78" i="1"/>
  <c r="Q78" i="1" s="1"/>
  <c r="S78" i="1" s="1"/>
  <c r="DF78" i="1" s="1"/>
  <c r="M77" i="1"/>
  <c r="K77" i="1"/>
  <c r="J77" i="1"/>
  <c r="H77" i="1"/>
  <c r="CR77" i="1" s="1"/>
  <c r="G77" i="1"/>
  <c r="CQ77" i="1" s="1"/>
  <c r="CT77" i="1" s="1"/>
  <c r="E77" i="1"/>
  <c r="D77" i="1"/>
  <c r="B77" i="1"/>
  <c r="Q77" i="1" s="1"/>
  <c r="S77" i="1" s="1"/>
  <c r="DF77" i="1" s="1"/>
  <c r="M76" i="1"/>
  <c r="K76" i="1"/>
  <c r="J76" i="1"/>
  <c r="H76" i="1"/>
  <c r="CR76" i="1" s="1"/>
  <c r="G76" i="1"/>
  <c r="CQ76" i="1" s="1"/>
  <c r="E76" i="1"/>
  <c r="D76" i="1"/>
  <c r="B76" i="1"/>
  <c r="Q76" i="1" s="1"/>
  <c r="S76" i="1" s="1"/>
  <c r="DF76" i="1" s="1"/>
  <c r="M75" i="1"/>
  <c r="K75" i="1"/>
  <c r="J75" i="1"/>
  <c r="H75" i="1"/>
  <c r="CR75" i="1" s="1"/>
  <c r="G75" i="1"/>
  <c r="CQ75" i="1" s="1"/>
  <c r="E75" i="1"/>
  <c r="D75" i="1"/>
  <c r="B75" i="1"/>
  <c r="Q75" i="1" s="1"/>
  <c r="S75" i="1" s="1"/>
  <c r="DF75" i="1" s="1"/>
  <c r="M74" i="1"/>
  <c r="K74" i="1"/>
  <c r="J74" i="1"/>
  <c r="H74" i="1"/>
  <c r="CR74" i="1" s="1"/>
  <c r="G74" i="1"/>
  <c r="CQ74" i="1" s="1"/>
  <c r="E74" i="1"/>
  <c r="D74" i="1"/>
  <c r="B74" i="1"/>
  <c r="Q74" i="1" s="1"/>
  <c r="S74" i="1" s="1"/>
  <c r="DF74" i="1" s="1"/>
  <c r="M73" i="1"/>
  <c r="K73" i="1"/>
  <c r="J73" i="1"/>
  <c r="H73" i="1"/>
  <c r="CR73" i="1" s="1"/>
  <c r="G73" i="1"/>
  <c r="E73" i="1"/>
  <c r="D73" i="1"/>
  <c r="B73" i="1"/>
  <c r="Q73" i="1" s="1"/>
  <c r="S73" i="1" s="1"/>
  <c r="DF73" i="1" s="1"/>
  <c r="M72" i="1"/>
  <c r="K72" i="1"/>
  <c r="J72" i="1"/>
  <c r="H72" i="1"/>
  <c r="CR72" i="1" s="1"/>
  <c r="G72" i="1"/>
  <c r="CQ72" i="1" s="1"/>
  <c r="E72" i="1"/>
  <c r="D72" i="1"/>
  <c r="B72" i="1"/>
  <c r="Q72" i="1" s="1"/>
  <c r="S72" i="1" s="1"/>
  <c r="DF72" i="1" s="1"/>
  <c r="M71" i="1"/>
  <c r="K71" i="1"/>
  <c r="J71" i="1"/>
  <c r="H71" i="1"/>
  <c r="CR71" i="1" s="1"/>
  <c r="G71" i="1"/>
  <c r="CQ71" i="1" s="1"/>
  <c r="E71" i="1"/>
  <c r="D71" i="1"/>
  <c r="B71" i="1"/>
  <c r="Q71" i="1" s="1"/>
  <c r="S71" i="1" s="1"/>
  <c r="DF71" i="1" s="1"/>
  <c r="M70" i="1"/>
  <c r="K70" i="1"/>
  <c r="J70" i="1"/>
  <c r="H70" i="1"/>
  <c r="CR70" i="1" s="1"/>
  <c r="G70" i="1"/>
  <c r="CQ70" i="1" s="1"/>
  <c r="E70" i="1"/>
  <c r="D70" i="1"/>
  <c r="B70" i="1"/>
  <c r="Q70" i="1" s="1"/>
  <c r="S70" i="1" s="1"/>
  <c r="DF70" i="1" s="1"/>
  <c r="M69" i="1"/>
  <c r="K69" i="1"/>
  <c r="J69" i="1"/>
  <c r="H69" i="1"/>
  <c r="CR69" i="1" s="1"/>
  <c r="G69" i="1"/>
  <c r="CQ69" i="1" s="1"/>
  <c r="E69" i="1"/>
  <c r="D69" i="1"/>
  <c r="B69" i="1"/>
  <c r="Q69" i="1" s="1"/>
  <c r="S69" i="1" s="1"/>
  <c r="DF69" i="1" s="1"/>
  <c r="M68" i="1"/>
  <c r="K68" i="1"/>
  <c r="J68" i="1"/>
  <c r="H68" i="1"/>
  <c r="CR68" i="1" s="1"/>
  <c r="G68" i="1"/>
  <c r="CQ68" i="1" s="1"/>
  <c r="CT68" i="1" s="1"/>
  <c r="E68" i="1"/>
  <c r="D68" i="1"/>
  <c r="B68" i="1"/>
  <c r="Q68" i="1" s="1"/>
  <c r="S68" i="1" s="1"/>
  <c r="DF68" i="1" s="1"/>
  <c r="M67" i="1"/>
  <c r="K67" i="1"/>
  <c r="J67" i="1"/>
  <c r="H67" i="1"/>
  <c r="CR67" i="1" s="1"/>
  <c r="G67" i="1"/>
  <c r="CQ67" i="1" s="1"/>
  <c r="E67" i="1"/>
  <c r="D67" i="1"/>
  <c r="B67" i="1"/>
  <c r="Q67" i="1" s="1"/>
  <c r="S67" i="1" s="1"/>
  <c r="DF67" i="1" s="1"/>
  <c r="M66" i="1"/>
  <c r="K66" i="1"/>
  <c r="J66" i="1"/>
  <c r="H66" i="1"/>
  <c r="CR66" i="1" s="1"/>
  <c r="G66" i="1"/>
  <c r="CQ66" i="1" s="1"/>
  <c r="CT66" i="1" s="1"/>
  <c r="E66" i="1"/>
  <c r="D66" i="1"/>
  <c r="B66" i="1"/>
  <c r="Q66" i="1" s="1"/>
  <c r="S66" i="1" s="1"/>
  <c r="DF66" i="1" s="1"/>
  <c r="M65" i="1"/>
  <c r="K65" i="1"/>
  <c r="J65" i="1"/>
  <c r="H65" i="1"/>
  <c r="CR65" i="1" s="1"/>
  <c r="G65" i="1"/>
  <c r="CQ65" i="1" s="1"/>
  <c r="E65" i="1"/>
  <c r="D65" i="1"/>
  <c r="B65" i="1"/>
  <c r="Q65" i="1" s="1"/>
  <c r="S65" i="1" s="1"/>
  <c r="DF65" i="1" s="1"/>
  <c r="M64" i="1"/>
  <c r="K64" i="1"/>
  <c r="J64" i="1"/>
  <c r="H64" i="1"/>
  <c r="CR64" i="1" s="1"/>
  <c r="G64" i="1"/>
  <c r="CQ64" i="1" s="1"/>
  <c r="CT64" i="1" s="1"/>
  <c r="E64" i="1"/>
  <c r="D64" i="1"/>
  <c r="B64" i="1"/>
  <c r="Q64" i="1" s="1"/>
  <c r="S64" i="1" s="1"/>
  <c r="DF64" i="1" s="1"/>
  <c r="M63" i="1"/>
  <c r="K63" i="1"/>
  <c r="J63" i="1"/>
  <c r="H63" i="1"/>
  <c r="CR63" i="1" s="1"/>
  <c r="G63" i="1"/>
  <c r="CQ63" i="1" s="1"/>
  <c r="CT63" i="1" s="1"/>
  <c r="E63" i="1"/>
  <c r="D63" i="1"/>
  <c r="B63" i="1"/>
  <c r="Q63" i="1" s="1"/>
  <c r="S63" i="1" s="1"/>
  <c r="DF63" i="1" s="1"/>
  <c r="M62" i="1"/>
  <c r="K62" i="1"/>
  <c r="J62" i="1"/>
  <c r="H62" i="1"/>
  <c r="CR62" i="1" s="1"/>
  <c r="G62" i="1"/>
  <c r="CQ62" i="1" s="1"/>
  <c r="E62" i="1"/>
  <c r="D62" i="1"/>
  <c r="B62" i="1"/>
  <c r="Q62" i="1" s="1"/>
  <c r="S62" i="1" s="1"/>
  <c r="DF62" i="1" s="1"/>
  <c r="M61" i="1"/>
  <c r="K61" i="1"/>
  <c r="J61" i="1"/>
  <c r="H61" i="1"/>
  <c r="CR61" i="1" s="1"/>
  <c r="G61" i="1"/>
  <c r="CQ61" i="1" s="1"/>
  <c r="CT61" i="1" s="1"/>
  <c r="E61" i="1"/>
  <c r="D61" i="1"/>
  <c r="B61" i="1"/>
  <c r="Q61" i="1" s="1"/>
  <c r="S61" i="1" s="1"/>
  <c r="DF61" i="1" s="1"/>
  <c r="M60" i="1"/>
  <c r="K60" i="1"/>
  <c r="J60" i="1"/>
  <c r="H60" i="1"/>
  <c r="CR60" i="1" s="1"/>
  <c r="G60" i="1"/>
  <c r="E60" i="1"/>
  <c r="D60" i="1"/>
  <c r="B60" i="1"/>
  <c r="Q60" i="1" s="1"/>
  <c r="S60" i="1" s="1"/>
  <c r="DF60" i="1" s="1"/>
  <c r="M59" i="1"/>
  <c r="K59" i="1"/>
  <c r="J59" i="1"/>
  <c r="H59" i="1"/>
  <c r="CR59" i="1" s="1"/>
  <c r="G59" i="1"/>
  <c r="CQ59" i="1" s="1"/>
  <c r="E59" i="1"/>
  <c r="D59" i="1"/>
  <c r="B59" i="1"/>
  <c r="Q59" i="1" s="1"/>
  <c r="S59" i="1" s="1"/>
  <c r="DF59" i="1" s="1"/>
  <c r="M58" i="1"/>
  <c r="K58" i="1"/>
  <c r="J58" i="1"/>
  <c r="H58" i="1"/>
  <c r="CR58" i="1" s="1"/>
  <c r="G58" i="1"/>
  <c r="CQ58" i="1" s="1"/>
  <c r="E58" i="1"/>
  <c r="D58" i="1"/>
  <c r="B58" i="1"/>
  <c r="Q58" i="1" s="1"/>
  <c r="S58" i="1" s="1"/>
  <c r="DF58" i="1" s="1"/>
  <c r="M57" i="1"/>
  <c r="K57" i="1"/>
  <c r="J57" i="1"/>
  <c r="H57" i="1"/>
  <c r="CR57" i="1" s="1"/>
  <c r="G57" i="1"/>
  <c r="CQ57" i="1" s="1"/>
  <c r="E57" i="1"/>
  <c r="D57" i="1"/>
  <c r="B57" i="1"/>
  <c r="Q57" i="1" s="1"/>
  <c r="S57" i="1" s="1"/>
  <c r="DF57" i="1" s="1"/>
  <c r="M56" i="1"/>
  <c r="K56" i="1"/>
  <c r="J56" i="1"/>
  <c r="H56" i="1"/>
  <c r="CR56" i="1" s="1"/>
  <c r="G56" i="1"/>
  <c r="CQ56" i="1" s="1"/>
  <c r="CT56" i="1" s="1"/>
  <c r="E56" i="1"/>
  <c r="D56" i="1"/>
  <c r="B56" i="1"/>
  <c r="Q56" i="1" s="1"/>
  <c r="S56" i="1" s="1"/>
  <c r="DF56" i="1" s="1"/>
  <c r="M55" i="1"/>
  <c r="K55" i="1"/>
  <c r="J55" i="1"/>
  <c r="H55" i="1"/>
  <c r="CR55" i="1" s="1"/>
  <c r="G55" i="1"/>
  <c r="CQ55" i="1" s="1"/>
  <c r="E55" i="1"/>
  <c r="D55" i="1"/>
  <c r="B55" i="1"/>
  <c r="Q55" i="1" s="1"/>
  <c r="S55" i="1" s="1"/>
  <c r="DF55" i="1" s="1"/>
  <c r="M54" i="1"/>
  <c r="K54" i="1"/>
  <c r="J54" i="1"/>
  <c r="H54" i="1"/>
  <c r="CR54" i="1" s="1"/>
  <c r="G54" i="1"/>
  <c r="CQ54" i="1" s="1"/>
  <c r="E54" i="1"/>
  <c r="D54" i="1"/>
  <c r="B54" i="1"/>
  <c r="Q54" i="1" s="1"/>
  <c r="S54" i="1" s="1"/>
  <c r="DF54" i="1" s="1"/>
  <c r="M53" i="1"/>
  <c r="K53" i="1"/>
  <c r="J53" i="1"/>
  <c r="H53" i="1"/>
  <c r="CR53" i="1" s="1"/>
  <c r="G53" i="1"/>
  <c r="CQ53" i="1" s="1"/>
  <c r="E53" i="1"/>
  <c r="D53" i="1"/>
  <c r="B53" i="1"/>
  <c r="Q53" i="1" s="1"/>
  <c r="S53" i="1" s="1"/>
  <c r="DF53" i="1" s="1"/>
  <c r="M52" i="1"/>
  <c r="K52" i="1"/>
  <c r="J52" i="1"/>
  <c r="H52" i="1"/>
  <c r="CR52" i="1" s="1"/>
  <c r="G52" i="1"/>
  <c r="CQ52" i="1" s="1"/>
  <c r="E52" i="1"/>
  <c r="D52" i="1"/>
  <c r="B52" i="1"/>
  <c r="Q52" i="1" s="1"/>
  <c r="S52" i="1" s="1"/>
  <c r="DF52" i="1" s="1"/>
  <c r="M51" i="1"/>
  <c r="K51" i="1"/>
  <c r="J51" i="1"/>
  <c r="H51" i="1"/>
  <c r="CR51" i="1" s="1"/>
  <c r="G51" i="1"/>
  <c r="CQ51" i="1" s="1"/>
  <c r="CT51" i="1" s="1"/>
  <c r="E51" i="1"/>
  <c r="D51" i="1"/>
  <c r="B51" i="1"/>
  <c r="Q51" i="1" s="1"/>
  <c r="S51" i="1" s="1"/>
  <c r="DF51" i="1" s="1"/>
  <c r="M50" i="1"/>
  <c r="K50" i="1"/>
  <c r="J50" i="1"/>
  <c r="H50" i="1"/>
  <c r="CR50" i="1" s="1"/>
  <c r="G50" i="1"/>
  <c r="CQ50" i="1" s="1"/>
  <c r="E50" i="1"/>
  <c r="D50" i="1"/>
  <c r="B50" i="1"/>
  <c r="Q50" i="1" s="1"/>
  <c r="S50" i="1" s="1"/>
  <c r="DF50" i="1" s="1"/>
  <c r="M49" i="1"/>
  <c r="K49" i="1"/>
  <c r="J49" i="1"/>
  <c r="H49" i="1"/>
  <c r="CR49" i="1" s="1"/>
  <c r="G49" i="1"/>
  <c r="CQ49" i="1" s="1"/>
  <c r="E49" i="1"/>
  <c r="D49" i="1"/>
  <c r="B49" i="1"/>
  <c r="Q49" i="1" s="1"/>
  <c r="S49" i="1" s="1"/>
  <c r="DF49" i="1" s="1"/>
  <c r="M48" i="1"/>
  <c r="K48" i="1"/>
  <c r="J48" i="1"/>
  <c r="H48" i="1"/>
  <c r="CR48" i="1" s="1"/>
  <c r="G48" i="1"/>
  <c r="CQ48" i="1" s="1"/>
  <c r="E48" i="1"/>
  <c r="D48" i="1"/>
  <c r="B48" i="1"/>
  <c r="Q48" i="1" s="1"/>
  <c r="S48" i="1" s="1"/>
  <c r="DF48" i="1" s="1"/>
  <c r="M47" i="1"/>
  <c r="K47" i="1"/>
  <c r="J47" i="1"/>
  <c r="H47" i="1"/>
  <c r="CR47" i="1" s="1"/>
  <c r="G47" i="1"/>
  <c r="CQ47" i="1" s="1"/>
  <c r="CT47" i="1" s="1"/>
  <c r="E47" i="1"/>
  <c r="D47" i="1"/>
  <c r="B47" i="1"/>
  <c r="Q47" i="1" s="1"/>
  <c r="S47" i="1" s="1"/>
  <c r="DF47" i="1" s="1"/>
  <c r="M46" i="1"/>
  <c r="K46" i="1"/>
  <c r="J46" i="1"/>
  <c r="H46" i="1"/>
  <c r="CR46" i="1" s="1"/>
  <c r="G46" i="1"/>
  <c r="CQ46" i="1" s="1"/>
  <c r="CT46" i="1" s="1"/>
  <c r="E46" i="1"/>
  <c r="D46" i="1"/>
  <c r="B46" i="1"/>
  <c r="Q46" i="1" s="1"/>
  <c r="S46" i="1" s="1"/>
  <c r="DF46" i="1" s="1"/>
  <c r="M45" i="1"/>
  <c r="K45" i="1"/>
  <c r="J45" i="1"/>
  <c r="H45" i="1"/>
  <c r="CR45" i="1" s="1"/>
  <c r="G45" i="1"/>
  <c r="CQ45" i="1" s="1"/>
  <c r="E45" i="1"/>
  <c r="D45" i="1"/>
  <c r="B45" i="1"/>
  <c r="Q45" i="1" s="1"/>
  <c r="S45" i="1" s="1"/>
  <c r="DF45" i="1" s="1"/>
  <c r="M44" i="1"/>
  <c r="K44" i="1"/>
  <c r="J44" i="1"/>
  <c r="H44" i="1"/>
  <c r="CR44" i="1" s="1"/>
  <c r="G44" i="1"/>
  <c r="CQ44" i="1" s="1"/>
  <c r="CT44" i="1" s="1"/>
  <c r="E44" i="1"/>
  <c r="D44" i="1"/>
  <c r="B44" i="1"/>
  <c r="Q44" i="1" s="1"/>
  <c r="S44" i="1" s="1"/>
  <c r="DF44" i="1" s="1"/>
  <c r="M43" i="1"/>
  <c r="K43" i="1"/>
  <c r="J43" i="1"/>
  <c r="H43" i="1"/>
  <c r="CR43" i="1" s="1"/>
  <c r="G43" i="1"/>
  <c r="CQ43" i="1" s="1"/>
  <c r="E43" i="1"/>
  <c r="D43" i="1"/>
  <c r="B43" i="1"/>
  <c r="Q43" i="1" s="1"/>
  <c r="S43" i="1" s="1"/>
  <c r="DF43" i="1" s="1"/>
  <c r="M42" i="1"/>
  <c r="K42" i="1"/>
  <c r="J42" i="1"/>
  <c r="H42" i="1"/>
  <c r="CR42" i="1" s="1"/>
  <c r="G42" i="1"/>
  <c r="CQ42" i="1" s="1"/>
  <c r="E42" i="1"/>
  <c r="D42" i="1"/>
  <c r="B42" i="1"/>
  <c r="Q42" i="1" s="1"/>
  <c r="S42" i="1" s="1"/>
  <c r="DF42" i="1" s="1"/>
  <c r="M41" i="1"/>
  <c r="K41" i="1"/>
  <c r="J41" i="1"/>
  <c r="H41" i="1"/>
  <c r="CR41" i="1" s="1"/>
  <c r="G41" i="1"/>
  <c r="CQ41" i="1" s="1"/>
  <c r="E41" i="1"/>
  <c r="D41" i="1"/>
  <c r="B41" i="1"/>
  <c r="Q41" i="1" s="1"/>
  <c r="S41" i="1" s="1"/>
  <c r="DF41" i="1" s="1"/>
  <c r="M40" i="1"/>
  <c r="K40" i="1"/>
  <c r="J40" i="1"/>
  <c r="H40" i="1"/>
  <c r="CR40" i="1" s="1"/>
  <c r="G40" i="1"/>
  <c r="CQ40" i="1" s="1"/>
  <c r="CT40" i="1" s="1"/>
  <c r="E40" i="1"/>
  <c r="D40" i="1"/>
  <c r="B40" i="1"/>
  <c r="Q40" i="1" s="1"/>
  <c r="S40" i="1" s="1"/>
  <c r="DF40" i="1" s="1"/>
  <c r="M39" i="1"/>
  <c r="K39" i="1"/>
  <c r="J39" i="1"/>
  <c r="H39" i="1"/>
  <c r="CR39" i="1" s="1"/>
  <c r="G39" i="1"/>
  <c r="CQ39" i="1" s="1"/>
  <c r="E39" i="1"/>
  <c r="D39" i="1"/>
  <c r="B39" i="1"/>
  <c r="Q39" i="1" s="1"/>
  <c r="S39" i="1" s="1"/>
  <c r="DF39" i="1" s="1"/>
  <c r="M38" i="1"/>
  <c r="K38" i="1"/>
  <c r="J38" i="1"/>
  <c r="H38" i="1"/>
  <c r="CR38" i="1" s="1"/>
  <c r="G38" i="1"/>
  <c r="CQ38" i="1" s="1"/>
  <c r="E38" i="1"/>
  <c r="D38" i="1"/>
  <c r="B38" i="1"/>
  <c r="Q38" i="1" s="1"/>
  <c r="S38" i="1" s="1"/>
  <c r="DF38" i="1" s="1"/>
  <c r="M37" i="1"/>
  <c r="K37" i="1"/>
  <c r="J37" i="1"/>
  <c r="H37" i="1"/>
  <c r="CR37" i="1" s="1"/>
  <c r="G37" i="1"/>
  <c r="CQ37" i="1" s="1"/>
  <c r="E37" i="1"/>
  <c r="D37" i="1"/>
  <c r="B37" i="1"/>
  <c r="Q37" i="1" s="1"/>
  <c r="S37" i="1" s="1"/>
  <c r="DF37" i="1" s="1"/>
  <c r="M36" i="1"/>
  <c r="K36" i="1"/>
  <c r="J36" i="1"/>
  <c r="H36" i="1"/>
  <c r="CR36" i="1" s="1"/>
  <c r="G36" i="1"/>
  <c r="CQ36" i="1" s="1"/>
  <c r="E36" i="1"/>
  <c r="D36" i="1"/>
  <c r="B36" i="1"/>
  <c r="Q36" i="1" s="1"/>
  <c r="S36" i="1" s="1"/>
  <c r="DF36" i="1" s="1"/>
  <c r="M35" i="1"/>
  <c r="K35" i="1"/>
  <c r="J35" i="1"/>
  <c r="H35" i="1"/>
  <c r="CR35" i="1" s="1"/>
  <c r="G35" i="1"/>
  <c r="CQ35" i="1" s="1"/>
  <c r="E35" i="1"/>
  <c r="D35" i="1"/>
  <c r="B35" i="1"/>
  <c r="Q35" i="1" s="1"/>
  <c r="S35" i="1" s="1"/>
  <c r="DF35" i="1" s="1"/>
  <c r="M34" i="1"/>
  <c r="K34" i="1"/>
  <c r="J34" i="1"/>
  <c r="H34" i="1"/>
  <c r="CR34" i="1" s="1"/>
  <c r="G34" i="1"/>
  <c r="CQ34" i="1" s="1"/>
  <c r="CT34" i="1" s="1"/>
  <c r="E34" i="1"/>
  <c r="D34" i="1"/>
  <c r="B34" i="1"/>
  <c r="Q34" i="1" s="1"/>
  <c r="S34" i="1" s="1"/>
  <c r="DF34" i="1" s="1"/>
  <c r="M33" i="1"/>
  <c r="K33" i="1"/>
  <c r="J33" i="1"/>
  <c r="H33" i="1"/>
  <c r="CR33" i="1" s="1"/>
  <c r="G33" i="1"/>
  <c r="CQ33" i="1" s="1"/>
  <c r="E33" i="1"/>
  <c r="D33" i="1"/>
  <c r="B33" i="1"/>
  <c r="Q33" i="1" s="1"/>
  <c r="S33" i="1" s="1"/>
  <c r="DF33" i="1" s="1"/>
  <c r="M32" i="1"/>
  <c r="K32" i="1"/>
  <c r="J32" i="1"/>
  <c r="H32" i="1"/>
  <c r="CR32" i="1" s="1"/>
  <c r="G32" i="1"/>
  <c r="CQ32" i="1" s="1"/>
  <c r="E32" i="1"/>
  <c r="D32" i="1"/>
  <c r="B32" i="1"/>
  <c r="Q32" i="1" s="1"/>
  <c r="S32" i="1" s="1"/>
  <c r="DF32" i="1" s="1"/>
  <c r="M31" i="1"/>
  <c r="K31" i="1"/>
  <c r="J31" i="1"/>
  <c r="H31" i="1"/>
  <c r="CR31" i="1" s="1"/>
  <c r="G31" i="1"/>
  <c r="CQ31" i="1" s="1"/>
  <c r="E31" i="1"/>
  <c r="D31" i="1"/>
  <c r="B31" i="1"/>
  <c r="Q31" i="1" s="1"/>
  <c r="S31" i="1" s="1"/>
  <c r="DF31" i="1" s="1"/>
  <c r="M30" i="1"/>
  <c r="K30" i="1"/>
  <c r="J30" i="1"/>
  <c r="H30" i="1"/>
  <c r="CR30" i="1" s="1"/>
  <c r="G30" i="1"/>
  <c r="CQ30" i="1" s="1"/>
  <c r="E30" i="1"/>
  <c r="D30" i="1"/>
  <c r="B30" i="1"/>
  <c r="Q30" i="1" s="1"/>
  <c r="S30" i="1" s="1"/>
  <c r="DF30" i="1" s="1"/>
  <c r="M29" i="1"/>
  <c r="K29" i="1"/>
  <c r="J29" i="1"/>
  <c r="H29" i="1"/>
  <c r="CR29" i="1" s="1"/>
  <c r="G29" i="1"/>
  <c r="CQ29" i="1" s="1"/>
  <c r="E29" i="1"/>
  <c r="D29" i="1"/>
  <c r="B29" i="1"/>
  <c r="Q29" i="1" s="1"/>
  <c r="S29" i="1" s="1"/>
  <c r="DF29" i="1" s="1"/>
  <c r="M28" i="1"/>
  <c r="K28" i="1"/>
  <c r="J28" i="1"/>
  <c r="H28" i="1"/>
  <c r="CR28" i="1" s="1"/>
  <c r="G28" i="1"/>
  <c r="CQ28" i="1" s="1"/>
  <c r="CT28" i="1" s="1"/>
  <c r="E28" i="1"/>
  <c r="D28" i="1"/>
  <c r="B28" i="1"/>
  <c r="Q28" i="1" s="1"/>
  <c r="S28" i="1" s="1"/>
  <c r="DF28" i="1" s="1"/>
  <c r="M27" i="1"/>
  <c r="K27" i="1"/>
  <c r="J27" i="1"/>
  <c r="H27" i="1"/>
  <c r="CR27" i="1" s="1"/>
  <c r="G27" i="1"/>
  <c r="CQ27" i="1" s="1"/>
  <c r="E27" i="1"/>
  <c r="D27" i="1"/>
  <c r="B27" i="1"/>
  <c r="Q27" i="1" s="1"/>
  <c r="S27" i="1" s="1"/>
  <c r="DF27" i="1" s="1"/>
  <c r="M26" i="1"/>
  <c r="K26" i="1"/>
  <c r="J26" i="1"/>
  <c r="H26" i="1"/>
  <c r="CR26" i="1" s="1"/>
  <c r="G26" i="1"/>
  <c r="CQ26" i="1" s="1"/>
  <c r="CT26" i="1" s="1"/>
  <c r="E26" i="1"/>
  <c r="D26" i="1"/>
  <c r="B26" i="1"/>
  <c r="Q26" i="1" s="1"/>
  <c r="S26" i="1" s="1"/>
  <c r="DF26" i="1" s="1"/>
  <c r="M25" i="1"/>
  <c r="K25" i="1"/>
  <c r="J25" i="1"/>
  <c r="H25" i="1"/>
  <c r="CR25" i="1" s="1"/>
  <c r="G25" i="1"/>
  <c r="CQ25" i="1" s="1"/>
  <c r="E25" i="1"/>
  <c r="D25" i="1"/>
  <c r="B25" i="1"/>
  <c r="Q25" i="1" s="1"/>
  <c r="S25" i="1" s="1"/>
  <c r="DF25" i="1" s="1"/>
  <c r="M24" i="1"/>
  <c r="K24" i="1"/>
  <c r="J24" i="1"/>
  <c r="H24" i="1"/>
  <c r="CR24" i="1" s="1"/>
  <c r="G24" i="1"/>
  <c r="CQ24" i="1" s="1"/>
  <c r="E24" i="1"/>
  <c r="D24" i="1"/>
  <c r="B24" i="1"/>
  <c r="Q24" i="1" s="1"/>
  <c r="S24" i="1" s="1"/>
  <c r="DF24" i="1" s="1"/>
  <c r="M23" i="1"/>
  <c r="K23" i="1"/>
  <c r="J23" i="1"/>
  <c r="H23" i="1"/>
  <c r="CR23" i="1" s="1"/>
  <c r="G23" i="1"/>
  <c r="CQ23" i="1" s="1"/>
  <c r="CT23" i="1" s="1"/>
  <c r="E23" i="1"/>
  <c r="D23" i="1"/>
  <c r="B23" i="1"/>
  <c r="Q23" i="1" s="1"/>
  <c r="S23" i="1" s="1"/>
  <c r="DF23" i="1" s="1"/>
  <c r="M22" i="1"/>
  <c r="K22" i="1"/>
  <c r="J22" i="1"/>
  <c r="H22" i="1"/>
  <c r="CR22" i="1" s="1"/>
  <c r="G22" i="1"/>
  <c r="CQ22" i="1" s="1"/>
  <c r="E22" i="1"/>
  <c r="D22" i="1"/>
  <c r="B22" i="1"/>
  <c r="Q22" i="1" s="1"/>
  <c r="S22" i="1" s="1"/>
  <c r="DF22" i="1" s="1"/>
  <c r="M21" i="1"/>
  <c r="K21" i="1"/>
  <c r="J21" i="1"/>
  <c r="H21" i="1"/>
  <c r="CR21" i="1" s="1"/>
  <c r="G21" i="1"/>
  <c r="CQ21" i="1" s="1"/>
  <c r="E21" i="1"/>
  <c r="D21" i="1"/>
  <c r="B21" i="1"/>
  <c r="Q21" i="1" s="1"/>
  <c r="S21" i="1" s="1"/>
  <c r="DF21" i="1" s="1"/>
  <c r="M20" i="1"/>
  <c r="K20" i="1"/>
  <c r="J20" i="1"/>
  <c r="H20" i="1"/>
  <c r="CR20" i="1" s="1"/>
  <c r="G20" i="1"/>
  <c r="CQ20" i="1" s="1"/>
  <c r="E20" i="1"/>
  <c r="D20" i="1"/>
  <c r="B20" i="1"/>
  <c r="Q20" i="1" s="1"/>
  <c r="S20" i="1" s="1"/>
  <c r="M19" i="1"/>
  <c r="K19" i="1"/>
  <c r="J19" i="1"/>
  <c r="H19" i="1"/>
  <c r="CR19" i="1" s="1"/>
  <c r="G19" i="1"/>
  <c r="CQ19" i="1" s="1"/>
  <c r="E19" i="1"/>
  <c r="D19" i="1"/>
  <c r="B19" i="1"/>
  <c r="Q19" i="1" s="1"/>
  <c r="S19" i="1" s="1"/>
  <c r="DF19" i="1" s="1"/>
  <c r="M18" i="1"/>
  <c r="K18" i="1"/>
  <c r="J18" i="1"/>
  <c r="H18" i="1"/>
  <c r="CR18" i="1" s="1"/>
  <c r="G18" i="1"/>
  <c r="CQ18" i="1" s="1"/>
  <c r="E18" i="1"/>
  <c r="D18" i="1"/>
  <c r="B18" i="1"/>
  <c r="Q18" i="1" s="1"/>
  <c r="S18" i="1" s="1"/>
  <c r="DF18" i="1" s="1"/>
  <c r="M17" i="1"/>
  <c r="K17" i="1"/>
  <c r="J17" i="1"/>
  <c r="H17" i="1"/>
  <c r="CR17" i="1" s="1"/>
  <c r="G17" i="1"/>
  <c r="CQ17" i="1" s="1"/>
  <c r="E17" i="1"/>
  <c r="D17" i="1"/>
  <c r="B17" i="1"/>
  <c r="Q17" i="1" s="1"/>
  <c r="S17" i="1" s="1"/>
  <c r="DF17" i="1" s="1"/>
  <c r="M16" i="1"/>
  <c r="K16" i="1"/>
  <c r="J16" i="1"/>
  <c r="H16" i="1"/>
  <c r="CR16" i="1" s="1"/>
  <c r="G16" i="1"/>
  <c r="CQ16" i="1" s="1"/>
  <c r="E16" i="1"/>
  <c r="D16" i="1"/>
  <c r="B16" i="1"/>
  <c r="Q16" i="1" s="1"/>
  <c r="S16" i="1" s="1"/>
  <c r="DF16" i="1" s="1"/>
  <c r="M15" i="1"/>
  <c r="K15" i="1"/>
  <c r="J15" i="1"/>
  <c r="H15" i="1"/>
  <c r="CR15" i="1" s="1"/>
  <c r="G15" i="1"/>
  <c r="CQ15" i="1" s="1"/>
  <c r="E15" i="1"/>
  <c r="D15" i="1"/>
  <c r="B15" i="1"/>
  <c r="Q15" i="1" s="1"/>
  <c r="M14" i="1"/>
  <c r="K14" i="1"/>
  <c r="J14" i="1"/>
  <c r="H14" i="1"/>
  <c r="CR14" i="1" s="1"/>
  <c r="G14" i="1"/>
  <c r="CQ14" i="1" s="1"/>
  <c r="CT14" i="1" s="1"/>
  <c r="E14" i="1"/>
  <c r="D14" i="1"/>
  <c r="B14" i="1"/>
  <c r="Q14" i="1" s="1"/>
  <c r="BS12" i="1"/>
  <c r="CS28" i="1" l="1"/>
  <c r="AL275" i="1"/>
  <c r="AK275" i="1"/>
  <c r="AL287" i="1"/>
  <c r="AK287" i="1"/>
  <c r="AP370" i="1"/>
  <c r="AO370" i="1"/>
  <c r="AL370" i="1"/>
  <c r="AK370" i="1"/>
  <c r="BJ275" i="1"/>
  <c r="BK275" i="1" s="1"/>
  <c r="BI275" i="1"/>
  <c r="BJ287" i="1"/>
  <c r="BK287" i="1" s="1"/>
  <c r="BI287" i="1"/>
  <c r="BJ370" i="1"/>
  <c r="BK370" i="1" s="1"/>
  <c r="BI370" i="1"/>
  <c r="S411" i="1"/>
  <c r="R411" i="1"/>
  <c r="S405" i="1"/>
  <c r="R405" i="1"/>
  <c r="CT15" i="1"/>
  <c r="CS15" i="1"/>
  <c r="CT35" i="1"/>
  <c r="S14" i="1"/>
  <c r="DF14" i="1" s="1"/>
  <c r="R410" i="1"/>
  <c r="S410" i="1"/>
  <c r="CT19" i="1"/>
  <c r="R409" i="1"/>
  <c r="S409" i="1"/>
  <c r="CT22" i="1"/>
  <c r="CT38" i="1"/>
  <c r="CS38" i="1"/>
  <c r="CT27" i="1"/>
  <c r="CS27" i="1"/>
  <c r="O21" i="1"/>
  <c r="CS30" i="1"/>
  <c r="CT30" i="1"/>
  <c r="EJ30" i="1" s="1"/>
  <c r="CS14" i="1"/>
  <c r="CT31" i="1"/>
  <c r="CS31" i="1"/>
  <c r="CT18" i="1"/>
  <c r="S407" i="1"/>
  <c r="R407" i="1"/>
  <c r="R406" i="1"/>
  <c r="S406" i="1"/>
  <c r="O22" i="1"/>
  <c r="R408" i="1"/>
  <c r="S408" i="1"/>
  <c r="CS26" i="1"/>
  <c r="S15" i="1"/>
  <c r="DF15" i="1" s="1"/>
  <c r="Q412" i="1"/>
  <c r="CT17" i="1"/>
  <c r="EJ17" i="1" s="1"/>
  <c r="CS17" i="1"/>
  <c r="CT21" i="1"/>
  <c r="EJ21" i="1" s="1"/>
  <c r="CT25" i="1"/>
  <c r="CS25" i="1"/>
  <c r="CT29" i="1"/>
  <c r="CS29" i="1"/>
  <c r="CT33" i="1"/>
  <c r="CT37" i="1"/>
  <c r="CS37" i="1"/>
  <c r="Z370" i="1"/>
  <c r="AA370" i="1" s="1"/>
  <c r="AI370" i="1" s="1"/>
  <c r="W370" i="1"/>
  <c r="X370" i="1" s="1"/>
  <c r="BQ370" i="1" s="1"/>
  <c r="BR370" i="1" s="1"/>
  <c r="O20" i="1"/>
  <c r="CS16" i="1"/>
  <c r="CT16" i="1"/>
  <c r="CT20" i="1"/>
  <c r="EJ20" i="1" s="1"/>
  <c r="CT24" i="1"/>
  <c r="CS24" i="1"/>
  <c r="CS32" i="1"/>
  <c r="CT32" i="1"/>
  <c r="CT36" i="1"/>
  <c r="CS287" i="1"/>
  <c r="W275" i="1"/>
  <c r="Z275" i="1"/>
  <c r="AA275" i="1" s="1"/>
  <c r="W287" i="1"/>
  <c r="Z287" i="1"/>
  <c r="AA287" i="1" s="1"/>
  <c r="S345" i="1"/>
  <c r="DF345" i="1" s="1"/>
  <c r="S346" i="1"/>
  <c r="DF346" i="1" s="1"/>
  <c r="S347" i="1"/>
  <c r="R347" i="1"/>
  <c r="Q348" i="1"/>
  <c r="S349" i="1"/>
  <c r="R349" i="1"/>
  <c r="R350" i="1"/>
  <c r="S350" i="1"/>
  <c r="S351" i="1"/>
  <c r="R351" i="1"/>
  <c r="Q352" i="1"/>
  <c r="S353" i="1"/>
  <c r="R353" i="1"/>
  <c r="S354" i="1"/>
  <c r="R354" i="1"/>
  <c r="S355" i="1"/>
  <c r="R355" i="1"/>
  <c r="S356" i="1"/>
  <c r="R356" i="1"/>
  <c r="S357" i="1"/>
  <c r="R357" i="1"/>
  <c r="Q358" i="1"/>
  <c r="R359" i="1"/>
  <c r="S359" i="1"/>
  <c r="Q360" i="1"/>
  <c r="R361" i="1"/>
  <c r="S361" i="1"/>
  <c r="R362" i="1"/>
  <c r="S362" i="1"/>
  <c r="Q363" i="1"/>
  <c r="T363" i="1" s="1"/>
  <c r="U363" i="1" s="1"/>
  <c r="Q364" i="1"/>
  <c r="S365" i="1"/>
  <c r="R365" i="1"/>
  <c r="R366" i="1"/>
  <c r="S366" i="1"/>
  <c r="S367" i="1"/>
  <c r="R367" i="1"/>
  <c r="R368" i="1"/>
  <c r="S368" i="1"/>
  <c r="S369" i="1"/>
  <c r="R369" i="1"/>
  <c r="R370" i="1"/>
  <c r="S370" i="1"/>
  <c r="S371" i="1"/>
  <c r="R371" i="1"/>
  <c r="R372" i="1"/>
  <c r="S372" i="1"/>
  <c r="Q373" i="1"/>
  <c r="T373" i="1" s="1"/>
  <c r="U373" i="1" s="1"/>
  <c r="R374" i="1"/>
  <c r="S374" i="1"/>
  <c r="S375" i="1"/>
  <c r="R375" i="1"/>
  <c r="R376" i="1"/>
  <c r="S376" i="1"/>
  <c r="R377" i="1"/>
  <c r="S377" i="1"/>
  <c r="R378" i="1"/>
  <c r="S378" i="1"/>
  <c r="S379" i="1"/>
  <c r="R379" i="1"/>
  <c r="S380" i="1"/>
  <c r="R380" i="1"/>
  <c r="S381" i="1"/>
  <c r="R381" i="1"/>
  <c r="S382" i="1"/>
  <c r="R382" i="1"/>
  <c r="S383" i="1"/>
  <c r="R383" i="1"/>
  <c r="Q384" i="1"/>
  <c r="Q385" i="1"/>
  <c r="T385" i="1" s="1"/>
  <c r="U385" i="1" s="1"/>
  <c r="S386" i="1"/>
  <c r="R386" i="1"/>
  <c r="S387" i="1"/>
  <c r="R387" i="1"/>
  <c r="S388" i="1"/>
  <c r="R388" i="1"/>
  <c r="S389" i="1"/>
  <c r="R389" i="1"/>
  <c r="S390" i="1"/>
  <c r="R390" i="1"/>
  <c r="Q391" i="1"/>
  <c r="R392" i="1"/>
  <c r="S392" i="1"/>
  <c r="R393" i="1"/>
  <c r="S393" i="1"/>
  <c r="R394" i="1"/>
  <c r="S394" i="1"/>
  <c r="S395" i="1"/>
  <c r="R395" i="1"/>
  <c r="R396" i="1"/>
  <c r="S396" i="1"/>
  <c r="S397" i="1"/>
  <c r="R397" i="1"/>
  <c r="R398" i="1"/>
  <c r="S398" i="1"/>
  <c r="S399" i="1"/>
  <c r="R399" i="1"/>
  <c r="R400" i="1"/>
  <c r="S400" i="1"/>
  <c r="S401" i="1"/>
  <c r="R401" i="1"/>
  <c r="R402" i="1"/>
  <c r="S402" i="1"/>
  <c r="Q403" i="1"/>
  <c r="R404" i="1"/>
  <c r="S404" i="1"/>
  <c r="O55" i="1"/>
  <c r="O89" i="1"/>
  <c r="O90" i="1"/>
  <c r="O91" i="1"/>
  <c r="O303" i="1"/>
  <c r="O304" i="1"/>
  <c r="O305" i="1"/>
  <c r="O306" i="1"/>
  <c r="O307" i="1"/>
  <c r="O308" i="1"/>
  <c r="O309" i="1"/>
  <c r="O310" i="1"/>
  <c r="O394" i="1"/>
  <c r="O395" i="1"/>
  <c r="O396" i="1"/>
  <c r="O397" i="1"/>
  <c r="O398" i="1"/>
  <c r="O399" i="1"/>
  <c r="O400" i="1"/>
  <c r="O401" i="1"/>
  <c r="O402" i="1"/>
  <c r="O403" i="1"/>
  <c r="O404" i="1"/>
  <c r="O54" i="1"/>
  <c r="O92" i="1"/>
  <c r="O93" i="1"/>
  <c r="O94" i="1"/>
  <c r="O95" i="1"/>
  <c r="O311" i="1"/>
  <c r="O312" i="1"/>
  <c r="O313" i="1"/>
  <c r="O314" i="1"/>
  <c r="O315" i="1"/>
  <c r="O316" i="1"/>
  <c r="O317" i="1"/>
  <c r="O318" i="1"/>
  <c r="O319" i="1"/>
  <c r="O405" i="1"/>
  <c r="O406" i="1"/>
  <c r="O407" i="1"/>
  <c r="O408" i="1"/>
  <c r="O409" i="1"/>
  <c r="O410" i="1"/>
  <c r="O411" i="1"/>
  <c r="O96" i="1"/>
  <c r="O97" i="1"/>
  <c r="O98" i="1"/>
  <c r="O99" i="1"/>
  <c r="O100" i="1"/>
  <c r="O101" i="1"/>
  <c r="O102" i="1"/>
  <c r="O103" i="1"/>
  <c r="O104" i="1"/>
  <c r="O105" i="1"/>
  <c r="O106" i="1"/>
  <c r="O107" i="1"/>
  <c r="O320" i="1"/>
  <c r="O321" i="1"/>
  <c r="O322" i="1"/>
  <c r="O323" i="1"/>
  <c r="O324" i="1"/>
  <c r="O325" i="1"/>
  <c r="O412" i="1"/>
  <c r="O58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326" i="1"/>
  <c r="O327" i="1"/>
  <c r="O328" i="1"/>
  <c r="O57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50" i="1"/>
  <c r="O149" i="1"/>
  <c r="O150" i="1"/>
  <c r="O151" i="1"/>
  <c r="O152" i="1"/>
  <c r="O153" i="1"/>
  <c r="O154" i="1"/>
  <c r="O345" i="1"/>
  <c r="O346" i="1"/>
  <c r="O347" i="1"/>
  <c r="O348" i="1"/>
  <c r="O62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349" i="1"/>
  <c r="O350" i="1"/>
  <c r="O351" i="1"/>
  <c r="O352" i="1"/>
  <c r="O353" i="1"/>
  <c r="O354" i="1"/>
  <c r="O59" i="1"/>
  <c r="O178" i="1"/>
  <c r="O179" i="1"/>
  <c r="O180" i="1"/>
  <c r="O181" i="1"/>
  <c r="O182" i="1"/>
  <c r="O183" i="1"/>
  <c r="O184" i="1"/>
  <c r="O185" i="1"/>
  <c r="O355" i="1"/>
  <c r="O356" i="1"/>
  <c r="O357" i="1"/>
  <c r="O358" i="1"/>
  <c r="O359" i="1"/>
  <c r="O360" i="1"/>
  <c r="O361" i="1"/>
  <c r="O362" i="1"/>
  <c r="O186" i="1"/>
  <c r="O187" i="1"/>
  <c r="O188" i="1"/>
  <c r="O189" i="1"/>
  <c r="O363" i="1"/>
  <c r="O364" i="1"/>
  <c r="O365" i="1"/>
  <c r="O366" i="1"/>
  <c r="O367" i="1"/>
  <c r="O368" i="1"/>
  <c r="O369" i="1"/>
  <c r="O60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49" i="1"/>
  <c r="O53" i="1"/>
  <c r="O263" i="1"/>
  <c r="O264" i="1"/>
  <c r="O265" i="1"/>
  <c r="O266" i="1"/>
  <c r="O267" i="1"/>
  <c r="O268" i="1"/>
  <c r="O269" i="1"/>
  <c r="O270" i="1"/>
  <c r="O271" i="1"/>
  <c r="O371" i="1"/>
  <c r="O372" i="1"/>
  <c r="O373" i="1"/>
  <c r="O61" i="1"/>
  <c r="O272" i="1"/>
  <c r="O273" i="1"/>
  <c r="O274" i="1"/>
  <c r="O48" i="1"/>
  <c r="O56" i="1"/>
  <c r="O14" i="1"/>
  <c r="O15" i="1"/>
  <c r="O16" i="1"/>
  <c r="O17" i="1"/>
  <c r="O18" i="1"/>
  <c r="O19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276" i="1"/>
  <c r="O277" i="1"/>
  <c r="O278" i="1"/>
  <c r="O279" i="1"/>
  <c r="O280" i="1"/>
  <c r="O281" i="1"/>
  <c r="O282" i="1"/>
  <c r="O374" i="1"/>
  <c r="O375" i="1"/>
  <c r="O376" i="1"/>
  <c r="O377" i="1"/>
  <c r="O378" i="1"/>
  <c r="O379" i="1"/>
  <c r="O380" i="1"/>
  <c r="O381" i="1"/>
  <c r="O382" i="1"/>
  <c r="O51" i="1"/>
  <c r="O283" i="1"/>
  <c r="O284" i="1"/>
  <c r="O285" i="1"/>
  <c r="O286" i="1"/>
  <c r="O383" i="1"/>
  <c r="O384" i="1"/>
  <c r="O385" i="1"/>
  <c r="O386" i="1"/>
  <c r="O387" i="1"/>
  <c r="O388" i="1"/>
  <c r="O389" i="1"/>
  <c r="O390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391" i="1"/>
  <c r="O52" i="1"/>
  <c r="O77" i="1"/>
  <c r="O78" i="1"/>
  <c r="O79" i="1"/>
  <c r="O80" i="1"/>
  <c r="O81" i="1"/>
  <c r="O82" i="1"/>
  <c r="O83" i="1"/>
  <c r="O84" i="1"/>
  <c r="O85" i="1"/>
  <c r="O86" i="1"/>
  <c r="O87" i="1"/>
  <c r="O88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92" i="1"/>
  <c r="O393" i="1"/>
  <c r="EJ303" i="1"/>
  <c r="EJ221" i="1"/>
  <c r="EJ312" i="1"/>
  <c r="EJ100" i="1"/>
  <c r="EJ304" i="1"/>
  <c r="EJ233" i="1"/>
  <c r="EJ111" i="1"/>
  <c r="EJ112" i="1"/>
  <c r="EJ116" i="1"/>
  <c r="EJ125" i="1"/>
  <c r="EJ128" i="1"/>
  <c r="EJ130" i="1"/>
  <c r="EJ132" i="1"/>
  <c r="EJ40" i="1"/>
  <c r="EJ47" i="1"/>
  <c r="EJ146" i="1"/>
  <c r="EJ244" i="1"/>
  <c r="EJ31" i="1"/>
  <c r="EJ157" i="1"/>
  <c r="EJ255" i="1"/>
  <c r="EJ162" i="1"/>
  <c r="EJ169" i="1"/>
  <c r="EJ260" i="1"/>
  <c r="EJ51" i="1"/>
  <c r="EJ61" i="1"/>
  <c r="EJ185" i="1"/>
  <c r="EJ68" i="1"/>
  <c r="EJ77" i="1"/>
  <c r="EJ281" i="1"/>
  <c r="EJ80" i="1"/>
  <c r="EJ82" i="1"/>
  <c r="EJ196" i="1"/>
  <c r="EJ205" i="1"/>
  <c r="EJ285" i="1"/>
  <c r="EJ212" i="1"/>
  <c r="EJ217" i="1"/>
  <c r="CS146" i="1"/>
  <c r="CS313" i="1"/>
  <c r="CS82" i="1"/>
  <c r="CS185" i="1"/>
  <c r="CS162" i="1"/>
  <c r="CS40" i="1"/>
  <c r="CS66" i="1"/>
  <c r="CS130" i="1"/>
  <c r="CT52" i="1"/>
  <c r="EJ52" i="1" s="1"/>
  <c r="CS52" i="1"/>
  <c r="CS72" i="1"/>
  <c r="CT72" i="1"/>
  <c r="CT42" i="1"/>
  <c r="CT50" i="1"/>
  <c r="CS50" i="1"/>
  <c r="CT55" i="1"/>
  <c r="EJ55" i="1" s="1"/>
  <c r="CT45" i="1"/>
  <c r="CS45" i="1"/>
  <c r="CS88" i="1"/>
  <c r="CT88" i="1"/>
  <c r="CT140" i="1"/>
  <c r="CS140" i="1"/>
  <c r="CT158" i="1"/>
  <c r="CS158" i="1"/>
  <c r="CS53" i="1"/>
  <c r="CT53" i="1"/>
  <c r="CQ73" i="1"/>
  <c r="CT73" i="1" s="1"/>
  <c r="CT102" i="1"/>
  <c r="CT43" i="1"/>
  <c r="CS65" i="1"/>
  <c r="CT65" i="1"/>
  <c r="EJ65" i="1" s="1"/>
  <c r="CT91" i="1"/>
  <c r="CS91" i="1"/>
  <c r="CS39" i="1"/>
  <c r="CT39" i="1"/>
  <c r="EJ39" i="1" s="1"/>
  <c r="CT139" i="1"/>
  <c r="EJ139" i="1" s="1"/>
  <c r="CS139" i="1"/>
  <c r="CS48" i="1"/>
  <c r="CT48" i="1"/>
  <c r="EJ25" i="1"/>
  <c r="CS121" i="1"/>
  <c r="CQ60" i="1"/>
  <c r="EJ27" i="1"/>
  <c r="CS49" i="1"/>
  <c r="CT49" i="1"/>
  <c r="CT54" i="1"/>
  <c r="CT110" i="1"/>
  <c r="CS110" i="1"/>
  <c r="CT58" i="1"/>
  <c r="CS58" i="1"/>
  <c r="CS81" i="1"/>
  <c r="CT81" i="1"/>
  <c r="CT300" i="1"/>
  <c r="EJ300" i="1" s="1"/>
  <c r="CS300" i="1"/>
  <c r="CT70" i="1"/>
  <c r="EJ26" i="1"/>
  <c r="CT41" i="1"/>
  <c r="EJ41" i="1" s="1"/>
  <c r="CS41" i="1"/>
  <c r="CT83" i="1"/>
  <c r="CS83" i="1"/>
  <c r="CT152" i="1"/>
  <c r="CS76" i="1"/>
  <c r="CT76" i="1"/>
  <c r="CT87" i="1"/>
  <c r="EJ87" i="1" s="1"/>
  <c r="CS87" i="1"/>
  <c r="CQ89" i="1"/>
  <c r="CT89" i="1" s="1"/>
  <c r="CT103" i="1"/>
  <c r="CS113" i="1"/>
  <c r="CT113" i="1"/>
  <c r="EJ113" i="1" s="1"/>
  <c r="CS120" i="1"/>
  <c r="CT120" i="1"/>
  <c r="CT122" i="1"/>
  <c r="EJ122" i="1" s="1"/>
  <c r="CS122" i="1"/>
  <c r="CT151" i="1"/>
  <c r="CS184" i="1"/>
  <c r="CT184" i="1"/>
  <c r="EJ184" i="1" s="1"/>
  <c r="CS194" i="1"/>
  <c r="CT204" i="1"/>
  <c r="CT90" i="1"/>
  <c r="EJ90" i="1" s="1"/>
  <c r="CS90" i="1"/>
  <c r="CT131" i="1"/>
  <c r="EJ131" i="1" s="1"/>
  <c r="CS131" i="1"/>
  <c r="CT133" i="1"/>
  <c r="CS133" i="1"/>
  <c r="CT165" i="1"/>
  <c r="CS165" i="1"/>
  <c r="CT174" i="1"/>
  <c r="CT188" i="1"/>
  <c r="EJ188" i="1" s="1"/>
  <c r="CS188" i="1"/>
  <c r="CS264" i="1"/>
  <c r="CT264" i="1"/>
  <c r="EJ264" i="1" s="1"/>
  <c r="CS136" i="1"/>
  <c r="CT136" i="1"/>
  <c r="CS98" i="1"/>
  <c r="CQ106" i="1"/>
  <c r="CT142" i="1"/>
  <c r="CS142" i="1"/>
  <c r="CS168" i="1"/>
  <c r="CT168" i="1"/>
  <c r="EJ168" i="1" s="1"/>
  <c r="CS170" i="1"/>
  <c r="CT170" i="1"/>
  <c r="EJ170" i="1" s="1"/>
  <c r="CT286" i="1"/>
  <c r="CS322" i="1"/>
  <c r="CT322" i="1"/>
  <c r="EJ322" i="1" s="1"/>
  <c r="CT156" i="1"/>
  <c r="CS166" i="1"/>
  <c r="CT166" i="1"/>
  <c r="CQ172" i="1"/>
  <c r="CT181" i="1"/>
  <c r="CS181" i="1"/>
  <c r="CT195" i="1"/>
  <c r="CS195" i="1"/>
  <c r="CT126" i="1"/>
  <c r="EJ126" i="1" s="1"/>
  <c r="CS126" i="1"/>
  <c r="CT154" i="1"/>
  <c r="CT282" i="1"/>
  <c r="EJ282" i="1" s="1"/>
  <c r="CS86" i="1"/>
  <c r="CT86" i="1"/>
  <c r="CT129" i="1"/>
  <c r="CT163" i="1"/>
  <c r="CS163" i="1"/>
  <c r="CS177" i="1"/>
  <c r="CT177" i="1"/>
  <c r="EJ177" i="1" s="1"/>
  <c r="CQ186" i="1"/>
  <c r="CT206" i="1"/>
  <c r="EJ206" i="1" s="1"/>
  <c r="CT222" i="1"/>
  <c r="EJ222" i="1" s="1"/>
  <c r="CS222" i="1"/>
  <c r="CT243" i="1"/>
  <c r="EJ243" i="1" s="1"/>
  <c r="CT275" i="1"/>
  <c r="EJ275" i="1" s="1"/>
  <c r="CS275" i="1"/>
  <c r="CT278" i="1"/>
  <c r="CT353" i="1"/>
  <c r="EJ353" i="1" s="1"/>
  <c r="CT187" i="1"/>
  <c r="CS187" i="1"/>
  <c r="CT59" i="1"/>
  <c r="EJ59" i="1" s="1"/>
  <c r="CS59" i="1"/>
  <c r="CT62" i="1"/>
  <c r="CS62" i="1"/>
  <c r="CT78" i="1"/>
  <c r="EJ78" i="1" s="1"/>
  <c r="CS78" i="1"/>
  <c r="CS94" i="1"/>
  <c r="CT94" i="1"/>
  <c r="EJ94" i="1" s="1"/>
  <c r="CT104" i="1"/>
  <c r="EJ104" i="1" s="1"/>
  <c r="CT119" i="1"/>
  <c r="EJ119" i="1" s="1"/>
  <c r="CS119" i="1"/>
  <c r="CT123" i="1"/>
  <c r="EJ123" i="1" s="1"/>
  <c r="CS123" i="1"/>
  <c r="CS134" i="1"/>
  <c r="CT134" i="1"/>
  <c r="CT135" i="1"/>
  <c r="CS135" i="1"/>
  <c r="CS137" i="1"/>
  <c r="CT67" i="1"/>
  <c r="EJ67" i="1" s="1"/>
  <c r="CS67" i="1"/>
  <c r="CT71" i="1"/>
  <c r="CS71" i="1"/>
  <c r="CT74" i="1"/>
  <c r="EJ74" i="1" s="1"/>
  <c r="CS74" i="1"/>
  <c r="CT85" i="1"/>
  <c r="EJ85" i="1" s="1"/>
  <c r="CS85" i="1"/>
  <c r="CT99" i="1"/>
  <c r="CS99" i="1"/>
  <c r="CS161" i="1"/>
  <c r="CT161" i="1"/>
  <c r="CS169" i="1"/>
  <c r="CT171" i="1"/>
  <c r="CS171" i="1"/>
  <c r="CT310" i="1"/>
  <c r="CT75" i="1"/>
  <c r="EJ75" i="1" s="1"/>
  <c r="CS75" i="1"/>
  <c r="CT101" i="1"/>
  <c r="EJ101" i="1" s="1"/>
  <c r="CQ107" i="1"/>
  <c r="CT124" i="1"/>
  <c r="CS124" i="1"/>
  <c r="CT179" i="1"/>
  <c r="EJ179" i="1" s="1"/>
  <c r="CS316" i="1"/>
  <c r="CT316" i="1"/>
  <c r="CT108" i="1"/>
  <c r="CT117" i="1"/>
  <c r="EJ117" i="1" s="1"/>
  <c r="CS117" i="1"/>
  <c r="CT138" i="1"/>
  <c r="EJ138" i="1" s="1"/>
  <c r="CS138" i="1"/>
  <c r="CT147" i="1"/>
  <c r="EJ147" i="1" s="1"/>
  <c r="CS147" i="1"/>
  <c r="CT149" i="1"/>
  <c r="EJ149" i="1" s="1"/>
  <c r="CS149" i="1"/>
  <c r="CT167" i="1"/>
  <c r="EJ167" i="1" s="1"/>
  <c r="CS167" i="1"/>
  <c r="CT197" i="1"/>
  <c r="CS197" i="1"/>
  <c r="CT284" i="1"/>
  <c r="EJ284" i="1" s="1"/>
  <c r="CS92" i="1"/>
  <c r="CT92" i="1"/>
  <c r="EJ92" i="1" s="1"/>
  <c r="CT183" i="1"/>
  <c r="CT341" i="1"/>
  <c r="EJ341" i="1" s="1"/>
  <c r="CS341" i="1"/>
  <c r="CS97" i="1"/>
  <c r="CT97" i="1"/>
  <c r="CS114" i="1"/>
  <c r="CS150" i="1"/>
  <c r="CT150" i="1"/>
  <c r="EJ150" i="1" s="1"/>
  <c r="CT203" i="1"/>
  <c r="EJ203" i="1" s="1"/>
  <c r="CT298" i="1"/>
  <c r="EJ298" i="1" s="1"/>
  <c r="CS298" i="1"/>
  <c r="CT57" i="1"/>
  <c r="CS57" i="1"/>
  <c r="CT69" i="1"/>
  <c r="CT115" i="1"/>
  <c r="EJ115" i="1" s="1"/>
  <c r="CS115" i="1"/>
  <c r="CS118" i="1"/>
  <c r="CT118" i="1"/>
  <c r="EJ118" i="1" s="1"/>
  <c r="CS145" i="1"/>
  <c r="CT145" i="1"/>
  <c r="CT155" i="1"/>
  <c r="EJ155" i="1" s="1"/>
  <c r="CT280" i="1"/>
  <c r="CQ202" i="1"/>
  <c r="CS216" i="1"/>
  <c r="CT216" i="1"/>
  <c r="EJ216" i="1" s="1"/>
  <c r="CT229" i="1"/>
  <c r="CS229" i="1"/>
  <c r="CT252" i="1"/>
  <c r="CS296" i="1"/>
  <c r="CT296" i="1"/>
  <c r="CT318" i="1"/>
  <c r="CS318" i="1"/>
  <c r="CT366" i="1"/>
  <c r="EJ366" i="1" s="1"/>
  <c r="CT198" i="1"/>
  <c r="EJ198" i="1" s="1"/>
  <c r="CS200" i="1"/>
  <c r="CT200" i="1"/>
  <c r="EJ200" i="1" s="1"/>
  <c r="CT219" i="1"/>
  <c r="EJ219" i="1" s="1"/>
  <c r="CT225" i="1"/>
  <c r="CQ236" i="1"/>
  <c r="CS248" i="1"/>
  <c r="CT248" i="1"/>
  <c r="CT250" i="1"/>
  <c r="CT268" i="1"/>
  <c r="EJ268" i="1" s="1"/>
  <c r="CS268" i="1"/>
  <c r="CT277" i="1"/>
  <c r="CT394" i="1"/>
  <c r="EJ394" i="1" s="1"/>
  <c r="CT182" i="1"/>
  <c r="EJ182" i="1" s="1"/>
  <c r="CT190" i="1"/>
  <c r="EJ190" i="1" s="1"/>
  <c r="CS190" i="1"/>
  <c r="CS210" i="1"/>
  <c r="CT210" i="1"/>
  <c r="CT213" i="1"/>
  <c r="CS213" i="1"/>
  <c r="CS230" i="1"/>
  <c r="CT230" i="1"/>
  <c r="EJ230" i="1" s="1"/>
  <c r="CT247" i="1"/>
  <c r="CS247" i="1"/>
  <c r="CS265" i="1"/>
  <c r="CS273" i="1"/>
  <c r="CT273" i="1"/>
  <c r="EJ273" i="1" s="1"/>
  <c r="CS305" i="1"/>
  <c r="CT305" i="1"/>
  <c r="EJ305" i="1" s="1"/>
  <c r="CT332" i="1"/>
  <c r="EJ332" i="1" s="1"/>
  <c r="CS332" i="1"/>
  <c r="CT362" i="1"/>
  <c r="EJ362" i="1" s="1"/>
  <c r="CT218" i="1"/>
  <c r="EJ218" i="1" s="1"/>
  <c r="CT220" i="1"/>
  <c r="CT231" i="1"/>
  <c r="CS231" i="1"/>
  <c r="CS257" i="1"/>
  <c r="CT257" i="1"/>
  <c r="CT291" i="1"/>
  <c r="CS291" i="1"/>
  <c r="CT314" i="1"/>
  <c r="EJ314" i="1" s="1"/>
  <c r="CS314" i="1"/>
  <c r="CT327" i="1"/>
  <c r="CS327" i="1"/>
  <c r="CS226" i="1"/>
  <c r="CT226" i="1"/>
  <c r="CT238" i="1"/>
  <c r="CS238" i="1"/>
  <c r="CT289" i="1"/>
  <c r="CS193" i="1"/>
  <c r="CT193" i="1"/>
  <c r="CT259" i="1"/>
  <c r="EJ259" i="1" s="1"/>
  <c r="CS259" i="1"/>
  <c r="CT261" i="1"/>
  <c r="CT270" i="1"/>
  <c r="CS270" i="1"/>
  <c r="CT199" i="1"/>
  <c r="CS199" i="1"/>
  <c r="CT215" i="1"/>
  <c r="EJ215" i="1" s="1"/>
  <c r="CS215" i="1"/>
  <c r="CT234" i="1"/>
  <c r="EJ234" i="1" s="1"/>
  <c r="CS234" i="1"/>
  <c r="CT241" i="1"/>
  <c r="CT254" i="1"/>
  <c r="EJ254" i="1" s="1"/>
  <c r="CS254" i="1"/>
  <c r="CS266" i="1"/>
  <c r="CT266" i="1"/>
  <c r="CS328" i="1"/>
  <c r="CT328" i="1"/>
  <c r="EJ328" i="1" s="1"/>
  <c r="CS209" i="1"/>
  <c r="CT209" i="1"/>
  <c r="CT211" i="1"/>
  <c r="EJ211" i="1" s="1"/>
  <c r="CS211" i="1"/>
  <c r="CS232" i="1"/>
  <c r="CT232" i="1"/>
  <c r="EJ232" i="1" s="1"/>
  <c r="CS246" i="1"/>
  <c r="CT246" i="1"/>
  <c r="CS249" i="1"/>
  <c r="CS306" i="1"/>
  <c r="CT306" i="1"/>
  <c r="EJ306" i="1" s="1"/>
  <c r="CT311" i="1"/>
  <c r="EJ311" i="1" s="1"/>
  <c r="CS337" i="1"/>
  <c r="CT337" i="1"/>
  <c r="EJ337" i="1" s="1"/>
  <c r="DR370" i="1"/>
  <c r="DS370" i="1" s="1"/>
  <c r="CT251" i="1"/>
  <c r="EJ251" i="1" s="1"/>
  <c r="CT263" i="1"/>
  <c r="CS290" i="1"/>
  <c r="CT290" i="1"/>
  <c r="CT293" i="1"/>
  <c r="EJ293" i="1" s="1"/>
  <c r="CS293" i="1"/>
  <c r="CT295" i="1"/>
  <c r="EJ295" i="1" s="1"/>
  <c r="CS295" i="1"/>
  <c r="CS214" i="1"/>
  <c r="CT214" i="1"/>
  <c r="CS258" i="1"/>
  <c r="CT258" i="1"/>
  <c r="CS274" i="1"/>
  <c r="CT274" i="1"/>
  <c r="CT315" i="1"/>
  <c r="CS315" i="1"/>
  <c r="CT334" i="1"/>
  <c r="CS334" i="1"/>
  <c r="CT339" i="1"/>
  <c r="CT235" i="1"/>
  <c r="EJ235" i="1" s="1"/>
  <c r="CS235" i="1"/>
  <c r="CT242" i="1"/>
  <c r="EJ242" i="1" s="1"/>
  <c r="CS297" i="1"/>
  <c r="CQ329" i="1"/>
  <c r="CT329" i="1" s="1"/>
  <c r="CT369" i="1"/>
  <c r="EJ369" i="1" s="1"/>
  <c r="CT373" i="1"/>
  <c r="EJ373" i="1" s="1"/>
  <c r="CT385" i="1"/>
  <c r="EJ385" i="1" s="1"/>
  <c r="CT267" i="1"/>
  <c r="CS267" i="1"/>
  <c r="CT279" i="1"/>
  <c r="EJ279" i="1" s="1"/>
  <c r="CS294" i="1"/>
  <c r="CT294" i="1"/>
  <c r="CT302" i="1"/>
  <c r="CS302" i="1"/>
  <c r="CT307" i="1"/>
  <c r="EJ307" i="1" s="1"/>
  <c r="CT330" i="1"/>
  <c r="EJ330" i="1" s="1"/>
  <c r="CT227" i="1"/>
  <c r="EJ227" i="1" s="1"/>
  <c r="CS227" i="1"/>
  <c r="CT245" i="1"/>
  <c r="CS245" i="1"/>
  <c r="CT262" i="1"/>
  <c r="CT283" i="1"/>
  <c r="EJ283" i="1" s="1"/>
  <c r="CT299" i="1"/>
  <c r="CS299" i="1"/>
  <c r="CT406" i="1"/>
  <c r="EJ406" i="1" s="1"/>
  <c r="CT325" i="1"/>
  <c r="CS325" i="1"/>
  <c r="CT380" i="1"/>
  <c r="EJ380" i="1" s="1"/>
  <c r="CT390" i="1"/>
  <c r="EJ390" i="1" s="1"/>
  <c r="CT387" i="1"/>
  <c r="EJ387" i="1" s="1"/>
  <c r="CT358" i="1"/>
  <c r="EJ358" i="1" s="1"/>
  <c r="CT364" i="1"/>
  <c r="EJ364" i="1" s="1"/>
  <c r="CT396" i="1"/>
  <c r="EJ396" i="1" s="1"/>
  <c r="CT386" i="1"/>
  <c r="EJ386" i="1" s="1"/>
  <c r="CT392" i="1"/>
  <c r="EJ392" i="1" s="1"/>
  <c r="CQ345" i="1"/>
  <c r="CT345" i="1" s="1"/>
  <c r="CT323" i="1"/>
  <c r="EJ323" i="1" s="1"/>
  <c r="CS323" i="1"/>
  <c r="CQ344" i="1"/>
  <c r="CT354" i="1"/>
  <c r="EJ354" i="1" s="1"/>
  <c r="CT376" i="1"/>
  <c r="EJ376" i="1" s="1"/>
  <c r="CT401" i="1"/>
  <c r="EJ401" i="1" s="1"/>
  <c r="CT410" i="1"/>
  <c r="EJ410" i="1" s="1"/>
  <c r="CS342" i="1"/>
  <c r="CT342" i="1"/>
  <c r="EJ342" i="1" s="1"/>
  <c r="CS312" i="1"/>
  <c r="CT398" i="1"/>
  <c r="EJ398" i="1" s="1"/>
  <c r="CT402" i="1"/>
  <c r="EJ402" i="1" s="1"/>
  <c r="CT350" i="1"/>
  <c r="EJ350" i="1" s="1"/>
  <c r="CT371" i="1"/>
  <c r="EJ371" i="1" s="1"/>
  <c r="CS321" i="1"/>
  <c r="CS326" i="1"/>
  <c r="CT326" i="1"/>
  <c r="EJ326" i="1" s="1"/>
  <c r="CQ346" i="1"/>
  <c r="CT348" i="1"/>
  <c r="EJ348" i="1" s="1"/>
  <c r="CT360" i="1"/>
  <c r="EJ360" i="1" s="1"/>
  <c r="CT321" i="1"/>
  <c r="EJ321" i="1" s="1"/>
  <c r="CT309" i="1"/>
  <c r="EJ309" i="1" s="1"/>
  <c r="CT338" i="1"/>
  <c r="CT374" i="1"/>
  <c r="EJ374" i="1" s="1"/>
  <c r="CT355" i="1"/>
  <c r="EJ355" i="1" s="1"/>
  <c r="CS370" i="1"/>
  <c r="CT370" i="1"/>
  <c r="EJ370" i="1" s="1"/>
  <c r="CS64" i="1"/>
  <c r="CS80" i="1"/>
  <c r="CS96" i="1"/>
  <c r="CS112" i="1"/>
  <c r="CS144" i="1"/>
  <c r="CS160" i="1"/>
  <c r="CS176" i="1"/>
  <c r="CS192" i="1"/>
  <c r="CS240" i="1"/>
  <c r="CS256" i="1"/>
  <c r="CS272" i="1"/>
  <c r="CS304" i="1"/>
  <c r="CS320" i="1"/>
  <c r="CS336" i="1"/>
  <c r="CS61" i="1"/>
  <c r="CS77" i="1"/>
  <c r="CS93" i="1"/>
  <c r="CS109" i="1"/>
  <c r="CS125" i="1"/>
  <c r="CS141" i="1"/>
  <c r="CS157" i="1"/>
  <c r="CS189" i="1"/>
  <c r="CS221" i="1"/>
  <c r="CS237" i="1"/>
  <c r="CS253" i="1"/>
  <c r="CS269" i="1"/>
  <c r="CS301" i="1"/>
  <c r="CS317" i="1"/>
  <c r="CS333" i="1"/>
  <c r="CS51" i="1"/>
  <c r="CS84" i="1"/>
  <c r="CS116" i="1"/>
  <c r="CS132" i="1"/>
  <c r="CS148" i="1"/>
  <c r="CS164" i="1"/>
  <c r="CS180" i="1"/>
  <c r="CS212" i="1"/>
  <c r="CS228" i="1"/>
  <c r="CS244" i="1"/>
  <c r="CS276" i="1"/>
  <c r="CS292" i="1"/>
  <c r="CS324" i="1"/>
  <c r="CS340" i="1"/>
  <c r="CS46" i="1"/>
  <c r="CS63" i="1"/>
  <c r="CS79" i="1"/>
  <c r="CS95" i="1"/>
  <c r="CS111" i="1"/>
  <c r="CS127" i="1"/>
  <c r="CS143" i="1"/>
  <c r="CS159" i="1"/>
  <c r="CS175" i="1"/>
  <c r="CS191" i="1"/>
  <c r="CS223" i="1"/>
  <c r="CS239" i="1"/>
  <c r="CS255" i="1"/>
  <c r="CS271" i="1"/>
  <c r="CS303" i="1"/>
  <c r="CS319" i="1"/>
  <c r="CS335" i="1"/>
  <c r="EJ189" i="1"/>
  <c r="EJ237" i="1"/>
  <c r="EJ253" i="1"/>
  <c r="CS217" i="1"/>
  <c r="CS233" i="1"/>
  <c r="EJ144" i="1"/>
  <c r="EJ379" i="1"/>
  <c r="EJ397" i="1"/>
  <c r="EJ288" i="1"/>
  <c r="EJ33" i="1"/>
  <c r="EJ175" i="1"/>
  <c r="EJ19" i="1"/>
  <c r="EJ324" i="1"/>
  <c r="EJ256" i="1"/>
  <c r="EJ22" i="1"/>
  <c r="EJ192" i="1"/>
  <c r="EJ194" i="1"/>
  <c r="EJ14" i="1"/>
  <c r="EJ16" i="1"/>
  <c r="EJ18" i="1"/>
  <c r="EJ38" i="1"/>
  <c r="EJ35" i="1"/>
  <c r="EJ36" i="1"/>
  <c r="EJ46" i="1"/>
  <c r="EJ44" i="1"/>
  <c r="EJ23" i="1"/>
  <c r="EJ28" i="1"/>
  <c r="EJ56" i="1"/>
  <c r="EJ64" i="1"/>
  <c r="EJ66" i="1"/>
  <c r="EJ63" i="1"/>
  <c r="EJ95" i="1"/>
  <c r="EJ79" i="1"/>
  <c r="EJ105" i="1"/>
  <c r="EJ84" i="1"/>
  <c r="EJ96" i="1"/>
  <c r="EJ93" i="1"/>
  <c r="EJ109" i="1"/>
  <c r="EJ98" i="1"/>
  <c r="EJ127" i="1"/>
  <c r="EJ121" i="1"/>
  <c r="EJ110" i="1"/>
  <c r="EJ114" i="1"/>
  <c r="EJ137" i="1"/>
  <c r="EJ141" i="1"/>
  <c r="EJ148" i="1"/>
  <c r="EJ160" i="1"/>
  <c r="EJ159" i="1"/>
  <c r="EJ153" i="1"/>
  <c r="EJ143" i="1"/>
  <c r="EJ176" i="1"/>
  <c r="EJ173" i="1"/>
  <c r="EJ178" i="1"/>
  <c r="EJ164" i="1"/>
  <c r="EJ180" i="1"/>
  <c r="EJ191" i="1"/>
  <c r="EJ223" i="1"/>
  <c r="EJ208" i="1"/>
  <c r="EJ207" i="1"/>
  <c r="EJ224" i="1"/>
  <c r="EJ201" i="1"/>
  <c r="EJ228" i="1"/>
  <c r="EJ231" i="1"/>
  <c r="EJ239" i="1"/>
  <c r="EJ249" i="1"/>
  <c r="EJ269" i="1"/>
  <c r="EJ240" i="1"/>
  <c r="EJ265" i="1"/>
  <c r="EJ272" i="1"/>
  <c r="EJ271" i="1"/>
  <c r="EJ276" i="1"/>
  <c r="EJ297" i="1"/>
  <c r="EJ301" i="1"/>
  <c r="EJ292" i="1"/>
  <c r="EJ287" i="1"/>
  <c r="EJ320" i="1"/>
  <c r="EJ308" i="1"/>
  <c r="EJ313" i="1"/>
  <c r="EJ317" i="1"/>
  <c r="EJ331" i="1"/>
  <c r="EJ333" i="1"/>
  <c r="EJ319" i="1"/>
  <c r="EJ336" i="1"/>
  <c r="EJ343" i="1"/>
  <c r="EJ340" i="1"/>
  <c r="EJ335" i="1"/>
  <c r="EJ349" i="1"/>
  <c r="EJ363" i="1"/>
  <c r="EJ359" i="1"/>
  <c r="EJ356" i="1"/>
  <c r="EJ367" i="1"/>
  <c r="EJ377" i="1"/>
  <c r="EJ382" i="1"/>
  <c r="EJ375" i="1"/>
  <c r="EJ395" i="1"/>
  <c r="EC370" i="1"/>
  <c r="EJ384" i="1"/>
  <c r="EJ383" i="1"/>
  <c r="EJ391" i="1"/>
  <c r="EJ403" i="1"/>
  <c r="EJ405" i="1"/>
  <c r="EJ412" i="1"/>
  <c r="EJ404" i="1"/>
  <c r="EJ400" i="1"/>
  <c r="EJ411" i="1"/>
  <c r="CB13" i="1"/>
  <c r="T391" i="1" l="1"/>
  <c r="U391" i="1" s="1"/>
  <c r="T364" i="1"/>
  <c r="U364" i="1" s="1"/>
  <c r="T352" i="1"/>
  <c r="U352" i="1" s="1"/>
  <c r="AM370" i="1"/>
  <c r="AN370" i="1" s="1"/>
  <c r="BG370" i="1"/>
  <c r="BF370" i="1"/>
  <c r="T360" i="1"/>
  <c r="U360" i="1" s="1"/>
  <c r="T403" i="1"/>
  <c r="U403" i="1" s="1"/>
  <c r="T358" i="1"/>
  <c r="U358" i="1" s="1"/>
  <c r="T384" i="1"/>
  <c r="U384" i="1" s="1"/>
  <c r="T412" i="1"/>
  <c r="U412" i="1" s="1"/>
  <c r="T348" i="1"/>
  <c r="U348" i="1" s="1"/>
  <c r="EE370" i="1"/>
  <c r="AL291" i="1"/>
  <c r="AK291" i="1"/>
  <c r="AK393" i="1"/>
  <c r="AL393" i="1"/>
  <c r="AP393" i="1"/>
  <c r="AO393" i="1"/>
  <c r="EH393" i="1" s="1"/>
  <c r="EU393" i="1" s="1"/>
  <c r="AL290" i="1"/>
  <c r="AK290" i="1"/>
  <c r="AL52" i="1"/>
  <c r="AK52" i="1"/>
  <c r="AL66" i="1"/>
  <c r="AK66" i="1"/>
  <c r="AP380" i="1"/>
  <c r="AO380" i="1"/>
  <c r="EH380" i="1" s="1"/>
  <c r="ES380" i="1" s="1"/>
  <c r="AL380" i="1"/>
  <c r="AK380" i="1"/>
  <c r="AL30" i="1"/>
  <c r="AK30" i="1"/>
  <c r="AK48" i="1"/>
  <c r="AL48" i="1"/>
  <c r="AL266" i="1"/>
  <c r="AK266" i="1"/>
  <c r="AL255" i="1"/>
  <c r="AK255" i="1"/>
  <c r="AL229" i="1"/>
  <c r="AK229" i="1"/>
  <c r="AL205" i="1"/>
  <c r="AK205" i="1"/>
  <c r="AL193" i="1"/>
  <c r="AK193" i="1"/>
  <c r="AP357" i="1"/>
  <c r="AO357" i="1"/>
  <c r="AL357" i="1"/>
  <c r="AK357" i="1"/>
  <c r="AO178" i="1"/>
  <c r="AL178" i="1"/>
  <c r="AK178" i="1"/>
  <c r="AP178" i="1"/>
  <c r="AL176" i="1"/>
  <c r="AK176" i="1"/>
  <c r="AL162" i="1"/>
  <c r="AK162" i="1"/>
  <c r="AP154" i="1"/>
  <c r="AO154" i="1"/>
  <c r="EH154" i="1" s="1"/>
  <c r="ES154" i="1" s="1"/>
  <c r="AL154" i="1"/>
  <c r="AK154" i="1"/>
  <c r="AK341" i="1"/>
  <c r="AL341" i="1"/>
  <c r="AL329" i="1"/>
  <c r="AK329" i="1"/>
  <c r="AL57" i="1"/>
  <c r="AK57" i="1"/>
  <c r="AL123" i="1"/>
  <c r="AK123" i="1"/>
  <c r="AL314" i="1"/>
  <c r="AK314" i="1"/>
  <c r="AL55" i="1"/>
  <c r="AK55" i="1"/>
  <c r="AL22" i="1"/>
  <c r="AK22" i="1"/>
  <c r="AL194" i="1"/>
  <c r="AK194" i="1"/>
  <c r="AO345" i="1"/>
  <c r="AL345" i="1"/>
  <c r="AK345" i="1"/>
  <c r="AP345" i="1"/>
  <c r="AL289" i="1"/>
  <c r="AK289" i="1"/>
  <c r="AP391" i="1"/>
  <c r="AO391" i="1"/>
  <c r="EH391" i="1" s="1"/>
  <c r="ES391" i="1" s="1"/>
  <c r="AL391" i="1"/>
  <c r="AK391" i="1"/>
  <c r="AL65" i="1"/>
  <c r="AK65" i="1"/>
  <c r="AL383" i="1"/>
  <c r="AK383" i="1"/>
  <c r="AP383" i="1"/>
  <c r="AO383" i="1"/>
  <c r="EH383" i="1" s="1"/>
  <c r="AP280" i="1"/>
  <c r="AO280" i="1"/>
  <c r="AL280" i="1"/>
  <c r="AK280" i="1"/>
  <c r="AL42" i="1"/>
  <c r="AK42" i="1"/>
  <c r="AL29" i="1"/>
  <c r="AK29" i="1"/>
  <c r="AL274" i="1"/>
  <c r="AK274" i="1"/>
  <c r="AL265" i="1"/>
  <c r="AK265" i="1"/>
  <c r="AL254" i="1"/>
  <c r="AK254" i="1"/>
  <c r="AK242" i="1"/>
  <c r="AL242" i="1"/>
  <c r="AL228" i="1"/>
  <c r="AK228" i="1"/>
  <c r="AL217" i="1"/>
  <c r="AK217" i="1"/>
  <c r="AL204" i="1"/>
  <c r="AK204" i="1"/>
  <c r="AL192" i="1"/>
  <c r="AK192" i="1"/>
  <c r="AK363" i="1"/>
  <c r="AP363" i="1"/>
  <c r="AO363" i="1"/>
  <c r="AL363" i="1"/>
  <c r="AL175" i="1"/>
  <c r="AK175" i="1"/>
  <c r="AL161" i="1"/>
  <c r="AK161" i="1"/>
  <c r="AL340" i="1"/>
  <c r="AK340" i="1"/>
  <c r="AL148" i="1"/>
  <c r="AK148" i="1"/>
  <c r="AL122" i="1"/>
  <c r="AK122" i="1"/>
  <c r="AL58" i="1"/>
  <c r="AK58" i="1"/>
  <c r="AL103" i="1"/>
  <c r="AK103" i="1"/>
  <c r="AP409" i="1"/>
  <c r="AO409" i="1"/>
  <c r="AL409" i="1"/>
  <c r="AK409" i="1"/>
  <c r="AL313" i="1"/>
  <c r="AK313" i="1"/>
  <c r="AP401" i="1"/>
  <c r="AO401" i="1"/>
  <c r="EH401" i="1" s="1"/>
  <c r="EU401" i="1" s="1"/>
  <c r="AL401" i="1"/>
  <c r="AK401" i="1"/>
  <c r="AL310" i="1"/>
  <c r="AK310" i="1"/>
  <c r="AP21" i="1"/>
  <c r="AO21" i="1"/>
  <c r="EH21" i="1" s="1"/>
  <c r="AL21" i="1"/>
  <c r="AK21" i="1"/>
  <c r="AL77" i="1"/>
  <c r="AK77" i="1"/>
  <c r="AL281" i="1"/>
  <c r="AK281" i="1"/>
  <c r="AK230" i="1"/>
  <c r="AL230" i="1"/>
  <c r="AL342" i="1"/>
  <c r="AK342" i="1"/>
  <c r="AL89" i="1"/>
  <c r="AK89" i="1"/>
  <c r="AP392" i="1"/>
  <c r="AO392" i="1"/>
  <c r="EH392" i="1" s="1"/>
  <c r="AL392" i="1"/>
  <c r="AK392" i="1"/>
  <c r="AL64" i="1"/>
  <c r="AK64" i="1"/>
  <c r="AL379" i="1"/>
  <c r="AK379" i="1"/>
  <c r="AO379" i="1"/>
  <c r="AP379" i="1"/>
  <c r="AL28" i="1"/>
  <c r="AK28" i="1"/>
  <c r="AL273" i="1"/>
  <c r="AK273" i="1"/>
  <c r="AK264" i="1"/>
  <c r="AL264" i="1"/>
  <c r="AL253" i="1"/>
  <c r="AK253" i="1"/>
  <c r="AL227" i="1"/>
  <c r="AK227" i="1"/>
  <c r="AL216" i="1"/>
  <c r="AK216" i="1"/>
  <c r="AL191" i="1"/>
  <c r="AK191" i="1"/>
  <c r="AP356" i="1"/>
  <c r="AO356" i="1"/>
  <c r="EH356" i="1" s="1"/>
  <c r="EU356" i="1" s="1"/>
  <c r="AL356" i="1"/>
  <c r="AK356" i="1"/>
  <c r="AL59" i="1"/>
  <c r="AK59" i="1"/>
  <c r="AL174" i="1"/>
  <c r="AK174" i="1"/>
  <c r="AL160" i="1"/>
  <c r="AK160" i="1"/>
  <c r="AL153" i="1"/>
  <c r="AK153" i="1"/>
  <c r="AP339" i="1"/>
  <c r="AO339" i="1"/>
  <c r="AL339" i="1"/>
  <c r="AK339" i="1"/>
  <c r="AL147" i="1"/>
  <c r="AK147" i="1"/>
  <c r="AL328" i="1"/>
  <c r="AK328" i="1"/>
  <c r="AL121" i="1"/>
  <c r="AK121" i="1"/>
  <c r="AP412" i="1"/>
  <c r="AO412" i="1"/>
  <c r="AL412" i="1"/>
  <c r="AK412" i="1"/>
  <c r="AL312" i="1"/>
  <c r="AK312" i="1"/>
  <c r="AL267" i="1"/>
  <c r="AK267" i="1"/>
  <c r="AL288" i="1"/>
  <c r="AK288" i="1"/>
  <c r="AL76" i="1"/>
  <c r="AK76" i="1"/>
  <c r="AL63" i="1"/>
  <c r="AK63" i="1"/>
  <c r="AL286" i="1"/>
  <c r="AK286" i="1"/>
  <c r="AP378" i="1"/>
  <c r="AO378" i="1"/>
  <c r="AL378" i="1"/>
  <c r="AK378" i="1"/>
  <c r="AL279" i="1"/>
  <c r="AK279" i="1"/>
  <c r="AL41" i="1"/>
  <c r="AK41" i="1"/>
  <c r="AL27" i="1"/>
  <c r="AK27" i="1"/>
  <c r="AL272" i="1"/>
  <c r="AK272" i="1"/>
  <c r="AL263" i="1"/>
  <c r="AK263" i="1"/>
  <c r="AO252" i="1"/>
  <c r="EH252" i="1" s="1"/>
  <c r="AL252" i="1"/>
  <c r="AK252" i="1"/>
  <c r="AP252" i="1"/>
  <c r="AP241" i="1"/>
  <c r="AO241" i="1"/>
  <c r="EH241" i="1" s="1"/>
  <c r="AL241" i="1"/>
  <c r="AK241" i="1"/>
  <c r="AL226" i="1"/>
  <c r="AK226" i="1"/>
  <c r="AL215" i="1"/>
  <c r="AK215" i="1"/>
  <c r="AL203" i="1"/>
  <c r="AK203" i="1"/>
  <c r="AL190" i="1"/>
  <c r="AK190" i="1"/>
  <c r="AL189" i="1"/>
  <c r="AK189" i="1"/>
  <c r="AP354" i="1"/>
  <c r="AO354" i="1"/>
  <c r="AL354" i="1"/>
  <c r="AK354" i="1"/>
  <c r="AL159" i="1"/>
  <c r="AK159" i="1"/>
  <c r="AL146" i="1"/>
  <c r="AK146" i="1"/>
  <c r="AL327" i="1"/>
  <c r="AK327" i="1"/>
  <c r="AL120" i="1"/>
  <c r="AK120" i="1"/>
  <c r="AL102" i="1"/>
  <c r="AK102" i="1"/>
  <c r="AP408" i="1"/>
  <c r="AO408" i="1"/>
  <c r="EH408" i="1" s="1"/>
  <c r="AL408" i="1"/>
  <c r="AK408" i="1"/>
  <c r="AL311" i="1"/>
  <c r="AK311" i="1"/>
  <c r="AP400" i="1"/>
  <c r="AO400" i="1"/>
  <c r="EH400" i="1" s="1"/>
  <c r="AK400" i="1"/>
  <c r="AL400" i="1"/>
  <c r="AP309" i="1"/>
  <c r="AO309" i="1"/>
  <c r="AL309" i="1"/>
  <c r="AK309" i="1"/>
  <c r="AL256" i="1"/>
  <c r="AK256" i="1"/>
  <c r="AL302" i="1"/>
  <c r="AK302" i="1"/>
  <c r="AK88" i="1"/>
  <c r="AL88" i="1"/>
  <c r="AK75" i="1"/>
  <c r="AL75" i="1"/>
  <c r="AK390" i="1"/>
  <c r="AP390" i="1"/>
  <c r="AO390" i="1"/>
  <c r="EH390" i="1" s="1"/>
  <c r="EU390" i="1" s="1"/>
  <c r="AL390" i="1"/>
  <c r="AL40" i="1"/>
  <c r="AK40" i="1"/>
  <c r="AL26" i="1"/>
  <c r="AK26" i="1"/>
  <c r="AL61" i="1"/>
  <c r="AK61" i="1"/>
  <c r="AL53" i="1"/>
  <c r="AK53" i="1"/>
  <c r="AP225" i="1"/>
  <c r="AO225" i="1"/>
  <c r="EH225" i="1" s="1"/>
  <c r="AL225" i="1"/>
  <c r="AK225" i="1"/>
  <c r="AL214" i="1"/>
  <c r="AK214" i="1"/>
  <c r="AL60" i="1"/>
  <c r="AK60" i="1"/>
  <c r="AK188" i="1"/>
  <c r="AL188" i="1"/>
  <c r="AO355" i="1"/>
  <c r="AL355" i="1"/>
  <c r="AP355" i="1"/>
  <c r="AK355" i="1"/>
  <c r="AL173" i="1"/>
  <c r="AK173" i="1"/>
  <c r="AP173" i="1"/>
  <c r="AO173" i="1"/>
  <c r="AL158" i="1"/>
  <c r="AK158" i="1"/>
  <c r="AL152" i="1"/>
  <c r="AK152" i="1"/>
  <c r="AP338" i="1"/>
  <c r="AO338" i="1"/>
  <c r="AL338" i="1"/>
  <c r="AK338" i="1"/>
  <c r="AL145" i="1"/>
  <c r="AK145" i="1"/>
  <c r="AK326" i="1"/>
  <c r="AL326" i="1"/>
  <c r="AL119" i="1"/>
  <c r="AK119" i="1"/>
  <c r="AL325" i="1"/>
  <c r="AK325" i="1"/>
  <c r="AP384" i="1"/>
  <c r="AO384" i="1"/>
  <c r="AL384" i="1"/>
  <c r="AK384" i="1"/>
  <c r="AL31" i="1"/>
  <c r="AK31" i="1"/>
  <c r="AL218" i="1"/>
  <c r="AK218" i="1"/>
  <c r="AL163" i="1"/>
  <c r="AK163" i="1"/>
  <c r="AL124" i="1"/>
  <c r="AK124" i="1"/>
  <c r="AP394" i="1"/>
  <c r="AO394" i="1"/>
  <c r="EH394" i="1" s="1"/>
  <c r="AL394" i="1"/>
  <c r="AK394" i="1"/>
  <c r="AK301" i="1"/>
  <c r="AL301" i="1"/>
  <c r="AL87" i="1"/>
  <c r="AK87" i="1"/>
  <c r="AL74" i="1"/>
  <c r="AK74" i="1"/>
  <c r="AL285" i="1"/>
  <c r="AK285" i="1"/>
  <c r="AP377" i="1"/>
  <c r="AO377" i="1"/>
  <c r="EH377" i="1" s="1"/>
  <c r="EU377" i="1" s="1"/>
  <c r="AL377" i="1"/>
  <c r="AK377" i="1"/>
  <c r="AL278" i="1"/>
  <c r="AK278" i="1"/>
  <c r="AL39" i="1"/>
  <c r="AK39" i="1"/>
  <c r="AL25" i="1"/>
  <c r="AK25" i="1"/>
  <c r="AK373" i="1"/>
  <c r="AP373" i="1"/>
  <c r="AO373" i="1"/>
  <c r="EH373" i="1" s="1"/>
  <c r="EU373" i="1" s="1"/>
  <c r="AL373" i="1"/>
  <c r="AL49" i="1"/>
  <c r="AK49" i="1"/>
  <c r="AP251" i="1"/>
  <c r="AO251" i="1"/>
  <c r="EH251" i="1" s="1"/>
  <c r="AL251" i="1"/>
  <c r="AK251" i="1"/>
  <c r="AL240" i="1"/>
  <c r="AK240" i="1"/>
  <c r="AL213" i="1"/>
  <c r="AK213" i="1"/>
  <c r="AL202" i="1"/>
  <c r="AK202" i="1"/>
  <c r="AO369" i="1"/>
  <c r="AL369" i="1"/>
  <c r="CS369" i="1" s="1"/>
  <c r="AK369" i="1"/>
  <c r="AP369" i="1"/>
  <c r="AL187" i="1"/>
  <c r="AK187" i="1"/>
  <c r="AP353" i="1"/>
  <c r="AO353" i="1"/>
  <c r="EH353" i="1" s="1"/>
  <c r="EU353" i="1" s="1"/>
  <c r="AL353" i="1"/>
  <c r="AK353" i="1"/>
  <c r="AL157" i="1"/>
  <c r="AK157" i="1"/>
  <c r="AL144" i="1"/>
  <c r="AK144" i="1"/>
  <c r="AL133" i="1"/>
  <c r="AK133" i="1"/>
  <c r="AK118" i="1"/>
  <c r="AL118" i="1"/>
  <c r="AL324" i="1"/>
  <c r="AK324" i="1"/>
  <c r="AL101" i="1"/>
  <c r="AK101" i="1"/>
  <c r="AP101" i="1"/>
  <c r="AO101" i="1"/>
  <c r="EH101" i="1" s="1"/>
  <c r="EU101" i="1" s="1"/>
  <c r="AK407" i="1"/>
  <c r="AP407" i="1"/>
  <c r="AO407" i="1"/>
  <c r="EH407" i="1" s="1"/>
  <c r="ES407" i="1" s="1"/>
  <c r="AL407" i="1"/>
  <c r="AK95" i="1"/>
  <c r="AL95" i="1"/>
  <c r="AP399" i="1"/>
  <c r="AO399" i="1"/>
  <c r="AL399" i="1"/>
  <c r="AK399" i="1"/>
  <c r="AP308" i="1"/>
  <c r="AO308" i="1"/>
  <c r="AL308" i="1"/>
  <c r="AK308" i="1"/>
  <c r="AL67" i="1"/>
  <c r="AK67" i="1"/>
  <c r="AK43" i="1"/>
  <c r="AL43" i="1"/>
  <c r="AP243" i="1"/>
  <c r="AO243" i="1"/>
  <c r="EH243" i="1" s="1"/>
  <c r="ES243" i="1" s="1"/>
  <c r="AL243" i="1"/>
  <c r="AK243" i="1"/>
  <c r="AP364" i="1"/>
  <c r="AO364" i="1"/>
  <c r="EH364" i="1" s="1"/>
  <c r="AL364" i="1"/>
  <c r="AK364" i="1"/>
  <c r="AL177" i="1"/>
  <c r="AK177" i="1"/>
  <c r="AL134" i="1"/>
  <c r="AK134" i="1"/>
  <c r="AL410" i="1"/>
  <c r="AK410" i="1"/>
  <c r="AP410" i="1"/>
  <c r="AO410" i="1"/>
  <c r="AL300" i="1"/>
  <c r="AK300" i="1"/>
  <c r="AL86" i="1"/>
  <c r="AK86" i="1"/>
  <c r="AL73" i="1"/>
  <c r="AK73" i="1"/>
  <c r="AP389" i="1"/>
  <c r="AO389" i="1"/>
  <c r="EH389" i="1" s="1"/>
  <c r="EU389" i="1" s="1"/>
  <c r="AL389" i="1"/>
  <c r="AK389" i="1"/>
  <c r="AL38" i="1"/>
  <c r="AK38" i="1"/>
  <c r="AL24" i="1"/>
  <c r="AK24" i="1"/>
  <c r="AP262" i="1"/>
  <c r="AO262" i="1"/>
  <c r="EH262" i="1" s="1"/>
  <c r="EU262" i="1" s="1"/>
  <c r="AL262" i="1"/>
  <c r="AK262" i="1"/>
  <c r="AL239" i="1"/>
  <c r="AK239" i="1"/>
  <c r="AL224" i="1"/>
  <c r="AK224" i="1"/>
  <c r="AP224" i="1"/>
  <c r="AO224" i="1"/>
  <c r="EH224" i="1" s="1"/>
  <c r="ES224" i="1" s="1"/>
  <c r="AL212" i="1"/>
  <c r="AK212" i="1"/>
  <c r="AL201" i="1"/>
  <c r="AK201" i="1"/>
  <c r="AL186" i="1"/>
  <c r="AK186" i="1"/>
  <c r="AL185" i="1"/>
  <c r="AK185" i="1"/>
  <c r="AL172" i="1"/>
  <c r="AK172" i="1"/>
  <c r="AP156" i="1"/>
  <c r="AO156" i="1"/>
  <c r="AL156" i="1"/>
  <c r="AK156" i="1"/>
  <c r="AL151" i="1"/>
  <c r="AK151" i="1"/>
  <c r="AK337" i="1"/>
  <c r="AL337" i="1"/>
  <c r="AL143" i="1"/>
  <c r="AK143" i="1"/>
  <c r="AL132" i="1"/>
  <c r="AK132" i="1"/>
  <c r="AL117" i="1"/>
  <c r="AK117" i="1"/>
  <c r="AL323" i="1"/>
  <c r="AK323" i="1"/>
  <c r="AL94" i="1"/>
  <c r="AK94" i="1"/>
  <c r="AP402" i="1"/>
  <c r="AO402" i="1"/>
  <c r="EH402" i="1" s="1"/>
  <c r="AL402" i="1"/>
  <c r="AK402" i="1"/>
  <c r="AL299" i="1"/>
  <c r="AK299" i="1"/>
  <c r="AL85" i="1"/>
  <c r="AK85" i="1"/>
  <c r="AL72" i="1"/>
  <c r="AK72" i="1"/>
  <c r="AL284" i="1"/>
  <c r="AK284" i="1"/>
  <c r="AL376" i="1"/>
  <c r="AK376" i="1"/>
  <c r="AP376" i="1"/>
  <c r="AO376" i="1"/>
  <c r="EH376" i="1" s="1"/>
  <c r="AL277" i="1"/>
  <c r="AK277" i="1"/>
  <c r="AK37" i="1"/>
  <c r="AL37" i="1"/>
  <c r="AL23" i="1"/>
  <c r="AK23" i="1"/>
  <c r="AP372" i="1"/>
  <c r="AO372" i="1"/>
  <c r="EH372" i="1" s="1"/>
  <c r="AL372" i="1"/>
  <c r="AK372" i="1"/>
  <c r="AL250" i="1"/>
  <c r="AK250" i="1"/>
  <c r="AL238" i="1"/>
  <c r="AK238" i="1"/>
  <c r="AL211" i="1"/>
  <c r="AK211" i="1"/>
  <c r="AL200" i="1"/>
  <c r="AK200" i="1"/>
  <c r="AP368" i="1"/>
  <c r="AO368" i="1"/>
  <c r="EH368" i="1" s="1"/>
  <c r="EU368" i="1" s="1"/>
  <c r="AL368" i="1"/>
  <c r="AK368" i="1"/>
  <c r="AP362" i="1"/>
  <c r="AO362" i="1"/>
  <c r="EH362" i="1" s="1"/>
  <c r="ES362" i="1" s="1"/>
  <c r="AL362" i="1"/>
  <c r="AK362" i="1"/>
  <c r="AL184" i="1"/>
  <c r="AK184" i="1"/>
  <c r="AL352" i="1"/>
  <c r="AK352" i="1"/>
  <c r="AO352" i="1"/>
  <c r="EH352" i="1" s="1"/>
  <c r="AP352" i="1"/>
  <c r="AL171" i="1"/>
  <c r="AK171" i="1"/>
  <c r="AL155" i="1"/>
  <c r="AK155" i="1"/>
  <c r="AL336" i="1"/>
  <c r="AK336" i="1"/>
  <c r="AL142" i="1"/>
  <c r="AK142" i="1"/>
  <c r="AL131" i="1"/>
  <c r="AK131" i="1"/>
  <c r="AL116" i="1"/>
  <c r="AK116" i="1"/>
  <c r="AL322" i="1"/>
  <c r="AK322" i="1"/>
  <c r="AL100" i="1"/>
  <c r="AK100" i="1"/>
  <c r="AP406" i="1"/>
  <c r="AO406" i="1"/>
  <c r="AL406" i="1"/>
  <c r="AK406" i="1"/>
  <c r="AL93" i="1"/>
  <c r="AK93" i="1"/>
  <c r="AP398" i="1"/>
  <c r="AO398" i="1"/>
  <c r="AL398" i="1"/>
  <c r="AK398" i="1"/>
  <c r="AK307" i="1"/>
  <c r="AL307" i="1"/>
  <c r="AL108" i="1"/>
  <c r="AK108" i="1"/>
  <c r="AL298" i="1"/>
  <c r="AK298" i="1"/>
  <c r="AL84" i="1"/>
  <c r="AK84" i="1"/>
  <c r="AL71" i="1"/>
  <c r="AK71" i="1"/>
  <c r="AP388" i="1"/>
  <c r="AO388" i="1"/>
  <c r="AL388" i="1"/>
  <c r="AK388" i="1"/>
  <c r="AL36" i="1"/>
  <c r="AK36" i="1"/>
  <c r="AL19" i="1"/>
  <c r="AK19" i="1"/>
  <c r="AP261" i="1"/>
  <c r="AO261" i="1"/>
  <c r="EH261" i="1" s="1"/>
  <c r="AL261" i="1"/>
  <c r="AK261" i="1"/>
  <c r="AL237" i="1"/>
  <c r="AK237" i="1"/>
  <c r="AL223" i="1"/>
  <c r="AK223" i="1"/>
  <c r="AL210" i="1"/>
  <c r="AK210" i="1"/>
  <c r="AL199" i="1"/>
  <c r="AK199" i="1"/>
  <c r="AK183" i="1"/>
  <c r="AP183" i="1"/>
  <c r="AO183" i="1"/>
  <c r="EH183" i="1" s="1"/>
  <c r="AL183" i="1"/>
  <c r="AL170" i="1"/>
  <c r="AK170" i="1"/>
  <c r="AK150" i="1"/>
  <c r="AL150" i="1"/>
  <c r="AL335" i="1"/>
  <c r="AK335" i="1"/>
  <c r="AL141" i="1"/>
  <c r="AK141" i="1"/>
  <c r="AK130" i="1"/>
  <c r="AL130" i="1"/>
  <c r="AL115" i="1"/>
  <c r="AK115" i="1"/>
  <c r="AL321" i="1"/>
  <c r="AK321" i="1"/>
  <c r="AL92" i="1"/>
  <c r="AK92" i="1"/>
  <c r="AL315" i="1"/>
  <c r="AK315" i="1"/>
  <c r="AL297" i="1"/>
  <c r="AK297" i="1"/>
  <c r="AL83" i="1"/>
  <c r="AK83" i="1"/>
  <c r="AL70" i="1"/>
  <c r="AK70" i="1"/>
  <c r="AL283" i="1"/>
  <c r="AK283" i="1"/>
  <c r="AP375" i="1"/>
  <c r="AO375" i="1"/>
  <c r="EH375" i="1" s="1"/>
  <c r="AL375" i="1"/>
  <c r="AK375" i="1"/>
  <c r="AK276" i="1"/>
  <c r="AL276" i="1"/>
  <c r="AP35" i="1"/>
  <c r="AO35" i="1"/>
  <c r="EH35" i="1" s="1"/>
  <c r="EU35" i="1" s="1"/>
  <c r="AL35" i="1"/>
  <c r="AK35" i="1"/>
  <c r="AL18" i="1"/>
  <c r="AK18" i="1"/>
  <c r="AP371" i="1"/>
  <c r="AO371" i="1"/>
  <c r="EH371" i="1" s="1"/>
  <c r="EU371" i="1" s="1"/>
  <c r="AL371" i="1"/>
  <c r="AK371" i="1"/>
  <c r="AL249" i="1"/>
  <c r="AK249" i="1"/>
  <c r="AK236" i="1"/>
  <c r="AL236" i="1"/>
  <c r="AL222" i="1"/>
  <c r="AK222" i="1"/>
  <c r="AL209" i="1"/>
  <c r="AK209" i="1"/>
  <c r="AL198" i="1"/>
  <c r="AK198" i="1"/>
  <c r="AP367" i="1"/>
  <c r="AO367" i="1"/>
  <c r="EH367" i="1" s="1"/>
  <c r="ES367" i="1" s="1"/>
  <c r="AL367" i="1"/>
  <c r="AK367" i="1"/>
  <c r="AP361" i="1"/>
  <c r="AO361" i="1"/>
  <c r="EH361" i="1" s="1"/>
  <c r="AL361" i="1"/>
  <c r="AK361" i="1"/>
  <c r="AP351" i="1"/>
  <c r="AO351" i="1"/>
  <c r="EH351" i="1" s="1"/>
  <c r="AL351" i="1"/>
  <c r="AK351" i="1"/>
  <c r="AL169" i="1"/>
  <c r="AK169" i="1"/>
  <c r="AL62" i="1"/>
  <c r="AK62" i="1"/>
  <c r="AL149" i="1"/>
  <c r="AK149" i="1"/>
  <c r="AL334" i="1"/>
  <c r="AK334" i="1"/>
  <c r="AL140" i="1"/>
  <c r="AK140" i="1"/>
  <c r="AL129" i="1"/>
  <c r="AK129" i="1"/>
  <c r="AL114" i="1"/>
  <c r="AK114" i="1"/>
  <c r="AL320" i="1"/>
  <c r="AK320" i="1"/>
  <c r="AL99" i="1"/>
  <c r="AK99" i="1"/>
  <c r="AP405" i="1"/>
  <c r="AO405" i="1"/>
  <c r="EH405" i="1" s="1"/>
  <c r="ES405" i="1" s="1"/>
  <c r="AL405" i="1"/>
  <c r="AK405" i="1"/>
  <c r="AP54" i="1"/>
  <c r="AO54" i="1"/>
  <c r="EH54" i="1" s="1"/>
  <c r="EU54" i="1" s="1"/>
  <c r="AL54" i="1"/>
  <c r="AK54" i="1"/>
  <c r="AP397" i="1"/>
  <c r="AO397" i="1"/>
  <c r="AL397" i="1"/>
  <c r="AK397" i="1"/>
  <c r="AL306" i="1"/>
  <c r="AK306" i="1"/>
  <c r="AL296" i="1"/>
  <c r="AK296" i="1"/>
  <c r="AL82" i="1"/>
  <c r="AK82" i="1"/>
  <c r="AP387" i="1"/>
  <c r="AO387" i="1"/>
  <c r="EH387" i="1" s="1"/>
  <c r="AL387" i="1"/>
  <c r="AK387" i="1"/>
  <c r="AP47" i="1"/>
  <c r="AO47" i="1"/>
  <c r="AL47" i="1"/>
  <c r="AK47" i="1"/>
  <c r="AL17" i="1"/>
  <c r="AK17" i="1"/>
  <c r="AL260" i="1"/>
  <c r="AK260" i="1"/>
  <c r="AL248" i="1"/>
  <c r="AK248" i="1"/>
  <c r="AL235" i="1"/>
  <c r="AK235" i="1"/>
  <c r="AL221" i="1"/>
  <c r="AK221" i="1"/>
  <c r="AL208" i="1"/>
  <c r="AK208" i="1"/>
  <c r="AP182" i="1"/>
  <c r="AO182" i="1"/>
  <c r="EH182" i="1" s="1"/>
  <c r="ES182" i="1" s="1"/>
  <c r="AL182" i="1"/>
  <c r="AK182" i="1"/>
  <c r="AL168" i="1"/>
  <c r="AK168" i="1"/>
  <c r="AP348" i="1"/>
  <c r="AO348" i="1"/>
  <c r="EH348" i="1" s="1"/>
  <c r="AL348" i="1"/>
  <c r="AK348" i="1"/>
  <c r="AL50" i="1"/>
  <c r="AK50" i="1"/>
  <c r="AL333" i="1"/>
  <c r="AK333" i="1"/>
  <c r="AL139" i="1"/>
  <c r="AK139" i="1"/>
  <c r="AL113" i="1"/>
  <c r="AK113" i="1"/>
  <c r="AL107" i="1"/>
  <c r="AK107" i="1"/>
  <c r="AL98" i="1"/>
  <c r="AK98" i="1"/>
  <c r="AL305" i="1"/>
  <c r="AK305" i="1"/>
  <c r="AL104" i="1"/>
  <c r="AK104" i="1"/>
  <c r="AK295" i="1"/>
  <c r="AL295" i="1"/>
  <c r="AK81" i="1"/>
  <c r="AL81" i="1"/>
  <c r="AL69" i="1"/>
  <c r="AK69" i="1"/>
  <c r="AP69" i="1"/>
  <c r="AO69" i="1"/>
  <c r="AL386" i="1"/>
  <c r="AK386" i="1"/>
  <c r="AO386" i="1"/>
  <c r="EH386" i="1" s="1"/>
  <c r="EU386" i="1" s="1"/>
  <c r="AP386" i="1"/>
  <c r="AL51" i="1"/>
  <c r="AK51" i="1"/>
  <c r="AP374" i="1"/>
  <c r="AO374" i="1"/>
  <c r="AL374" i="1"/>
  <c r="AK374" i="1"/>
  <c r="AL46" i="1"/>
  <c r="AK46" i="1"/>
  <c r="AP34" i="1"/>
  <c r="AO34" i="1"/>
  <c r="EH34" i="1" s="1"/>
  <c r="ES34" i="1" s="1"/>
  <c r="AL34" i="1"/>
  <c r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 i="1" s="1"/>
  <c r="EU220" i="1" s="1"/>
  <c r="AL220" i="1"/>
  <c r="AK220" i="1"/>
  <c r="AL197" i="1"/>
  <c r="AK197" i="1"/>
  <c r="AL366" i="1"/>
  <c r="AK366" i="1"/>
  <c r="AO366" i="1"/>
  <c r="EH366" i="1" s="1"/>
  <c r="ES366" i="1" s="1"/>
  <c r="AP366" i="1"/>
  <c r="AP360" i="1"/>
  <c r="AO360" i="1"/>
  <c r="EH360" i="1" s="1"/>
  <c r="AL360" i="1"/>
  <c r="AK360" i="1"/>
  <c r="AP350" i="1"/>
  <c r="AO350" i="1"/>
  <c r="EH350" i="1" s="1"/>
  <c r="ES350" i="1" s="1"/>
  <c r="AL350" i="1"/>
  <c r="AK350" i="1"/>
  <c r="AL167" i="1"/>
  <c r="AK167" i="1"/>
  <c r="AP344" i="1"/>
  <c r="AO344" i="1"/>
  <c r="AL344" i="1"/>
  <c r="AK344" i="1"/>
  <c r="AL332" i="1"/>
  <c r="AK332" i="1"/>
  <c r="AL138" i="1"/>
  <c r="AK138" i="1"/>
  <c r="AP128" i="1"/>
  <c r="AO128" i="1"/>
  <c r="EH128" i="1" s="1"/>
  <c r="AL128" i="1"/>
  <c r="AK128" i="1"/>
  <c r="AK112" i="1"/>
  <c r="AL112" i="1"/>
  <c r="AL106" i="1"/>
  <c r="AK106" i="1"/>
  <c r="AP106" i="1"/>
  <c r="AO106" i="1"/>
  <c r="EH106" i="1" s="1"/>
  <c r="AL97" i="1"/>
  <c r="AK97" i="1"/>
  <c r="AL319" i="1"/>
  <c r="AK319" i="1"/>
  <c r="AP404" i="1"/>
  <c r="AO404" i="1"/>
  <c r="EH404" i="1" s="1"/>
  <c r="AL404" i="1"/>
  <c r="AK404" i="1"/>
  <c r="AL396" i="1"/>
  <c r="AK396" i="1"/>
  <c r="AO396" i="1"/>
  <c r="AP396" i="1"/>
  <c r="AL304" i="1"/>
  <c r="AK304" i="1"/>
  <c r="AL294" i="1"/>
  <c r="AK294" i="1"/>
  <c r="AP382" i="1"/>
  <c r="AO382" i="1"/>
  <c r="AL382" i="1"/>
  <c r="AK382" i="1"/>
  <c r="AL15" i="1"/>
  <c r="AK15" i="1"/>
  <c r="AL246" i="1"/>
  <c r="AK246" i="1"/>
  <c r="AL207" i="1"/>
  <c r="AK207" i="1"/>
  <c r="AL127" i="1"/>
  <c r="AK127" i="1"/>
  <c r="AL96" i="1"/>
  <c r="AK96" i="1"/>
  <c r="AL303" i="1"/>
  <c r="AK303" i="1"/>
  <c r="AL45" i="1"/>
  <c r="AK45" i="1"/>
  <c r="AL233" i="1"/>
  <c r="AK233" i="1"/>
  <c r="AP347" i="1"/>
  <c r="AO347" i="1"/>
  <c r="AL347" i="1"/>
  <c r="AK347" i="1"/>
  <c r="CS20" i="1"/>
  <c r="AK20" i="1"/>
  <c r="BA7" i="1" s="1"/>
  <c r="AL293" i="1"/>
  <c r="AK293" i="1"/>
  <c r="AL79" i="1"/>
  <c r="AK79" i="1"/>
  <c r="AP68" i="1"/>
  <c r="AO68" i="1"/>
  <c r="EH68" i="1" s="1"/>
  <c r="EU68" i="1" s="1"/>
  <c r="AL68" i="1"/>
  <c r="AK68" i="1"/>
  <c r="AP385" i="1"/>
  <c r="AO385" i="1"/>
  <c r="EH385" i="1" s="1"/>
  <c r="AL385" i="1"/>
  <c r="AK385" i="1"/>
  <c r="AK282" i="1"/>
  <c r="AL282" i="1"/>
  <c r="AP44" i="1"/>
  <c r="AO44" i="1"/>
  <c r="AL44" i="1"/>
  <c r="AK44" i="1"/>
  <c r="AK33" i="1"/>
  <c r="AL33" i="1"/>
  <c r="AL14" i="1"/>
  <c r="AK14" i="1"/>
  <c r="AL269" i="1"/>
  <c r="AK269" i="1"/>
  <c r="AL258" i="1"/>
  <c r="AK258" i="1"/>
  <c r="AL245" i="1"/>
  <c r="AK245" i="1"/>
  <c r="AL232" i="1"/>
  <c r="AK232" i="1"/>
  <c r="AK219" i="1"/>
  <c r="AL219" i="1"/>
  <c r="AP365" i="1"/>
  <c r="AO365" i="1"/>
  <c r="EH365" i="1" s="1"/>
  <c r="AL365" i="1"/>
  <c r="AK365" i="1"/>
  <c r="AL359" i="1"/>
  <c r="EE359" i="1" s="1"/>
  <c r="AK359" i="1"/>
  <c r="AP359" i="1"/>
  <c r="AO359" i="1"/>
  <c r="EH359" i="1" s="1"/>
  <c r="EU359" i="1" s="1"/>
  <c r="AL180" i="1"/>
  <c r="AK180" i="1"/>
  <c r="AK349" i="1"/>
  <c r="AP349" i="1"/>
  <c r="AO349" i="1"/>
  <c r="EH349" i="1" s="1"/>
  <c r="AL349" i="1"/>
  <c r="AL165" i="1"/>
  <c r="AK165" i="1"/>
  <c r="AP346" i="1"/>
  <c r="AO346" i="1"/>
  <c r="EH346" i="1" s="1"/>
  <c r="AL346" i="1"/>
  <c r="AK346" i="1"/>
  <c r="AP343" i="1"/>
  <c r="AO343" i="1"/>
  <c r="EH343" i="1" s="1"/>
  <c r="AL343" i="1"/>
  <c r="AK343" i="1"/>
  <c r="AL136" i="1"/>
  <c r="AK136" i="1"/>
  <c r="AL126" i="1"/>
  <c r="AK126" i="1"/>
  <c r="AL110" i="1"/>
  <c r="AK110" i="1"/>
  <c r="AL105" i="1"/>
  <c r="AK105" i="1"/>
  <c r="AP411" i="1"/>
  <c r="AO411" i="1"/>
  <c r="EH411" i="1" s="1"/>
  <c r="EU411" i="1" s="1"/>
  <c r="AL411" i="1"/>
  <c r="AK411" i="1"/>
  <c r="AL317" i="1"/>
  <c r="AK317" i="1"/>
  <c r="AL403" i="1"/>
  <c r="AK403" i="1"/>
  <c r="AP403" i="1"/>
  <c r="AO403" i="1"/>
  <c r="EH403" i="1" s="1"/>
  <c r="ES403" i="1" s="1"/>
  <c r="AP395" i="1"/>
  <c r="AO395" i="1"/>
  <c r="EH395" i="1" s="1"/>
  <c r="EU395" i="1" s="1"/>
  <c r="AL395" i="1"/>
  <c r="AK395" i="1"/>
  <c r="AL91" i="1"/>
  <c r="AK91" i="1"/>
  <c r="AL80" i="1"/>
  <c r="AK80" i="1"/>
  <c r="AK270" i="1"/>
  <c r="AL270" i="1"/>
  <c r="AK259" i="1"/>
  <c r="AL259" i="1"/>
  <c r="AL196" i="1"/>
  <c r="AK196" i="1"/>
  <c r="AL181" i="1"/>
  <c r="AK181" i="1"/>
  <c r="AL166" i="1"/>
  <c r="AK166" i="1"/>
  <c r="AL331" i="1"/>
  <c r="AK331" i="1"/>
  <c r="AP331" i="1"/>
  <c r="AO331" i="1"/>
  <c r="EH331" i="1" s="1"/>
  <c r="EU331" i="1" s="1"/>
  <c r="AK137" i="1"/>
  <c r="AL137" i="1"/>
  <c r="AL111" i="1"/>
  <c r="AK111" i="1"/>
  <c r="AL318" i="1"/>
  <c r="AK318" i="1"/>
  <c r="AL292" i="1"/>
  <c r="AK292" i="1"/>
  <c r="AL78" i="1"/>
  <c r="AK78" i="1"/>
  <c r="AP381" i="1"/>
  <c r="AO381" i="1"/>
  <c r="EH381" i="1" s="1"/>
  <c r="AL381" i="1"/>
  <c r="AK381" i="1"/>
  <c r="AL32" i="1"/>
  <c r="AK32" i="1"/>
  <c r="AP56" i="1"/>
  <c r="AO56" i="1"/>
  <c r="EH56" i="1" s="1"/>
  <c r="EU56" i="1" s="1"/>
  <c r="AL56" i="1"/>
  <c r="AK56" i="1"/>
  <c r="AL268" i="1"/>
  <c r="AK268" i="1"/>
  <c r="AL257" i="1"/>
  <c r="AK257" i="1"/>
  <c r="AL244" i="1"/>
  <c r="AK244" i="1"/>
  <c r="AL231" i="1"/>
  <c r="AK231" i="1"/>
  <c r="AL206" i="1"/>
  <c r="AK206" i="1"/>
  <c r="AK195" i="1"/>
  <c r="AL195" i="1"/>
  <c r="AP358" i="1"/>
  <c r="AO358" i="1"/>
  <c r="AL358" i="1"/>
  <c r="AK358" i="1"/>
  <c r="AP179" i="1"/>
  <c r="AO179" i="1"/>
  <c r="EH179" i="1" s="1"/>
  <c r="EU179" i="1" s="1"/>
  <c r="AL179" i="1"/>
  <c r="AK179" i="1"/>
  <c r="AL164" i="1"/>
  <c r="AK164" i="1"/>
  <c r="AP330" i="1"/>
  <c r="AO330" i="1"/>
  <c r="AL330" i="1"/>
  <c r="AK330" i="1"/>
  <c r="AL135" i="1"/>
  <c r="AK135" i="1"/>
  <c r="AL125" i="1"/>
  <c r="AK125" i="1"/>
  <c r="AL109" i="1"/>
  <c r="AK109" i="1"/>
  <c r="AL316" i="1"/>
  <c r="AK316" i="1"/>
  <c r="AL90" i="1"/>
  <c r="AK90" i="1"/>
  <c r="EG394" i="1"/>
  <c r="EM394" i="1" s="1"/>
  <c r="DR361" i="1"/>
  <c r="DS361" i="1" s="1"/>
  <c r="EB392" i="1"/>
  <c r="EE391" i="1"/>
  <c r="EE361" i="1"/>
  <c r="EA392" i="1"/>
  <c r="DO361" i="1"/>
  <c r="DP361" i="1" s="1"/>
  <c r="DX361" i="1" s="1"/>
  <c r="CX361" i="1" s="1"/>
  <c r="EB339" i="1"/>
  <c r="EH354" i="1"/>
  <c r="EU354" i="1" s="1"/>
  <c r="EC361" i="1"/>
  <c r="DO375" i="1"/>
  <c r="DP375" i="1" s="1"/>
  <c r="DX375" i="1" s="1"/>
  <c r="CX375" i="1" s="1"/>
  <c r="EE402" i="1"/>
  <c r="CS339" i="1"/>
  <c r="EE392" i="1"/>
  <c r="EB361" i="1"/>
  <c r="DR392" i="1"/>
  <c r="DS392" i="1" s="1"/>
  <c r="EE355" i="1"/>
  <c r="DR355" i="1"/>
  <c r="DS355" i="1" s="1"/>
  <c r="CS392" i="1"/>
  <c r="CS355" i="1"/>
  <c r="CS375" i="1"/>
  <c r="EB370" i="1"/>
  <c r="EC368" i="1"/>
  <c r="EH370" i="1"/>
  <c r="ES370" i="1" s="1"/>
  <c r="DU370" i="1"/>
  <c r="CU370" i="1" s="1"/>
  <c r="EK370" i="1" s="1"/>
  <c r="EC339" i="1"/>
  <c r="EA370" i="1"/>
  <c r="EE339" i="1"/>
  <c r="EH173" i="1"/>
  <c r="EU173" i="1" s="1"/>
  <c r="EA355" i="1"/>
  <c r="DR372" i="1"/>
  <c r="DS372" i="1" s="1"/>
  <c r="DO363" i="1"/>
  <c r="DP363" i="1" s="1"/>
  <c r="DX363" i="1" s="1"/>
  <c r="CX363" i="1" s="1"/>
  <c r="W316" i="1"/>
  <c r="BJ316" i="1"/>
  <c r="BK316" i="1" s="1"/>
  <c r="BI316" i="1"/>
  <c r="BI125" i="1"/>
  <c r="BJ125" i="1"/>
  <c r="BK125" i="1" s="1"/>
  <c r="W298" i="1"/>
  <c r="BI298" i="1"/>
  <c r="BJ298" i="1"/>
  <c r="BK298" i="1" s="1"/>
  <c r="BJ290" i="1"/>
  <c r="BK290" i="1" s="1"/>
  <c r="BI290" i="1"/>
  <c r="W83" i="1"/>
  <c r="BJ83" i="1"/>
  <c r="BK83" i="1" s="1"/>
  <c r="BI83" i="1"/>
  <c r="BJ391" i="1"/>
  <c r="BK391" i="1" s="1"/>
  <c r="BI391" i="1"/>
  <c r="BJ69" i="1"/>
  <c r="BK69" i="1" s="1"/>
  <c r="BI69" i="1"/>
  <c r="BI285" i="1"/>
  <c r="BJ285" i="1"/>
  <c r="BK285" i="1" s="1"/>
  <c r="W43" i="1"/>
  <c r="BJ43" i="1"/>
  <c r="BK43" i="1" s="1"/>
  <c r="BI43" i="1"/>
  <c r="BJ243" i="1"/>
  <c r="BK243" i="1" s="1"/>
  <c r="BI243" i="1"/>
  <c r="BJ203" i="1"/>
  <c r="BK203" i="1" s="1"/>
  <c r="BI203" i="1"/>
  <c r="BJ195" i="1"/>
  <c r="BK195" i="1" s="1"/>
  <c r="BI195" i="1"/>
  <c r="BJ368" i="1"/>
  <c r="BK368" i="1" s="1"/>
  <c r="BI368" i="1"/>
  <c r="BJ187" i="1"/>
  <c r="BK187" i="1" s="1"/>
  <c r="BI187" i="1"/>
  <c r="BJ356" i="1"/>
  <c r="BK356" i="1" s="1"/>
  <c r="BI356" i="1"/>
  <c r="BJ179" i="1"/>
  <c r="BK179" i="1" s="1"/>
  <c r="BI179" i="1"/>
  <c r="BJ349" i="1"/>
  <c r="BK349" i="1" s="1"/>
  <c r="BI349" i="1"/>
  <c r="BJ170" i="1"/>
  <c r="BK170" i="1" s="1"/>
  <c r="BI170" i="1"/>
  <c r="BI162" i="1"/>
  <c r="BJ162" i="1"/>
  <c r="BK162" i="1" s="1"/>
  <c r="BJ62" i="1"/>
  <c r="BK62" i="1" s="1"/>
  <c r="BI62" i="1"/>
  <c r="W151" i="1"/>
  <c r="BJ151" i="1"/>
  <c r="BK151" i="1" s="1"/>
  <c r="BI151" i="1"/>
  <c r="W340" i="1"/>
  <c r="BJ340" i="1"/>
  <c r="BK340" i="1" s="1"/>
  <c r="BI340" i="1"/>
  <c r="W332" i="1"/>
  <c r="BI332" i="1"/>
  <c r="BJ332" i="1"/>
  <c r="BK332" i="1" s="1"/>
  <c r="BI144" i="1"/>
  <c r="BJ144" i="1"/>
  <c r="BK144" i="1" s="1"/>
  <c r="W136" i="1"/>
  <c r="BJ136" i="1"/>
  <c r="BK136" i="1" s="1"/>
  <c r="BI136" i="1"/>
  <c r="W33" i="1"/>
  <c r="BJ33" i="1"/>
  <c r="BK33" i="1" s="1"/>
  <c r="BI33" i="1"/>
  <c r="BJ14" i="1"/>
  <c r="BK14" i="1" s="1"/>
  <c r="BI14" i="1"/>
  <c r="W132" i="1"/>
  <c r="BI132" i="1"/>
  <c r="BJ132" i="1"/>
  <c r="BK132" i="1" s="1"/>
  <c r="BI124" i="1"/>
  <c r="BJ124" i="1"/>
  <c r="BK124" i="1" s="1"/>
  <c r="BJ116" i="1"/>
  <c r="BK116" i="1" s="1"/>
  <c r="BI116" i="1"/>
  <c r="BI108" i="1"/>
  <c r="BJ108" i="1"/>
  <c r="BK108" i="1" s="1"/>
  <c r="W320" i="1"/>
  <c r="BJ320" i="1"/>
  <c r="BK320" i="1" s="1"/>
  <c r="BI320" i="1"/>
  <c r="BI100" i="1"/>
  <c r="BJ100" i="1"/>
  <c r="BK100" i="1" s="1"/>
  <c r="BJ408" i="1"/>
  <c r="BK408" i="1" s="1"/>
  <c r="BI408" i="1"/>
  <c r="W315" i="1"/>
  <c r="BJ315" i="1"/>
  <c r="BK315" i="1" s="1"/>
  <c r="BI315" i="1"/>
  <c r="BJ92" i="1"/>
  <c r="BK92" i="1" s="1"/>
  <c r="BI92" i="1"/>
  <c r="BJ398" i="1"/>
  <c r="BK398" i="1" s="1"/>
  <c r="BI398" i="1"/>
  <c r="BI307" i="1"/>
  <c r="BJ307" i="1"/>
  <c r="BK307" i="1" s="1"/>
  <c r="W55" i="1"/>
  <c r="BJ55" i="1"/>
  <c r="BK55" i="1" s="1"/>
  <c r="BI55" i="1"/>
  <c r="W109" i="1"/>
  <c r="BJ109" i="1"/>
  <c r="BK109" i="1" s="1"/>
  <c r="BI109" i="1"/>
  <c r="BJ409" i="1"/>
  <c r="BK409" i="1" s="1"/>
  <c r="BI409" i="1"/>
  <c r="BJ308" i="1"/>
  <c r="BK308" i="1" s="1"/>
  <c r="BI308" i="1"/>
  <c r="W279" i="1"/>
  <c r="BJ279" i="1"/>
  <c r="BK279" i="1" s="1"/>
  <c r="BI279" i="1"/>
  <c r="BJ297" i="1"/>
  <c r="BK297" i="1" s="1"/>
  <c r="BI297" i="1"/>
  <c r="BJ289" i="1"/>
  <c r="BK289" i="1" s="1"/>
  <c r="BI289" i="1"/>
  <c r="W82" i="1"/>
  <c r="BJ82" i="1"/>
  <c r="BK82" i="1" s="1"/>
  <c r="BI82" i="1"/>
  <c r="BJ76" i="1"/>
  <c r="BK76" i="1" s="1"/>
  <c r="BI76" i="1"/>
  <c r="BJ68" i="1"/>
  <c r="BK68" i="1" s="1"/>
  <c r="BI68" i="1"/>
  <c r="BJ388" i="1"/>
  <c r="BK388" i="1" s="1"/>
  <c r="BI388" i="1"/>
  <c r="W284" i="1"/>
  <c r="BJ284" i="1"/>
  <c r="BK284" i="1" s="1"/>
  <c r="BI284" i="1"/>
  <c r="BJ377" i="1"/>
  <c r="BK377" i="1" s="1"/>
  <c r="BI377" i="1"/>
  <c r="W278" i="1"/>
  <c r="BJ278" i="1"/>
  <c r="BK278" i="1" s="1"/>
  <c r="BI278" i="1"/>
  <c r="W42" i="1"/>
  <c r="BJ42" i="1"/>
  <c r="BK42" i="1" s="1"/>
  <c r="BI42" i="1"/>
  <c r="W32" i="1"/>
  <c r="BJ32" i="1"/>
  <c r="BK32" i="1" s="1"/>
  <c r="BI32" i="1"/>
  <c r="BJ56" i="1"/>
  <c r="BK56" i="1" s="1"/>
  <c r="BI56" i="1"/>
  <c r="BJ371" i="1"/>
  <c r="BK371" i="1" s="1"/>
  <c r="BI371" i="1"/>
  <c r="BJ264" i="1"/>
  <c r="BK264" i="1" s="1"/>
  <c r="BI264" i="1"/>
  <c r="W258" i="1"/>
  <c r="BJ258" i="1"/>
  <c r="BK258" i="1" s="1"/>
  <c r="BI258" i="1"/>
  <c r="W250" i="1"/>
  <c r="BJ250" i="1"/>
  <c r="BK250" i="1" s="1"/>
  <c r="BI250" i="1"/>
  <c r="W242" i="1"/>
  <c r="BJ242" i="1"/>
  <c r="BK242" i="1" s="1"/>
  <c r="BI242" i="1"/>
  <c r="BJ234" i="1"/>
  <c r="BK234" i="1" s="1"/>
  <c r="BI234" i="1"/>
  <c r="BJ226" i="1"/>
  <c r="BK226" i="1" s="1"/>
  <c r="BI226" i="1"/>
  <c r="W218" i="1"/>
  <c r="BJ218" i="1"/>
  <c r="BK218" i="1" s="1"/>
  <c r="BI218" i="1"/>
  <c r="W210" i="1"/>
  <c r="BJ210" i="1"/>
  <c r="BK210" i="1" s="1"/>
  <c r="BI210" i="1"/>
  <c r="BJ202" i="1"/>
  <c r="BK202" i="1" s="1"/>
  <c r="BI202" i="1"/>
  <c r="BJ194" i="1"/>
  <c r="BK194" i="1" s="1"/>
  <c r="BI194" i="1"/>
  <c r="BJ367" i="1"/>
  <c r="BK367" i="1" s="1"/>
  <c r="BI367" i="1"/>
  <c r="BJ186" i="1"/>
  <c r="BK186" i="1" s="1"/>
  <c r="BI186" i="1"/>
  <c r="BJ355" i="1"/>
  <c r="BK355" i="1" s="1"/>
  <c r="BI355" i="1"/>
  <c r="BJ178" i="1"/>
  <c r="BK178" i="1" s="1"/>
  <c r="BI178" i="1"/>
  <c r="BJ177" i="1"/>
  <c r="BK177" i="1" s="1"/>
  <c r="BI177" i="1"/>
  <c r="BJ169" i="1"/>
  <c r="BK169" i="1" s="1"/>
  <c r="BI169" i="1"/>
  <c r="W161" i="1"/>
  <c r="BJ161" i="1"/>
  <c r="BK161" i="1" s="1"/>
  <c r="BI161" i="1"/>
  <c r="BJ348" i="1"/>
  <c r="BK348" i="1" s="1"/>
  <c r="BI348" i="1"/>
  <c r="W150" i="1"/>
  <c r="BI150" i="1"/>
  <c r="BJ150" i="1"/>
  <c r="BK150" i="1" s="1"/>
  <c r="BJ339" i="1"/>
  <c r="BK339" i="1" s="1"/>
  <c r="BI339" i="1"/>
  <c r="BJ331" i="1"/>
  <c r="BK331" i="1" s="1"/>
  <c r="BI331" i="1"/>
  <c r="W143" i="1"/>
  <c r="BJ143" i="1"/>
  <c r="BK143" i="1" s="1"/>
  <c r="BI143" i="1"/>
  <c r="BJ135" i="1"/>
  <c r="BK135" i="1" s="1"/>
  <c r="BI135" i="1"/>
  <c r="W321" i="1"/>
  <c r="BJ321" i="1"/>
  <c r="BK321" i="1" s="1"/>
  <c r="BI321" i="1"/>
  <c r="BJ235" i="1"/>
  <c r="BK235" i="1" s="1"/>
  <c r="BI235" i="1"/>
  <c r="EC409" i="1"/>
  <c r="EC280" i="1"/>
  <c r="W31" i="1"/>
  <c r="BJ31" i="1"/>
  <c r="BK31" i="1" s="1"/>
  <c r="BI31" i="1"/>
  <c r="W131" i="1"/>
  <c r="BJ131" i="1"/>
  <c r="BK131" i="1" s="1"/>
  <c r="BI131" i="1"/>
  <c r="BJ123" i="1"/>
  <c r="BK123" i="1" s="1"/>
  <c r="BI123" i="1"/>
  <c r="BJ115" i="1"/>
  <c r="BK115" i="1" s="1"/>
  <c r="BI115" i="1"/>
  <c r="BJ58" i="1"/>
  <c r="BK58" i="1" s="1"/>
  <c r="BI58" i="1"/>
  <c r="BJ107" i="1"/>
  <c r="BK107" i="1" s="1"/>
  <c r="BI107" i="1"/>
  <c r="BJ99" i="1"/>
  <c r="BK99" i="1" s="1"/>
  <c r="BI99" i="1"/>
  <c r="BJ407" i="1"/>
  <c r="BK407" i="1" s="1"/>
  <c r="BI407" i="1"/>
  <c r="W314" i="1"/>
  <c r="BJ314" i="1"/>
  <c r="BK314" i="1" s="1"/>
  <c r="BI314" i="1"/>
  <c r="BJ54" i="1"/>
  <c r="BK54" i="1" s="1"/>
  <c r="BI54" i="1"/>
  <c r="BJ397" i="1"/>
  <c r="BK397" i="1" s="1"/>
  <c r="BI397" i="1"/>
  <c r="BJ306" i="1"/>
  <c r="BK306" i="1" s="1"/>
  <c r="BI306" i="1"/>
  <c r="W20" i="1"/>
  <c r="BJ20" i="1"/>
  <c r="BK20" i="1" s="1"/>
  <c r="BI20" i="1"/>
  <c r="BJ93" i="1"/>
  <c r="BK93" i="1" s="1"/>
  <c r="BI93" i="1"/>
  <c r="W227" i="1"/>
  <c r="BJ227" i="1"/>
  <c r="BK227" i="1" s="1"/>
  <c r="BI227" i="1"/>
  <c r="DR280" i="1"/>
  <c r="DS280" i="1" s="1"/>
  <c r="W296" i="1"/>
  <c r="BJ296" i="1"/>
  <c r="BK296" i="1" s="1"/>
  <c r="BI296" i="1"/>
  <c r="W283" i="1"/>
  <c r="BJ283" i="1"/>
  <c r="BK283" i="1" s="1"/>
  <c r="BI283" i="1"/>
  <c r="BI30" i="1"/>
  <c r="BJ30" i="1"/>
  <c r="BK30" i="1" s="1"/>
  <c r="W249" i="1"/>
  <c r="BJ249" i="1"/>
  <c r="BK249" i="1" s="1"/>
  <c r="BI249" i="1"/>
  <c r="W209" i="1"/>
  <c r="BJ209" i="1"/>
  <c r="BK209" i="1" s="1"/>
  <c r="BI209" i="1"/>
  <c r="BJ362" i="1"/>
  <c r="BK362" i="1" s="1"/>
  <c r="BI362" i="1"/>
  <c r="BJ168" i="1"/>
  <c r="BK168" i="1" s="1"/>
  <c r="BI168" i="1"/>
  <c r="BJ338" i="1"/>
  <c r="BK338" i="1" s="1"/>
  <c r="BI338" i="1"/>
  <c r="BJ134" i="1"/>
  <c r="BK134" i="1" s="1"/>
  <c r="BI134" i="1"/>
  <c r="BJ34" i="1"/>
  <c r="BK34" i="1" s="1"/>
  <c r="BI34" i="1"/>
  <c r="BJ117" i="1"/>
  <c r="BK117" i="1" s="1"/>
  <c r="BI117" i="1"/>
  <c r="BI89" i="1"/>
  <c r="BJ89" i="1"/>
  <c r="BK89" i="1" s="1"/>
  <c r="BJ211" i="1"/>
  <c r="BK211" i="1" s="1"/>
  <c r="BI211" i="1"/>
  <c r="BJ393" i="1"/>
  <c r="BK393" i="1" s="1"/>
  <c r="BI393" i="1"/>
  <c r="W81" i="1"/>
  <c r="BJ81" i="1"/>
  <c r="BK81" i="1" s="1"/>
  <c r="BI81" i="1"/>
  <c r="BJ387" i="1"/>
  <c r="BK387" i="1" s="1"/>
  <c r="BI387" i="1"/>
  <c r="W277" i="1"/>
  <c r="BJ277" i="1"/>
  <c r="BK277" i="1" s="1"/>
  <c r="BI277" i="1"/>
  <c r="W48" i="1"/>
  <c r="BJ48" i="1"/>
  <c r="BK48" i="1" s="1"/>
  <c r="BI48" i="1"/>
  <c r="W263" i="1"/>
  <c r="BJ263" i="1"/>
  <c r="BK263" i="1" s="1"/>
  <c r="BI263" i="1"/>
  <c r="W233" i="1"/>
  <c r="BI233" i="1"/>
  <c r="BJ233" i="1"/>
  <c r="BK233" i="1" s="1"/>
  <c r="BJ217" i="1"/>
  <c r="BK217" i="1" s="1"/>
  <c r="BI217" i="1"/>
  <c r="BJ193" i="1"/>
  <c r="BK193" i="1" s="1"/>
  <c r="BI193" i="1"/>
  <c r="BJ185" i="1"/>
  <c r="BK185" i="1" s="1"/>
  <c r="BI185" i="1"/>
  <c r="BJ176" i="1"/>
  <c r="BK176" i="1" s="1"/>
  <c r="BI176" i="1"/>
  <c r="BJ347" i="1"/>
  <c r="BK347" i="1" s="1"/>
  <c r="BI347" i="1"/>
  <c r="W149" i="1"/>
  <c r="BJ149" i="1"/>
  <c r="BK149" i="1" s="1"/>
  <c r="BI149" i="1"/>
  <c r="W142" i="1"/>
  <c r="BJ142" i="1"/>
  <c r="BK142" i="1" s="1"/>
  <c r="BI142" i="1"/>
  <c r="BJ29" i="1"/>
  <c r="BK29" i="1" s="1"/>
  <c r="BI29" i="1"/>
  <c r="BJ130" i="1"/>
  <c r="BK130" i="1" s="1"/>
  <c r="BI130" i="1"/>
  <c r="BI122" i="1"/>
  <c r="BJ122" i="1"/>
  <c r="BK122" i="1" s="1"/>
  <c r="BI114" i="1"/>
  <c r="BJ114" i="1"/>
  <c r="BK114" i="1" s="1"/>
  <c r="BJ412" i="1"/>
  <c r="BK412" i="1" s="1"/>
  <c r="BI412" i="1"/>
  <c r="BJ106" i="1"/>
  <c r="BK106" i="1" s="1"/>
  <c r="BI106" i="1"/>
  <c r="BJ98" i="1"/>
  <c r="BK98" i="1" s="1"/>
  <c r="BI98" i="1"/>
  <c r="BJ406" i="1"/>
  <c r="BK406" i="1" s="1"/>
  <c r="BI406" i="1"/>
  <c r="BJ313" i="1"/>
  <c r="BK313" i="1" s="1"/>
  <c r="BI313" i="1"/>
  <c r="BJ404" i="1"/>
  <c r="BK404" i="1" s="1"/>
  <c r="BI404" i="1"/>
  <c r="BJ396" i="1"/>
  <c r="BK396" i="1" s="1"/>
  <c r="BI396" i="1"/>
  <c r="BJ305" i="1"/>
  <c r="BK305" i="1" s="1"/>
  <c r="BI305" i="1"/>
  <c r="BV370" i="1"/>
  <c r="BT370" i="1"/>
  <c r="BS370" i="1"/>
  <c r="W288" i="1"/>
  <c r="BJ288" i="1"/>
  <c r="BK288" i="1" s="1"/>
  <c r="BI288" i="1"/>
  <c r="BJ67" i="1"/>
  <c r="BK67" i="1" s="1"/>
  <c r="BI67" i="1"/>
  <c r="BJ376" i="1"/>
  <c r="BK376" i="1" s="1"/>
  <c r="BI376" i="1"/>
  <c r="W41" i="1"/>
  <c r="BJ41" i="1"/>
  <c r="BK41" i="1" s="1"/>
  <c r="BI41" i="1"/>
  <c r="W271" i="1"/>
  <c r="BJ271" i="1"/>
  <c r="BK271" i="1" s="1"/>
  <c r="BI271" i="1"/>
  <c r="W257" i="1"/>
  <c r="BJ257" i="1"/>
  <c r="BK257" i="1" s="1"/>
  <c r="BI257" i="1"/>
  <c r="BJ225" i="1"/>
  <c r="BK225" i="1" s="1"/>
  <c r="BI225" i="1"/>
  <c r="BI201" i="1"/>
  <c r="BJ201" i="1"/>
  <c r="BK201" i="1" s="1"/>
  <c r="BJ366" i="1"/>
  <c r="BK366" i="1" s="1"/>
  <c r="BI366" i="1"/>
  <c r="BJ59" i="1"/>
  <c r="BK59" i="1" s="1"/>
  <c r="BI59" i="1"/>
  <c r="BJ160" i="1"/>
  <c r="BK160" i="1" s="1"/>
  <c r="BI160" i="1"/>
  <c r="BJ330" i="1"/>
  <c r="BK330" i="1" s="1"/>
  <c r="BI330" i="1"/>
  <c r="EG409" i="1"/>
  <c r="EM409" i="1" s="1"/>
  <c r="BI392" i="1"/>
  <c r="BJ392" i="1"/>
  <c r="BK392" i="1" s="1"/>
  <c r="BI295" i="1"/>
  <c r="BJ295" i="1"/>
  <c r="BK295" i="1" s="1"/>
  <c r="BJ88" i="1"/>
  <c r="BK88" i="1" s="1"/>
  <c r="BI88" i="1"/>
  <c r="BJ80" i="1"/>
  <c r="BK80" i="1" s="1"/>
  <c r="BI80" i="1"/>
  <c r="W74" i="1"/>
  <c r="BJ74" i="1"/>
  <c r="BK74" i="1" s="1"/>
  <c r="BI74" i="1"/>
  <c r="BJ66" i="1"/>
  <c r="BK66" i="1" s="1"/>
  <c r="BI66" i="1"/>
  <c r="BJ386" i="1"/>
  <c r="BK386" i="1" s="1"/>
  <c r="BI386" i="1"/>
  <c r="W51" i="1"/>
  <c r="BJ51" i="1"/>
  <c r="BK51" i="1" s="1"/>
  <c r="BI51" i="1"/>
  <c r="BJ375" i="1"/>
  <c r="BK375" i="1" s="1"/>
  <c r="BI375" i="1"/>
  <c r="W276" i="1"/>
  <c r="BJ276" i="1"/>
  <c r="BK276" i="1" s="1"/>
  <c r="BI276" i="1"/>
  <c r="W40" i="1"/>
  <c r="BJ40" i="1"/>
  <c r="BK40" i="1" s="1"/>
  <c r="BI40" i="1"/>
  <c r="W28" i="1"/>
  <c r="BI28" i="1"/>
  <c r="BJ28" i="1"/>
  <c r="BK28" i="1" s="1"/>
  <c r="W274" i="1"/>
  <c r="BJ274" i="1"/>
  <c r="BK274" i="1" s="1"/>
  <c r="BI274" i="1"/>
  <c r="BI270" i="1"/>
  <c r="BJ270" i="1"/>
  <c r="BK270" i="1" s="1"/>
  <c r="W53" i="1"/>
  <c r="BI53" i="1"/>
  <c r="BJ53" i="1"/>
  <c r="BK53" i="1" s="1"/>
  <c r="W256" i="1"/>
  <c r="BJ256" i="1"/>
  <c r="BK256" i="1" s="1"/>
  <c r="BI256" i="1"/>
  <c r="BJ248" i="1"/>
  <c r="BK248" i="1" s="1"/>
  <c r="BI248" i="1"/>
  <c r="W240" i="1"/>
  <c r="BJ240" i="1"/>
  <c r="BK240" i="1" s="1"/>
  <c r="BI240" i="1"/>
  <c r="BJ232" i="1"/>
  <c r="BK232" i="1" s="1"/>
  <c r="BI232" i="1"/>
  <c r="BJ224" i="1"/>
  <c r="BK224" i="1" s="1"/>
  <c r="BI224" i="1"/>
  <c r="BJ216" i="1"/>
  <c r="BK216" i="1" s="1"/>
  <c r="BI216" i="1"/>
  <c r="BJ208" i="1"/>
  <c r="BK208" i="1" s="1"/>
  <c r="BI208" i="1"/>
  <c r="BJ200" i="1"/>
  <c r="BK200" i="1" s="1"/>
  <c r="BI200" i="1"/>
  <c r="BJ192" i="1"/>
  <c r="BK192" i="1" s="1"/>
  <c r="BI192" i="1"/>
  <c r="BJ365" i="1"/>
  <c r="BK365" i="1" s="1"/>
  <c r="BI365" i="1"/>
  <c r="BJ361" i="1"/>
  <c r="BK361" i="1" s="1"/>
  <c r="BI361" i="1"/>
  <c r="BJ184" i="1"/>
  <c r="BK184" i="1" s="1"/>
  <c r="BI184" i="1"/>
  <c r="BJ354" i="1"/>
  <c r="BK354" i="1" s="1"/>
  <c r="BI354" i="1"/>
  <c r="W175" i="1"/>
  <c r="BJ175" i="1"/>
  <c r="BK175" i="1" s="1"/>
  <c r="BI175" i="1"/>
  <c r="W167" i="1"/>
  <c r="BJ167" i="1"/>
  <c r="BK167" i="1" s="1"/>
  <c r="BI167" i="1"/>
  <c r="BI159" i="1"/>
  <c r="BJ159" i="1"/>
  <c r="BK159" i="1" s="1"/>
  <c r="BJ346" i="1"/>
  <c r="BK346" i="1" s="1"/>
  <c r="BI346" i="1"/>
  <c r="W50" i="1"/>
  <c r="BI50" i="1"/>
  <c r="BJ50" i="1"/>
  <c r="BK50" i="1" s="1"/>
  <c r="W337" i="1"/>
  <c r="BJ337" i="1"/>
  <c r="BK337" i="1" s="1"/>
  <c r="BI337" i="1"/>
  <c r="BJ329" i="1"/>
  <c r="BK329" i="1" s="1"/>
  <c r="BI329" i="1"/>
  <c r="BJ141" i="1"/>
  <c r="BK141" i="1" s="1"/>
  <c r="BI141" i="1"/>
  <c r="W57" i="1"/>
  <c r="BJ57" i="1"/>
  <c r="BK57" i="1" s="1"/>
  <c r="BI57" i="1"/>
  <c r="W265" i="1"/>
  <c r="BJ265" i="1"/>
  <c r="BK265" i="1" s="1"/>
  <c r="BI265" i="1"/>
  <c r="BJ75" i="1"/>
  <c r="BK75" i="1" s="1"/>
  <c r="BI75" i="1"/>
  <c r="BJ241" i="1"/>
  <c r="BK241" i="1" s="1"/>
  <c r="BI241" i="1"/>
  <c r="EH409" i="1"/>
  <c r="ES409" i="1" s="1"/>
  <c r="EE379" i="1"/>
  <c r="BJ27" i="1"/>
  <c r="BK27" i="1" s="1"/>
  <c r="BI27" i="1"/>
  <c r="BJ129" i="1"/>
  <c r="BK129" i="1" s="1"/>
  <c r="BI129" i="1"/>
  <c r="W121" i="1"/>
  <c r="BI121" i="1"/>
  <c r="BJ121" i="1"/>
  <c r="BK121" i="1" s="1"/>
  <c r="BJ113" i="1"/>
  <c r="BK113" i="1" s="1"/>
  <c r="BI113" i="1"/>
  <c r="W325" i="1"/>
  <c r="BJ325" i="1"/>
  <c r="BK325" i="1" s="1"/>
  <c r="BI325" i="1"/>
  <c r="W105" i="1"/>
  <c r="BJ105" i="1"/>
  <c r="BK105" i="1" s="1"/>
  <c r="BI105" i="1"/>
  <c r="W97" i="1"/>
  <c r="BJ97" i="1"/>
  <c r="BK97" i="1" s="1"/>
  <c r="BI97" i="1"/>
  <c r="BJ405" i="1"/>
  <c r="BK405" i="1" s="1"/>
  <c r="BI405" i="1"/>
  <c r="W312" i="1"/>
  <c r="BI312" i="1"/>
  <c r="BJ312" i="1"/>
  <c r="BK312" i="1" s="1"/>
  <c r="BJ403" i="1"/>
  <c r="BK403" i="1" s="1"/>
  <c r="BI403" i="1"/>
  <c r="BJ395" i="1"/>
  <c r="BK395" i="1" s="1"/>
  <c r="BI395" i="1"/>
  <c r="BI304" i="1"/>
  <c r="BJ304" i="1"/>
  <c r="BK304" i="1" s="1"/>
  <c r="BJ21" i="1"/>
  <c r="BK21" i="1" s="1"/>
  <c r="BI21" i="1"/>
  <c r="BI16" i="1"/>
  <c r="BJ16" i="1"/>
  <c r="BK16" i="1" s="1"/>
  <c r="BJ399" i="1"/>
  <c r="BK399" i="1" s="1"/>
  <c r="BI399" i="1"/>
  <c r="W259" i="1"/>
  <c r="BI259" i="1"/>
  <c r="BJ259" i="1"/>
  <c r="BK259" i="1" s="1"/>
  <c r="DO409" i="1"/>
  <c r="DP409" i="1" s="1"/>
  <c r="DX409" i="1" s="1"/>
  <c r="CX409" i="1" s="1"/>
  <c r="BJ302" i="1"/>
  <c r="BK302" i="1" s="1"/>
  <c r="BI302" i="1"/>
  <c r="BJ294" i="1"/>
  <c r="BK294" i="1" s="1"/>
  <c r="BI294" i="1"/>
  <c r="BJ87" i="1"/>
  <c r="BK87" i="1" s="1"/>
  <c r="BI87" i="1"/>
  <c r="BJ79" i="1"/>
  <c r="BK79" i="1" s="1"/>
  <c r="BI79" i="1"/>
  <c r="W73" i="1"/>
  <c r="BJ73" i="1"/>
  <c r="BK73" i="1" s="1"/>
  <c r="BI73" i="1"/>
  <c r="W65" i="1"/>
  <c r="BJ65" i="1"/>
  <c r="BK65" i="1" s="1"/>
  <c r="BI65" i="1"/>
  <c r="BJ385" i="1"/>
  <c r="BK385" i="1" s="1"/>
  <c r="BI385" i="1"/>
  <c r="BJ382" i="1"/>
  <c r="BK382" i="1" s="1"/>
  <c r="BI382" i="1"/>
  <c r="BI374" i="1"/>
  <c r="BJ374" i="1"/>
  <c r="BK374" i="1" s="1"/>
  <c r="BJ47" i="1"/>
  <c r="BK47" i="1" s="1"/>
  <c r="BI47" i="1"/>
  <c r="W39" i="1"/>
  <c r="BJ39" i="1"/>
  <c r="BK39" i="1" s="1"/>
  <c r="BI39" i="1"/>
  <c r="BI26" i="1"/>
  <c r="BJ26" i="1"/>
  <c r="BK26" i="1" s="1"/>
  <c r="W273" i="1"/>
  <c r="BJ273" i="1"/>
  <c r="BK273" i="1" s="1"/>
  <c r="BI273" i="1"/>
  <c r="W269" i="1"/>
  <c r="BJ269" i="1"/>
  <c r="BK269" i="1" s="1"/>
  <c r="BI269" i="1"/>
  <c r="W49" i="1"/>
  <c r="BJ49" i="1"/>
  <c r="BK49" i="1" s="1"/>
  <c r="BI49" i="1"/>
  <c r="W255" i="1"/>
  <c r="BJ255" i="1"/>
  <c r="BK255" i="1" s="1"/>
  <c r="BI255" i="1"/>
  <c r="BJ247" i="1"/>
  <c r="BK247" i="1" s="1"/>
  <c r="BI247" i="1"/>
  <c r="W239" i="1"/>
  <c r="BJ239" i="1"/>
  <c r="BK239" i="1" s="1"/>
  <c r="BI239" i="1"/>
  <c r="BJ231" i="1"/>
  <c r="BK231" i="1" s="1"/>
  <c r="BI231" i="1"/>
  <c r="BJ223" i="1"/>
  <c r="BK223" i="1" s="1"/>
  <c r="BI223" i="1"/>
  <c r="BJ215" i="1"/>
  <c r="BK215" i="1" s="1"/>
  <c r="BI215" i="1"/>
  <c r="BJ207" i="1"/>
  <c r="BK207" i="1" s="1"/>
  <c r="BI207" i="1"/>
  <c r="BJ199" i="1"/>
  <c r="BK199" i="1" s="1"/>
  <c r="BI199" i="1"/>
  <c r="BJ191" i="1"/>
  <c r="BK191" i="1" s="1"/>
  <c r="BI191" i="1"/>
  <c r="BJ364" i="1"/>
  <c r="BK364" i="1" s="1"/>
  <c r="BI364" i="1"/>
  <c r="BJ360" i="1"/>
  <c r="BK360" i="1" s="1"/>
  <c r="BI360" i="1"/>
  <c r="BJ183" i="1"/>
  <c r="BK183" i="1" s="1"/>
  <c r="BI183" i="1"/>
  <c r="BJ353" i="1"/>
  <c r="BK353" i="1" s="1"/>
  <c r="BI353" i="1"/>
  <c r="BJ174" i="1"/>
  <c r="BK174" i="1" s="1"/>
  <c r="BI174" i="1"/>
  <c r="BJ166" i="1"/>
  <c r="BK166" i="1" s="1"/>
  <c r="BI166" i="1"/>
  <c r="BJ158" i="1"/>
  <c r="BK158" i="1" s="1"/>
  <c r="BI158" i="1"/>
  <c r="BJ345" i="1"/>
  <c r="BK345" i="1" s="1"/>
  <c r="BI345" i="1"/>
  <c r="BJ344" i="1"/>
  <c r="BK344" i="1" s="1"/>
  <c r="BI344" i="1"/>
  <c r="W336" i="1"/>
  <c r="BJ336" i="1"/>
  <c r="BK336" i="1" s="1"/>
  <c r="BI336" i="1"/>
  <c r="W148" i="1"/>
  <c r="BJ148" i="1"/>
  <c r="BK148" i="1" s="1"/>
  <c r="BI148" i="1"/>
  <c r="W140" i="1"/>
  <c r="BJ140" i="1"/>
  <c r="BK140" i="1" s="1"/>
  <c r="BI140" i="1"/>
  <c r="BJ372" i="1"/>
  <c r="BK372" i="1" s="1"/>
  <c r="BI372" i="1"/>
  <c r="DO390" i="1"/>
  <c r="DP390" i="1" s="1"/>
  <c r="DX390" i="1" s="1"/>
  <c r="CX390" i="1" s="1"/>
  <c r="BJ25" i="1"/>
  <c r="BK25" i="1" s="1"/>
  <c r="BI25" i="1"/>
  <c r="W328" i="1"/>
  <c r="BJ328" i="1"/>
  <c r="BK328" i="1" s="1"/>
  <c r="BI328" i="1"/>
  <c r="BJ128" i="1"/>
  <c r="BK128" i="1" s="1"/>
  <c r="BI128" i="1"/>
  <c r="W120" i="1"/>
  <c r="BJ120" i="1"/>
  <c r="BK120" i="1" s="1"/>
  <c r="BI120" i="1"/>
  <c r="BJ112" i="1"/>
  <c r="BK112" i="1" s="1"/>
  <c r="BI112" i="1"/>
  <c r="W324" i="1"/>
  <c r="BJ324" i="1"/>
  <c r="BK324" i="1" s="1"/>
  <c r="BI324" i="1"/>
  <c r="W104" i="1"/>
  <c r="BI104" i="1"/>
  <c r="BJ104" i="1"/>
  <c r="BK104" i="1" s="1"/>
  <c r="W96" i="1"/>
  <c r="BJ96" i="1"/>
  <c r="BK96" i="1" s="1"/>
  <c r="BI96" i="1"/>
  <c r="BJ319" i="1"/>
  <c r="BK319" i="1" s="1"/>
  <c r="BI319" i="1"/>
  <c r="W311" i="1"/>
  <c r="BJ311" i="1"/>
  <c r="BK311" i="1" s="1"/>
  <c r="BI311" i="1"/>
  <c r="BJ402" i="1"/>
  <c r="BK402" i="1" s="1"/>
  <c r="BI402" i="1"/>
  <c r="BJ394" i="1"/>
  <c r="BK394" i="1" s="1"/>
  <c r="BI394" i="1"/>
  <c r="W303" i="1"/>
  <c r="BJ303" i="1"/>
  <c r="BK303" i="1" s="1"/>
  <c r="BI303" i="1"/>
  <c r="W133" i="1"/>
  <c r="BJ133" i="1"/>
  <c r="BK133" i="1" s="1"/>
  <c r="BI133" i="1"/>
  <c r="BJ15" i="1"/>
  <c r="BK15" i="1" s="1"/>
  <c r="BI15" i="1"/>
  <c r="EB357" i="1"/>
  <c r="BJ301" i="1"/>
  <c r="BK301" i="1" s="1"/>
  <c r="BI301" i="1"/>
  <c r="BJ293" i="1"/>
  <c r="BK293" i="1" s="1"/>
  <c r="BI293" i="1"/>
  <c r="BJ86" i="1"/>
  <c r="BK86" i="1" s="1"/>
  <c r="BI86" i="1"/>
  <c r="BJ78" i="1"/>
  <c r="BK78" i="1" s="1"/>
  <c r="BI78" i="1"/>
  <c r="W72" i="1"/>
  <c r="BJ72" i="1"/>
  <c r="BK72" i="1" s="1"/>
  <c r="BI72" i="1"/>
  <c r="W64" i="1"/>
  <c r="BJ64" i="1"/>
  <c r="BK64" i="1" s="1"/>
  <c r="BI64" i="1"/>
  <c r="BJ384" i="1"/>
  <c r="BK384" i="1" s="1"/>
  <c r="BI384" i="1"/>
  <c r="BI381" i="1"/>
  <c r="BJ381" i="1"/>
  <c r="BK381" i="1" s="1"/>
  <c r="W282" i="1"/>
  <c r="BJ282" i="1"/>
  <c r="BK282" i="1" s="1"/>
  <c r="BI282" i="1"/>
  <c r="BJ46" i="1"/>
  <c r="BK46" i="1" s="1"/>
  <c r="BI46" i="1"/>
  <c r="BI38" i="1"/>
  <c r="BJ38" i="1"/>
  <c r="BK38" i="1" s="1"/>
  <c r="W24" i="1"/>
  <c r="BJ24" i="1"/>
  <c r="BK24" i="1" s="1"/>
  <c r="BI24" i="1"/>
  <c r="W272" i="1"/>
  <c r="BI272" i="1"/>
  <c r="BJ272" i="1"/>
  <c r="BK272" i="1" s="1"/>
  <c r="W268" i="1"/>
  <c r="BI268" i="1"/>
  <c r="BJ268" i="1"/>
  <c r="BK268" i="1" s="1"/>
  <c r="BI262" i="1"/>
  <c r="BJ262" i="1"/>
  <c r="BK262" i="1" s="1"/>
  <c r="W254" i="1"/>
  <c r="BJ254" i="1"/>
  <c r="BK254" i="1" s="1"/>
  <c r="BI254" i="1"/>
  <c r="BJ246" i="1"/>
  <c r="BK246" i="1" s="1"/>
  <c r="BI246" i="1"/>
  <c r="W238" i="1"/>
  <c r="BI238" i="1"/>
  <c r="BJ238" i="1"/>
  <c r="BK238" i="1" s="1"/>
  <c r="W230" i="1"/>
  <c r="BJ230" i="1"/>
  <c r="BK230" i="1" s="1"/>
  <c r="BI230" i="1"/>
  <c r="W222" i="1"/>
  <c r="BJ222" i="1"/>
  <c r="BK222" i="1" s="1"/>
  <c r="BI222" i="1"/>
  <c r="W214" i="1"/>
  <c r="BJ214" i="1"/>
  <c r="BK214" i="1" s="1"/>
  <c r="BI214" i="1"/>
  <c r="BJ206" i="1"/>
  <c r="BK206" i="1" s="1"/>
  <c r="BI206" i="1"/>
  <c r="BJ198" i="1"/>
  <c r="BK198" i="1" s="1"/>
  <c r="BI198" i="1"/>
  <c r="BJ190" i="1"/>
  <c r="BK190" i="1" s="1"/>
  <c r="BI190" i="1"/>
  <c r="BJ363" i="1"/>
  <c r="BK363" i="1" s="1"/>
  <c r="BI363" i="1"/>
  <c r="BJ359" i="1"/>
  <c r="BK359" i="1" s="1"/>
  <c r="BI359" i="1"/>
  <c r="BJ182" i="1"/>
  <c r="BK182" i="1" s="1"/>
  <c r="BI182" i="1"/>
  <c r="BI352" i="1"/>
  <c r="BJ352" i="1"/>
  <c r="BK352" i="1" s="1"/>
  <c r="BJ173" i="1"/>
  <c r="BK173" i="1" s="1"/>
  <c r="BI173" i="1"/>
  <c r="W165" i="1"/>
  <c r="BJ165" i="1"/>
  <c r="BK165" i="1" s="1"/>
  <c r="BI165" i="1"/>
  <c r="W157" i="1"/>
  <c r="BI157" i="1"/>
  <c r="BJ157" i="1"/>
  <c r="BK157" i="1" s="1"/>
  <c r="BJ154" i="1"/>
  <c r="BK154" i="1" s="1"/>
  <c r="BI154" i="1"/>
  <c r="BJ343" i="1"/>
  <c r="BK343" i="1" s="1"/>
  <c r="BI343" i="1"/>
  <c r="W335" i="1"/>
  <c r="BI335" i="1"/>
  <c r="BJ335" i="1"/>
  <c r="BK335" i="1" s="1"/>
  <c r="W147" i="1"/>
  <c r="BJ147" i="1"/>
  <c r="BK147" i="1" s="1"/>
  <c r="BI147" i="1"/>
  <c r="BI139" i="1"/>
  <c r="BJ139" i="1"/>
  <c r="BK139" i="1" s="1"/>
  <c r="BJ219" i="1"/>
  <c r="BK219" i="1" s="1"/>
  <c r="BI219" i="1"/>
  <c r="W37" i="1"/>
  <c r="BJ37" i="1"/>
  <c r="BK37" i="1" s="1"/>
  <c r="BI37" i="1"/>
  <c r="W23" i="1"/>
  <c r="BJ23" i="1"/>
  <c r="BK23" i="1" s="1"/>
  <c r="BI23" i="1"/>
  <c r="W327" i="1"/>
  <c r="BJ327" i="1"/>
  <c r="BK327" i="1" s="1"/>
  <c r="BI327" i="1"/>
  <c r="W127" i="1"/>
  <c r="BI127" i="1"/>
  <c r="BJ127" i="1"/>
  <c r="BK127" i="1" s="1"/>
  <c r="W119" i="1"/>
  <c r="BJ119" i="1"/>
  <c r="BK119" i="1" s="1"/>
  <c r="BI119" i="1"/>
  <c r="BI111" i="1"/>
  <c r="BJ111" i="1"/>
  <c r="BK111" i="1" s="1"/>
  <c r="W323" i="1"/>
  <c r="BJ323" i="1"/>
  <c r="BK323" i="1" s="1"/>
  <c r="BI323" i="1"/>
  <c r="BJ103" i="1"/>
  <c r="BK103" i="1" s="1"/>
  <c r="BI103" i="1"/>
  <c r="BJ411" i="1"/>
  <c r="BK411" i="1" s="1"/>
  <c r="BI411" i="1"/>
  <c r="BJ318" i="1"/>
  <c r="BK318" i="1" s="1"/>
  <c r="BI318" i="1"/>
  <c r="W95" i="1"/>
  <c r="BJ95" i="1"/>
  <c r="BK95" i="1" s="1"/>
  <c r="BI95" i="1"/>
  <c r="BJ401" i="1"/>
  <c r="BK401" i="1" s="1"/>
  <c r="BI401" i="1"/>
  <c r="W310" i="1"/>
  <c r="BJ310" i="1"/>
  <c r="BK310" i="1" s="1"/>
  <c r="BI310" i="1"/>
  <c r="W91" i="1"/>
  <c r="BJ91" i="1"/>
  <c r="BK91" i="1" s="1"/>
  <c r="BI91" i="1"/>
  <c r="BI22" i="1"/>
  <c r="BJ22" i="1"/>
  <c r="BK22" i="1" s="1"/>
  <c r="CK370" i="1"/>
  <c r="BX370" i="1"/>
  <c r="CC370" i="1" s="1"/>
  <c r="BL370" i="1" a="1"/>
  <c r="BL370" i="1" s="1"/>
  <c r="BJ101" i="1"/>
  <c r="BK101" i="1" s="1"/>
  <c r="BI101" i="1"/>
  <c r="BJ389" i="1"/>
  <c r="BK389" i="1" s="1"/>
  <c r="BI389" i="1"/>
  <c r="BJ85" i="1"/>
  <c r="BK85" i="1" s="1"/>
  <c r="BI85" i="1"/>
  <c r="BJ380" i="1"/>
  <c r="BK380" i="1" s="1"/>
  <c r="BI380" i="1"/>
  <c r="W267" i="1"/>
  <c r="BJ267" i="1"/>
  <c r="BK267" i="1" s="1"/>
  <c r="BI267" i="1"/>
  <c r="W221" i="1"/>
  <c r="BJ221" i="1"/>
  <c r="BK221" i="1" s="1"/>
  <c r="BI221" i="1"/>
  <c r="BJ358" i="1"/>
  <c r="BK358" i="1" s="1"/>
  <c r="BI358" i="1"/>
  <c r="BJ156" i="1"/>
  <c r="BK156" i="1" s="1"/>
  <c r="BI156" i="1"/>
  <c r="W146" i="1"/>
  <c r="BJ146" i="1"/>
  <c r="BK146" i="1" s="1"/>
  <c r="BI146" i="1"/>
  <c r="BI378" i="1"/>
  <c r="BJ378" i="1"/>
  <c r="BK378" i="1" s="1"/>
  <c r="W292" i="1"/>
  <c r="BJ292" i="1"/>
  <c r="BK292" i="1" s="1"/>
  <c r="BI292" i="1"/>
  <c r="W71" i="1"/>
  <c r="BJ71" i="1"/>
  <c r="BK71" i="1" s="1"/>
  <c r="BI71" i="1"/>
  <c r="BI383" i="1"/>
  <c r="BJ383" i="1"/>
  <c r="BK383" i="1" s="1"/>
  <c r="W45" i="1"/>
  <c r="BJ45" i="1"/>
  <c r="BK45" i="1" s="1"/>
  <c r="BI45" i="1"/>
  <c r="W36" i="1"/>
  <c r="BJ36" i="1"/>
  <c r="BK36" i="1" s="1"/>
  <c r="BI36" i="1"/>
  <c r="W61" i="1"/>
  <c r="BJ61" i="1"/>
  <c r="BK61" i="1" s="1"/>
  <c r="BI61" i="1"/>
  <c r="W253" i="1"/>
  <c r="BJ253" i="1"/>
  <c r="BK253" i="1" s="1"/>
  <c r="BI253" i="1"/>
  <c r="W237" i="1"/>
  <c r="BJ237" i="1"/>
  <c r="BK237" i="1" s="1"/>
  <c r="BI237" i="1"/>
  <c r="BJ213" i="1"/>
  <c r="BK213" i="1" s="1"/>
  <c r="BI213" i="1"/>
  <c r="BJ197" i="1"/>
  <c r="BK197" i="1" s="1"/>
  <c r="BI197" i="1"/>
  <c r="BJ189" i="1"/>
  <c r="BK189" i="1" s="1"/>
  <c r="BI189" i="1"/>
  <c r="BJ351" i="1"/>
  <c r="BK351" i="1" s="1"/>
  <c r="BI351" i="1"/>
  <c r="BJ164" i="1"/>
  <c r="BK164" i="1" s="1"/>
  <c r="BI164" i="1"/>
  <c r="W153" i="1"/>
  <c r="BI153" i="1"/>
  <c r="BJ153" i="1"/>
  <c r="BK153" i="1" s="1"/>
  <c r="W334" i="1"/>
  <c r="BJ334" i="1"/>
  <c r="BK334" i="1" s="1"/>
  <c r="BI334" i="1"/>
  <c r="BI138" i="1"/>
  <c r="BJ138" i="1"/>
  <c r="BK138" i="1" s="1"/>
  <c r="DO370" i="1"/>
  <c r="DP370" i="1" s="1"/>
  <c r="DX370" i="1" s="1"/>
  <c r="CX370" i="1" s="1"/>
  <c r="BJ35" i="1"/>
  <c r="BK35" i="1" s="1"/>
  <c r="BI35" i="1"/>
  <c r="W18" i="1"/>
  <c r="BJ18" i="1"/>
  <c r="BK18" i="1" s="1"/>
  <c r="BI18" i="1"/>
  <c r="BJ326" i="1"/>
  <c r="BK326" i="1" s="1"/>
  <c r="BI326" i="1"/>
  <c r="BI126" i="1"/>
  <c r="BJ126" i="1"/>
  <c r="BK126" i="1" s="1"/>
  <c r="BI118" i="1"/>
  <c r="BJ118" i="1"/>
  <c r="BK118" i="1" s="1"/>
  <c r="BJ110" i="1"/>
  <c r="BK110" i="1" s="1"/>
  <c r="BI110" i="1"/>
  <c r="BJ322" i="1"/>
  <c r="BK322" i="1" s="1"/>
  <c r="BI322" i="1"/>
  <c r="BJ102" i="1"/>
  <c r="BK102" i="1" s="1"/>
  <c r="BI102" i="1"/>
  <c r="BJ410" i="1"/>
  <c r="BK410" i="1" s="1"/>
  <c r="BI410" i="1"/>
  <c r="BJ317" i="1"/>
  <c r="BK317" i="1" s="1"/>
  <c r="BI317" i="1"/>
  <c r="BJ94" i="1"/>
  <c r="BK94" i="1" s="1"/>
  <c r="BI94" i="1"/>
  <c r="BJ400" i="1"/>
  <c r="BK400" i="1" s="1"/>
  <c r="BI400" i="1"/>
  <c r="BJ309" i="1"/>
  <c r="BK309" i="1" s="1"/>
  <c r="BI309" i="1"/>
  <c r="BJ90" i="1"/>
  <c r="BK90" i="1" s="1"/>
  <c r="BI90" i="1"/>
  <c r="BL287" i="1" a="1"/>
  <c r="BL287" i="1" s="1"/>
  <c r="BJ251" i="1"/>
  <c r="BK251" i="1" s="1"/>
  <c r="BI251" i="1"/>
  <c r="W300" i="1"/>
  <c r="BJ300" i="1"/>
  <c r="BK300" i="1" s="1"/>
  <c r="BI300" i="1"/>
  <c r="W77" i="1"/>
  <c r="BJ77" i="1"/>
  <c r="BK77" i="1" s="1"/>
  <c r="BI77" i="1"/>
  <c r="W63" i="1"/>
  <c r="BJ63" i="1"/>
  <c r="BK63" i="1" s="1"/>
  <c r="BI63" i="1"/>
  <c r="BI281" i="1"/>
  <c r="BJ281" i="1"/>
  <c r="BK281" i="1" s="1"/>
  <c r="W19" i="1"/>
  <c r="BJ19" i="1"/>
  <c r="BK19" i="1" s="1"/>
  <c r="BI19" i="1"/>
  <c r="BI261" i="1"/>
  <c r="BJ261" i="1"/>
  <c r="BK261" i="1" s="1"/>
  <c r="W245" i="1"/>
  <c r="BI245" i="1"/>
  <c r="BJ245" i="1"/>
  <c r="BK245" i="1" s="1"/>
  <c r="BI229" i="1"/>
  <c r="BJ229" i="1"/>
  <c r="BK229" i="1" s="1"/>
  <c r="BJ205" i="1"/>
  <c r="BK205" i="1" s="1"/>
  <c r="BI205" i="1"/>
  <c r="BJ60" i="1"/>
  <c r="BK60" i="1" s="1"/>
  <c r="BI60" i="1"/>
  <c r="W181" i="1"/>
  <c r="BJ181" i="1"/>
  <c r="BK181" i="1" s="1"/>
  <c r="BI181" i="1"/>
  <c r="BJ172" i="1"/>
  <c r="BK172" i="1" s="1"/>
  <c r="BI172" i="1"/>
  <c r="W342" i="1"/>
  <c r="BJ342" i="1"/>
  <c r="BK342" i="1" s="1"/>
  <c r="BI342" i="1"/>
  <c r="EA401" i="1"/>
  <c r="EG345" i="1"/>
  <c r="EM345" i="1" s="1"/>
  <c r="EG370" i="1"/>
  <c r="EM370" i="1" s="1"/>
  <c r="BJ299" i="1"/>
  <c r="BK299" i="1" s="1"/>
  <c r="BI299" i="1"/>
  <c r="BJ291" i="1"/>
  <c r="BK291" i="1" s="1"/>
  <c r="BI291" i="1"/>
  <c r="BJ84" i="1"/>
  <c r="BK84" i="1" s="1"/>
  <c r="BI84" i="1"/>
  <c r="BJ52" i="1"/>
  <c r="BK52" i="1" s="1"/>
  <c r="BI52" i="1"/>
  <c r="BI70" i="1"/>
  <c r="BJ70" i="1"/>
  <c r="BK70" i="1" s="1"/>
  <c r="BJ390" i="1"/>
  <c r="BK390" i="1" s="1"/>
  <c r="BI390" i="1"/>
  <c r="W286" i="1"/>
  <c r="BJ286" i="1"/>
  <c r="BK286" i="1" s="1"/>
  <c r="BI286" i="1"/>
  <c r="BJ379" i="1"/>
  <c r="BK379" i="1" s="1"/>
  <c r="BI379" i="1"/>
  <c r="BJ280" i="1"/>
  <c r="BK280" i="1" s="1"/>
  <c r="BI280" i="1"/>
  <c r="BJ44" i="1"/>
  <c r="BK44" i="1" s="1"/>
  <c r="BI44" i="1"/>
  <c r="BJ17" i="1"/>
  <c r="BK17" i="1" s="1"/>
  <c r="BI17" i="1"/>
  <c r="BJ373" i="1"/>
  <c r="BK373" i="1" s="1"/>
  <c r="BI373" i="1"/>
  <c r="BJ266" i="1"/>
  <c r="BK266" i="1" s="1"/>
  <c r="BI266" i="1"/>
  <c r="W260" i="1"/>
  <c r="BI260" i="1"/>
  <c r="BJ260" i="1"/>
  <c r="BK260" i="1" s="1"/>
  <c r="BJ252" i="1"/>
  <c r="BK252" i="1" s="1"/>
  <c r="BI252" i="1"/>
  <c r="BJ244" i="1"/>
  <c r="BK244" i="1" s="1"/>
  <c r="BI244" i="1"/>
  <c r="BJ236" i="1"/>
  <c r="BK236" i="1" s="1"/>
  <c r="BI236" i="1"/>
  <c r="BJ228" i="1"/>
  <c r="BK228" i="1" s="1"/>
  <c r="BI228" i="1"/>
  <c r="BJ220" i="1"/>
  <c r="BK220" i="1" s="1"/>
  <c r="BI220" i="1"/>
  <c r="BJ212" i="1"/>
  <c r="BK212" i="1" s="1"/>
  <c r="BI212" i="1"/>
  <c r="BJ204" i="1"/>
  <c r="BK204" i="1" s="1"/>
  <c r="BI204" i="1"/>
  <c r="BJ196" i="1"/>
  <c r="BK196" i="1" s="1"/>
  <c r="BI196" i="1"/>
  <c r="BJ369" i="1"/>
  <c r="BK369" i="1" s="1"/>
  <c r="BI369" i="1"/>
  <c r="BI188" i="1"/>
  <c r="BJ188" i="1"/>
  <c r="BK188" i="1" s="1"/>
  <c r="BJ357" i="1"/>
  <c r="BK357" i="1" s="1"/>
  <c r="BI357" i="1"/>
  <c r="BJ180" i="1"/>
  <c r="BK180" i="1" s="1"/>
  <c r="BI180" i="1"/>
  <c r="BJ350" i="1"/>
  <c r="BK350" i="1" s="1"/>
  <c r="BI350" i="1"/>
  <c r="BJ171" i="1"/>
  <c r="BK171" i="1" s="1"/>
  <c r="BI171" i="1"/>
  <c r="BJ163" i="1"/>
  <c r="BK163" i="1" s="1"/>
  <c r="BI163" i="1"/>
  <c r="BI155" i="1"/>
  <c r="BJ155" i="1"/>
  <c r="BK155" i="1" s="1"/>
  <c r="W152" i="1"/>
  <c r="BJ152" i="1"/>
  <c r="BK152" i="1" s="1"/>
  <c r="BI152" i="1"/>
  <c r="W341" i="1"/>
  <c r="BJ341" i="1"/>
  <c r="BK341" i="1" s="1"/>
  <c r="BI341" i="1"/>
  <c r="BJ333" i="1"/>
  <c r="BK333" i="1" s="1"/>
  <c r="BI333" i="1"/>
  <c r="W145" i="1"/>
  <c r="BI145" i="1"/>
  <c r="BJ145" i="1"/>
  <c r="BK145" i="1" s="1"/>
  <c r="BJ137" i="1"/>
  <c r="BK137" i="1" s="1"/>
  <c r="BI137" i="1"/>
  <c r="BL275" i="1" a="1"/>
  <c r="BL275" i="1" s="1"/>
  <c r="EB401" i="1"/>
  <c r="EH406" i="1"/>
  <c r="EU406" i="1" s="1"/>
  <c r="DR402" i="1"/>
  <c r="DS402" i="1" s="1"/>
  <c r="EH388" i="1"/>
  <c r="EU388" i="1" s="1"/>
  <c r="DO367" i="1"/>
  <c r="DP367" i="1" s="1"/>
  <c r="DX367" i="1" s="1"/>
  <c r="CX367" i="1" s="1"/>
  <c r="EC401" i="1"/>
  <c r="EB355" i="1"/>
  <c r="EC402" i="1"/>
  <c r="EE382" i="1"/>
  <c r="EA339" i="1"/>
  <c r="EG178" i="1"/>
  <c r="EM178" i="1" s="1"/>
  <c r="EA56" i="1"/>
  <c r="DO178" i="1"/>
  <c r="DP178" i="1" s="1"/>
  <c r="DX178" i="1" s="1"/>
  <c r="CX178" i="1" s="1"/>
  <c r="EH178" i="1"/>
  <c r="ES178" i="1" s="1"/>
  <c r="EH396" i="1"/>
  <c r="CS406" i="1"/>
  <c r="EA402" i="1"/>
  <c r="EE128" i="1"/>
  <c r="CS348" i="1"/>
  <c r="EH339" i="1"/>
  <c r="EU339" i="1" s="1"/>
  <c r="DO128" i="1"/>
  <c r="DP128" i="1" s="1"/>
  <c r="DX128" i="1" s="1"/>
  <c r="CX128" i="1" s="1"/>
  <c r="EH412" i="1"/>
  <c r="EU412" i="1" s="1"/>
  <c r="DR56" i="1"/>
  <c r="DS56" i="1" s="1"/>
  <c r="EB406" i="1"/>
  <c r="EE406" i="1"/>
  <c r="EA367" i="1"/>
  <c r="EH355" i="1"/>
  <c r="ES355" i="1" s="1"/>
  <c r="EC106" i="1"/>
  <c r="DR412" i="1"/>
  <c r="DS412" i="1" s="1"/>
  <c r="EB367" i="1"/>
  <c r="DO355" i="1"/>
  <c r="DP355" i="1" s="1"/>
  <c r="DX355" i="1" s="1"/>
  <c r="CX355" i="1" s="1"/>
  <c r="EH345" i="1"/>
  <c r="EU345" i="1" s="1"/>
  <c r="CS178" i="1"/>
  <c r="EB399" i="1"/>
  <c r="EE409" i="1"/>
  <c r="EG357" i="1"/>
  <c r="EM357" i="1" s="1"/>
  <c r="EC345" i="1"/>
  <c r="EH308" i="1"/>
  <c r="ES308" i="1" s="1"/>
  <c r="DR173" i="1"/>
  <c r="DS173" i="1" s="1"/>
  <c r="DR154" i="1"/>
  <c r="DS154" i="1" s="1"/>
  <c r="EB69" i="1"/>
  <c r="EA390" i="1"/>
  <c r="DR401" i="1"/>
  <c r="DS401" i="1" s="1"/>
  <c r="EE390" i="1"/>
  <c r="EG401" i="1"/>
  <c r="EM401" i="1" s="1"/>
  <c r="EA262" i="1"/>
  <c r="EC357" i="1"/>
  <c r="EB390" i="1"/>
  <c r="EA373" i="1"/>
  <c r="EG352" i="1"/>
  <c r="EM352" i="1" s="1"/>
  <c r="EA280" i="1"/>
  <c r="EC390" i="1"/>
  <c r="EB373" i="1"/>
  <c r="EH369" i="1"/>
  <c r="ES369" i="1" s="1"/>
  <c r="EH379" i="1"/>
  <c r="ES379" i="1" s="1"/>
  <c r="EE374" i="1"/>
  <c r="DR357" i="1"/>
  <c r="DS357" i="1" s="1"/>
  <c r="EE345" i="1"/>
  <c r="EB280" i="1"/>
  <c r="EE368" i="1"/>
  <c r="DO357" i="1"/>
  <c r="DP357" i="1" s="1"/>
  <c r="DX357" i="1" s="1"/>
  <c r="CX357" i="1" s="1"/>
  <c r="DR409" i="1"/>
  <c r="DS409" i="1" s="1"/>
  <c r="EA378" i="1"/>
  <c r="EH384" i="1"/>
  <c r="EU384" i="1" s="1"/>
  <c r="EB379" i="1"/>
  <c r="EB368" i="1"/>
  <c r="EB363" i="1"/>
  <c r="DO364" i="1"/>
  <c r="DP364" i="1" s="1"/>
  <c r="DX364" i="1" s="1"/>
  <c r="CX364" i="1" s="1"/>
  <c r="DR243" i="1"/>
  <c r="DS243" i="1" s="1"/>
  <c r="EA399" i="1"/>
  <c r="EA363" i="1"/>
  <c r="EB409" i="1"/>
  <c r="EC363" i="1"/>
  <c r="DO220" i="1"/>
  <c r="DP220" i="1" s="1"/>
  <c r="DX220" i="1" s="1"/>
  <c r="CX220" i="1" s="1"/>
  <c r="EA379" i="1"/>
  <c r="DO280" i="1"/>
  <c r="DP280" i="1" s="1"/>
  <c r="DX280" i="1" s="1"/>
  <c r="CX280" i="1" s="1"/>
  <c r="EA154" i="1"/>
  <c r="DR399" i="1"/>
  <c r="DS399" i="1" s="1"/>
  <c r="DO384" i="1"/>
  <c r="DP384" i="1" s="1"/>
  <c r="DX384" i="1" s="1"/>
  <c r="CX384" i="1" s="1"/>
  <c r="EE357" i="1"/>
  <c r="EA182" i="1"/>
  <c r="EB154" i="1"/>
  <c r="EG344" i="1"/>
  <c r="EM344" i="1" s="1"/>
  <c r="EE399" i="1"/>
  <c r="EC384" i="1"/>
  <c r="DR379" i="1"/>
  <c r="DS379" i="1" s="1"/>
  <c r="EA385" i="1"/>
  <c r="ES373" i="1"/>
  <c r="EG363" i="1"/>
  <c r="EM363" i="1" s="1"/>
  <c r="EC356" i="1"/>
  <c r="EH357" i="1"/>
  <c r="ES357" i="1" s="1"/>
  <c r="EC154" i="1"/>
  <c r="EG379" i="1"/>
  <c r="EM379" i="1" s="1"/>
  <c r="EC173" i="1"/>
  <c r="EH399" i="1"/>
  <c r="ES399" i="1" s="1"/>
  <c r="EG373" i="1"/>
  <c r="EM373" i="1" s="1"/>
  <c r="EC379" i="1"/>
  <c r="EH363" i="1"/>
  <c r="EU363" i="1" s="1"/>
  <c r="EB389" i="1"/>
  <c r="EE350" i="1"/>
  <c r="EG390" i="1"/>
  <c r="EM390" i="1" s="1"/>
  <c r="DO350" i="1"/>
  <c r="DP350" i="1" s="1"/>
  <c r="DX350" i="1" s="1"/>
  <c r="CX350" i="1" s="1"/>
  <c r="EA252" i="1"/>
  <c r="EH44" i="1"/>
  <c r="EU44" i="1" s="1"/>
  <c r="DR389" i="1"/>
  <c r="DS389" i="1" s="1"/>
  <c r="CS408" i="1"/>
  <c r="EA408" i="1"/>
  <c r="DO408" i="1"/>
  <c r="DP408" i="1" s="1"/>
  <c r="DX408" i="1" s="1"/>
  <c r="CX408" i="1" s="1"/>
  <c r="EA393" i="1"/>
  <c r="EE372" i="1"/>
  <c r="EH330" i="1"/>
  <c r="ES330" i="1" s="1"/>
  <c r="EB243" i="1"/>
  <c r="EG241" i="1"/>
  <c r="EM241" i="1" s="1"/>
  <c r="CS379" i="1"/>
  <c r="CS391" i="1"/>
  <c r="EH398" i="1"/>
  <c r="EU398" i="1" s="1"/>
  <c r="EB378" i="1"/>
  <c r="EG393" i="1"/>
  <c r="EM393" i="1" s="1"/>
  <c r="EG372" i="1"/>
  <c r="EM372" i="1" s="1"/>
  <c r="EB366" i="1"/>
  <c r="EC373" i="1"/>
  <c r="EC350" i="1"/>
  <c r="EH397" i="1"/>
  <c r="EU397" i="1" s="1"/>
  <c r="DO393" i="1"/>
  <c r="DP393" i="1" s="1"/>
  <c r="DX393" i="1" s="1"/>
  <c r="CX393" i="1" s="1"/>
  <c r="EA362" i="1"/>
  <c r="DO54" i="1"/>
  <c r="DP54" i="1" s="1"/>
  <c r="DX54" i="1" s="1"/>
  <c r="CX54" i="1" s="1"/>
  <c r="CS372" i="1"/>
  <c r="EE373" i="1"/>
  <c r="DO389" i="1"/>
  <c r="DP389" i="1" s="1"/>
  <c r="DX389" i="1" s="1"/>
  <c r="CX389" i="1" s="1"/>
  <c r="EH378" i="1"/>
  <c r="ES378" i="1" s="1"/>
  <c r="CS356" i="1"/>
  <c r="CS390" i="1"/>
  <c r="DO373" i="1"/>
  <c r="DP373" i="1" s="1"/>
  <c r="DX373" i="1" s="1"/>
  <c r="CX373" i="1" s="1"/>
  <c r="CS362" i="1"/>
  <c r="DO376" i="1"/>
  <c r="DP376" i="1" s="1"/>
  <c r="DX376" i="1" s="1"/>
  <c r="CX376" i="1" s="1"/>
  <c r="EH309" i="1"/>
  <c r="EU309" i="1" s="1"/>
  <c r="DR393" i="1"/>
  <c r="DS393" i="1" s="1"/>
  <c r="EE362" i="1"/>
  <c r="CS220" i="1"/>
  <c r="EG378" i="1"/>
  <c r="EM378" i="1" s="1"/>
  <c r="DR398" i="1"/>
  <c r="DS398" i="1" s="1"/>
  <c r="EA376" i="1"/>
  <c r="EB362" i="1"/>
  <c r="EG349" i="1"/>
  <c r="EM349" i="1" s="1"/>
  <c r="EA225" i="1"/>
  <c r="EA372" i="1"/>
  <c r="EG69" i="1"/>
  <c r="EM69" i="1" s="1"/>
  <c r="EH280" i="1"/>
  <c r="ES280" i="1" s="1"/>
  <c r="DO387" i="1"/>
  <c r="DP387" i="1" s="1"/>
  <c r="DX387" i="1" s="1"/>
  <c r="CX387" i="1" s="1"/>
  <c r="EB387" i="1"/>
  <c r="EB376" i="1"/>
  <c r="EB241" i="1"/>
  <c r="DR390" i="1"/>
  <c r="DS390" i="1" s="1"/>
  <c r="CS373" i="1"/>
  <c r="CS280" i="1"/>
  <c r="EA389" i="1"/>
  <c r="EC393" i="1"/>
  <c r="DO379" i="1"/>
  <c r="DP379" i="1" s="1"/>
  <c r="DX379" i="1" s="1"/>
  <c r="CX379" i="1" s="1"/>
  <c r="EC225" i="1"/>
  <c r="CS357" i="1"/>
  <c r="EC387" i="1"/>
  <c r="CS378" i="1"/>
  <c r="EA391" i="1"/>
  <c r="EB408" i="1"/>
  <c r="EG399" i="1"/>
  <c r="EM399" i="1" s="1"/>
  <c r="DO378" i="1"/>
  <c r="DP378" i="1" s="1"/>
  <c r="DX378" i="1" s="1"/>
  <c r="CX378" i="1" s="1"/>
  <c r="EG389" i="1"/>
  <c r="EM389" i="1" s="1"/>
  <c r="EC391" i="1"/>
  <c r="EC362" i="1"/>
  <c r="EG338" i="1"/>
  <c r="EM338" i="1" s="1"/>
  <c r="DO391" i="1"/>
  <c r="DP391" i="1" s="1"/>
  <c r="DX391" i="1" s="1"/>
  <c r="CX391" i="1" s="1"/>
  <c r="EG368" i="1"/>
  <c r="EM368" i="1" s="1"/>
  <c r="DR368" i="1"/>
  <c r="DS368" i="1" s="1"/>
  <c r="EA357" i="1"/>
  <c r="EH338" i="1"/>
  <c r="EU338" i="1" s="1"/>
  <c r="EE280" i="1"/>
  <c r="DO225" i="1"/>
  <c r="DP225" i="1" s="1"/>
  <c r="DX225" i="1" s="1"/>
  <c r="CX225" i="1" s="1"/>
  <c r="CS101" i="1"/>
  <c r="EG408" i="1"/>
  <c r="EM408" i="1" s="1"/>
  <c r="EE408" i="1"/>
  <c r="EG400" i="1"/>
  <c r="EM400" i="1" s="1"/>
  <c r="DO309" i="1"/>
  <c r="DP309" i="1" s="1"/>
  <c r="DX309" i="1" s="1"/>
  <c r="CX309" i="1" s="1"/>
  <c r="DR261" i="1"/>
  <c r="DS261" i="1" s="1"/>
  <c r="EC69" i="1"/>
  <c r="EC392" i="1"/>
  <c r="CS309" i="1"/>
  <c r="DO410" i="1"/>
  <c r="DP410" i="1" s="1"/>
  <c r="DX410" i="1" s="1"/>
  <c r="CX410" i="1" s="1"/>
  <c r="DR309" i="1"/>
  <c r="DS309" i="1" s="1"/>
  <c r="EB54" i="1"/>
  <c r="EH410" i="1"/>
  <c r="ES410" i="1" s="1"/>
  <c r="EA383" i="1"/>
  <c r="EB351" i="1"/>
  <c r="EA309" i="1"/>
  <c r="DO154" i="1"/>
  <c r="DP154" i="1" s="1"/>
  <c r="DX154" i="1" s="1"/>
  <c r="CX154" i="1" s="1"/>
  <c r="CS383" i="1"/>
  <c r="CS173" i="1"/>
  <c r="EB372" i="1"/>
  <c r="EC309" i="1"/>
  <c r="DR400" i="1"/>
  <c r="DS400" i="1" s="1"/>
  <c r="EE358" i="1"/>
  <c r="DR101" i="1"/>
  <c r="DS101" i="1" s="1"/>
  <c r="EC261" i="1"/>
  <c r="EC156" i="1"/>
  <c r="CS410" i="1"/>
  <c r="EA375" i="1"/>
  <c r="EB391" i="1"/>
  <c r="EB224" i="1"/>
  <c r="EB410" i="1"/>
  <c r="EB384" i="1"/>
  <c r="EA351" i="1"/>
  <c r="EG380" i="1"/>
  <c r="EM380" i="1" s="1"/>
  <c r="CS407" i="1"/>
  <c r="EC224" i="1"/>
  <c r="EA380" i="1"/>
  <c r="EG383" i="1"/>
  <c r="EM383" i="1" s="1"/>
  <c r="EC358" i="1"/>
  <c r="DR54" i="1"/>
  <c r="DS54" i="1" s="1"/>
  <c r="CS380" i="1"/>
  <c r="EB375" i="1"/>
  <c r="EE380" i="1"/>
  <c r="EC383" i="1"/>
  <c r="DO358" i="1"/>
  <c r="DP358" i="1" s="1"/>
  <c r="DX358" i="1" s="1"/>
  <c r="CX358" i="1" s="1"/>
  <c r="EE54" i="1"/>
  <c r="EE383" i="1"/>
  <c r="EE384" i="1"/>
  <c r="EA358" i="1"/>
  <c r="EH69" i="1"/>
  <c r="EU69" i="1" s="1"/>
  <c r="EE378" i="1"/>
  <c r="EC243" i="1"/>
  <c r="CS54" i="1"/>
  <c r="EC400" i="1"/>
  <c r="CS363" i="1"/>
  <c r="CS384" i="1"/>
  <c r="CS389" i="1"/>
  <c r="CS154" i="1"/>
  <c r="EC382" i="1"/>
  <c r="EA183" i="1"/>
  <c r="S373" i="1"/>
  <c r="R373" i="1"/>
  <c r="EB364" i="1"/>
  <c r="EH382" i="1"/>
  <c r="EU382" i="1" s="1"/>
  <c r="DR374" i="1"/>
  <c r="DS374" i="1" s="1"/>
  <c r="EA364" i="1"/>
  <c r="EG47" i="1"/>
  <c r="EM47" i="1" s="1"/>
  <c r="CS183" i="1"/>
  <c r="DR385" i="1"/>
  <c r="DS385" i="1" s="1"/>
  <c r="EB374" i="1"/>
  <c r="EG364" i="1"/>
  <c r="EM364" i="1" s="1"/>
  <c r="EH47" i="1"/>
  <c r="ES47" i="1" s="1"/>
  <c r="R360" i="1"/>
  <c r="S360" i="1"/>
  <c r="DO385" i="1"/>
  <c r="DP385" i="1" s="1"/>
  <c r="DX385" i="1" s="1"/>
  <c r="CX385" i="1" s="1"/>
  <c r="EH374" i="1"/>
  <c r="EU374" i="1" s="1"/>
  <c r="EE183" i="1"/>
  <c r="CS364" i="1"/>
  <c r="EG387" i="1"/>
  <c r="EM387" i="1" s="1"/>
  <c r="EA387" i="1"/>
  <c r="DR387" i="1"/>
  <c r="DS387" i="1" s="1"/>
  <c r="EE387" i="1"/>
  <c r="Z29" i="1"/>
  <c r="AA29" i="1" s="1"/>
  <c r="W29" i="1"/>
  <c r="DO241" i="1"/>
  <c r="DP241" i="1" s="1"/>
  <c r="DX241" i="1" s="1"/>
  <c r="CX241" i="1" s="1"/>
  <c r="EE241" i="1"/>
  <c r="CS241" i="1"/>
  <c r="EE225" i="1"/>
  <c r="CS225" i="1"/>
  <c r="EG225" i="1"/>
  <c r="EM225" i="1" s="1"/>
  <c r="DR362" i="1"/>
  <c r="DS362" i="1" s="1"/>
  <c r="DO362" i="1"/>
  <c r="DP362" i="1" s="1"/>
  <c r="DX362" i="1" s="1"/>
  <c r="CX362" i="1" s="1"/>
  <c r="EH347" i="1"/>
  <c r="Z130" i="1"/>
  <c r="AA130" i="1" s="1"/>
  <c r="W130" i="1"/>
  <c r="Z122" i="1"/>
  <c r="AA122" i="1" s="1"/>
  <c r="W122" i="1"/>
  <c r="Z114" i="1"/>
  <c r="AA114" i="1" s="1"/>
  <c r="W114" i="1"/>
  <c r="Z412" i="1"/>
  <c r="AA412" i="1" s="1"/>
  <c r="AI412" i="1" s="1"/>
  <c r="W412" i="1"/>
  <c r="X412" i="1" s="1"/>
  <c r="BQ412" i="1" s="1"/>
  <c r="BR412" i="1" s="1"/>
  <c r="Z106" i="1"/>
  <c r="AA106" i="1" s="1"/>
  <c r="AI106" i="1" s="1"/>
  <c r="W106" i="1"/>
  <c r="X106" i="1" s="1"/>
  <c r="BQ106" i="1" s="1"/>
  <c r="BR106" i="1" s="1"/>
  <c r="Z98" i="1"/>
  <c r="AA98" i="1" s="1"/>
  <c r="W98" i="1"/>
  <c r="Z406" i="1"/>
  <c r="AA406" i="1" s="1"/>
  <c r="AI406" i="1" s="1"/>
  <c r="W406" i="1"/>
  <c r="X406" i="1" s="1"/>
  <c r="BQ406" i="1" s="1"/>
  <c r="BR406" i="1" s="1"/>
  <c r="Z313" i="1"/>
  <c r="AA313" i="1" s="1"/>
  <c r="W313" i="1"/>
  <c r="Z404" i="1"/>
  <c r="AA404" i="1" s="1"/>
  <c r="AI404" i="1" s="1"/>
  <c r="W404" i="1"/>
  <c r="X404" i="1" s="1"/>
  <c r="BQ404" i="1" s="1"/>
  <c r="BR404" i="1" s="1"/>
  <c r="Z396" i="1"/>
  <c r="AA396" i="1" s="1"/>
  <c r="AI396" i="1" s="1"/>
  <c r="W396" i="1"/>
  <c r="X396" i="1" s="1"/>
  <c r="BQ396" i="1" s="1"/>
  <c r="BR396" i="1" s="1"/>
  <c r="Z305" i="1"/>
  <c r="AA305" i="1" s="1"/>
  <c r="W305" i="1"/>
  <c r="EG374" i="1"/>
  <c r="EM374" i="1" s="1"/>
  <c r="Z392" i="1"/>
  <c r="AA392" i="1" s="1"/>
  <c r="AI392" i="1" s="1"/>
  <c r="W392" i="1"/>
  <c r="X392" i="1" s="1"/>
  <c r="BQ392" i="1" s="1"/>
  <c r="BR392" i="1" s="1"/>
  <c r="Z295" i="1"/>
  <c r="AA295" i="1" s="1"/>
  <c r="W295" i="1"/>
  <c r="Z88" i="1"/>
  <c r="AA88" i="1" s="1"/>
  <c r="W88" i="1"/>
  <c r="Z80" i="1"/>
  <c r="AA80" i="1" s="1"/>
  <c r="W80" i="1"/>
  <c r="EA374" i="1"/>
  <c r="Z27" i="1"/>
  <c r="AA27" i="1" s="1"/>
  <c r="W27" i="1"/>
  <c r="EE224" i="1"/>
  <c r="Z129" i="1"/>
  <c r="AA129" i="1" s="1"/>
  <c r="W129" i="1"/>
  <c r="Z121" i="1"/>
  <c r="AA121" i="1" s="1"/>
  <c r="Z302" i="1"/>
  <c r="AA302" i="1" s="1"/>
  <c r="W302" i="1"/>
  <c r="Z294" i="1"/>
  <c r="AA294" i="1" s="1"/>
  <c r="W294" i="1"/>
  <c r="Z87" i="1"/>
  <c r="AA87" i="1" s="1"/>
  <c r="W87" i="1"/>
  <c r="Z79" i="1"/>
  <c r="AA79" i="1" s="1"/>
  <c r="W79" i="1"/>
  <c r="Z25" i="1"/>
  <c r="AA25" i="1" s="1"/>
  <c r="W25" i="1"/>
  <c r="EC360" i="1"/>
  <c r="EC183" i="1"/>
  <c r="DO183" i="1"/>
  <c r="DP183" i="1" s="1"/>
  <c r="DX183" i="1" s="1"/>
  <c r="CX183" i="1" s="1"/>
  <c r="EB385" i="1"/>
  <c r="Z301" i="1"/>
  <c r="AA301" i="1" s="1"/>
  <c r="W301" i="1"/>
  <c r="Z293" i="1"/>
  <c r="AA293" i="1" s="1"/>
  <c r="W293" i="1"/>
  <c r="Z86" i="1"/>
  <c r="AA86" i="1" s="1"/>
  <c r="W86" i="1"/>
  <c r="Z78" i="1"/>
  <c r="AA78" i="1" s="1"/>
  <c r="W78" i="1"/>
  <c r="EC385" i="1"/>
  <c r="DO374" i="1"/>
  <c r="DP374" i="1" s="1"/>
  <c r="DX374" i="1" s="1"/>
  <c r="CX374" i="1" s="1"/>
  <c r="CS385" i="1"/>
  <c r="DR183" i="1"/>
  <c r="DS183" i="1" s="1"/>
  <c r="EA382" i="1"/>
  <c r="EC374" i="1"/>
  <c r="CS360" i="1"/>
  <c r="DO380" i="1"/>
  <c r="DP380" i="1" s="1"/>
  <c r="DX380" i="1" s="1"/>
  <c r="CX380" i="1" s="1"/>
  <c r="EB380" i="1"/>
  <c r="EC380" i="1"/>
  <c r="Z35" i="1"/>
  <c r="AA35" i="1" s="1"/>
  <c r="AI35" i="1" s="1"/>
  <c r="W35" i="1"/>
  <c r="X35" i="1" s="1"/>
  <c r="BQ35" i="1" s="1"/>
  <c r="BR35" i="1" s="1"/>
  <c r="Z18" i="1"/>
  <c r="AA18" i="1" s="1"/>
  <c r="EG261" i="1"/>
  <c r="EM261" i="1" s="1"/>
  <c r="CS261" i="1"/>
  <c r="EB358" i="1"/>
  <c r="DR358" i="1"/>
  <c r="DS358" i="1" s="1"/>
  <c r="EH358" i="1"/>
  <c r="EG156" i="1"/>
  <c r="EM156" i="1" s="1"/>
  <c r="EE156" i="1"/>
  <c r="EH156" i="1"/>
  <c r="EU156" i="1" s="1"/>
  <c r="Z326" i="1"/>
  <c r="AA326" i="1" s="1"/>
  <c r="W326" i="1"/>
  <c r="Z126" i="1"/>
  <c r="AA126" i="1" s="1"/>
  <c r="W126" i="1"/>
  <c r="Z118" i="1"/>
  <c r="AA118" i="1" s="1"/>
  <c r="W118" i="1"/>
  <c r="Z110" i="1"/>
  <c r="AA110" i="1" s="1"/>
  <c r="W110" i="1"/>
  <c r="Z322" i="1"/>
  <c r="AA322" i="1" s="1"/>
  <c r="W322" i="1"/>
  <c r="Z102" i="1"/>
  <c r="AA102" i="1" s="1"/>
  <c r="W102" i="1"/>
  <c r="Z410" i="1"/>
  <c r="AA410" i="1" s="1"/>
  <c r="AI410" i="1" s="1"/>
  <c r="W410" i="1"/>
  <c r="X410" i="1" s="1"/>
  <c r="BQ410" i="1" s="1"/>
  <c r="BR410" i="1" s="1"/>
  <c r="Z317" i="1"/>
  <c r="AA317" i="1" s="1"/>
  <c r="W317" i="1"/>
  <c r="Z94" i="1"/>
  <c r="AA94" i="1" s="1"/>
  <c r="W94" i="1"/>
  <c r="Z400" i="1"/>
  <c r="AA400" i="1" s="1"/>
  <c r="AI400" i="1" s="1"/>
  <c r="W400" i="1"/>
  <c r="X400" i="1" s="1"/>
  <c r="BQ400" i="1" s="1"/>
  <c r="BR400" i="1" s="1"/>
  <c r="Z309" i="1"/>
  <c r="AA309" i="1" s="1"/>
  <c r="AI309" i="1" s="1"/>
  <c r="W309" i="1"/>
  <c r="X309" i="1" s="1"/>
  <c r="BQ309" i="1" s="1"/>
  <c r="BR309" i="1" s="1"/>
  <c r="Z90" i="1"/>
  <c r="AA90" i="1" s="1"/>
  <c r="W90" i="1"/>
  <c r="S363" i="1"/>
  <c r="R363" i="1"/>
  <c r="EB183" i="1"/>
  <c r="Z299" i="1"/>
  <c r="AA299" i="1" s="1"/>
  <c r="W299" i="1"/>
  <c r="Z291" i="1"/>
  <c r="AA291" i="1" s="1"/>
  <c r="W291" i="1"/>
  <c r="Z84" i="1"/>
  <c r="AA84" i="1" s="1"/>
  <c r="W84" i="1"/>
  <c r="W52" i="1"/>
  <c r="Z52" i="1"/>
  <c r="AA52" i="1" s="1"/>
  <c r="Z70" i="1"/>
  <c r="AA70" i="1" s="1"/>
  <c r="W70" i="1"/>
  <c r="Z390" i="1"/>
  <c r="AA390" i="1" s="1"/>
  <c r="AI390" i="1" s="1"/>
  <c r="W390" i="1"/>
  <c r="X390" i="1" s="1"/>
  <c r="BQ390" i="1" s="1"/>
  <c r="BR390" i="1" s="1"/>
  <c r="Z286" i="1"/>
  <c r="AA286" i="1" s="1"/>
  <c r="Z379" i="1"/>
  <c r="AA379" i="1" s="1"/>
  <c r="AI379" i="1" s="1"/>
  <c r="W379" i="1"/>
  <c r="X379" i="1" s="1"/>
  <c r="BQ379" i="1" s="1"/>
  <c r="BR379" i="1" s="1"/>
  <c r="Z280" i="1"/>
  <c r="AA280" i="1" s="1"/>
  <c r="AI280" i="1" s="1"/>
  <c r="W280" i="1"/>
  <c r="X280" i="1" s="1"/>
  <c r="BQ280" i="1" s="1"/>
  <c r="BR280" i="1" s="1"/>
  <c r="Z44" i="1"/>
  <c r="AA44" i="1" s="1"/>
  <c r="AI44" i="1" s="1"/>
  <c r="W44" i="1"/>
  <c r="X44" i="1" s="1"/>
  <c r="BQ44" i="1" s="1"/>
  <c r="BR44" i="1" s="1"/>
  <c r="Z17" i="1"/>
  <c r="AA17" i="1" s="1"/>
  <c r="W17" i="1"/>
  <c r="Z373" i="1"/>
  <c r="AA373" i="1" s="1"/>
  <c r="AI373" i="1" s="1"/>
  <c r="W373" i="1"/>
  <c r="X373" i="1" s="1"/>
  <c r="BQ373" i="1" s="1"/>
  <c r="BR373" i="1" s="1"/>
  <c r="Z266" i="1"/>
  <c r="AA266" i="1" s="1"/>
  <c r="W266" i="1"/>
  <c r="Z260" i="1"/>
  <c r="AA260" i="1" s="1"/>
  <c r="Z252" i="1"/>
  <c r="AA252" i="1" s="1"/>
  <c r="AI252" i="1" s="1"/>
  <c r="W252" i="1"/>
  <c r="X252" i="1" s="1"/>
  <c r="BQ252" i="1" s="1"/>
  <c r="BR252" i="1" s="1"/>
  <c r="Z244" i="1"/>
  <c r="AA244" i="1" s="1"/>
  <c r="W244" i="1"/>
  <c r="Z236" i="1"/>
  <c r="AA236" i="1" s="1"/>
  <c r="W236" i="1"/>
  <c r="Z228" i="1"/>
  <c r="AA228" i="1" s="1"/>
  <c r="W228" i="1"/>
  <c r="Z220" i="1"/>
  <c r="AA220" i="1" s="1"/>
  <c r="AI220" i="1" s="1"/>
  <c r="W220" i="1"/>
  <c r="X220" i="1" s="1"/>
  <c r="BQ220" i="1" s="1"/>
  <c r="BR220" i="1" s="1"/>
  <c r="Z212" i="1"/>
  <c r="AA212" i="1" s="1"/>
  <c r="W212" i="1"/>
  <c r="Z204" i="1"/>
  <c r="AA204" i="1" s="1"/>
  <c r="Z196" i="1"/>
  <c r="AA196" i="1" s="1"/>
  <c r="Z369" i="1"/>
  <c r="AA369" i="1" s="1"/>
  <c r="AI369" i="1" s="1"/>
  <c r="W369" i="1"/>
  <c r="X369" i="1" s="1"/>
  <c r="BQ369" i="1" s="1"/>
  <c r="BR369" i="1" s="1"/>
  <c r="Z188" i="1"/>
  <c r="AA188" i="1" s="1"/>
  <c r="Z357" i="1"/>
  <c r="AA357" i="1" s="1"/>
  <c r="AI357" i="1" s="1"/>
  <c r="W357" i="1"/>
  <c r="X357" i="1" s="1"/>
  <c r="BQ357" i="1" s="1"/>
  <c r="BR357" i="1" s="1"/>
  <c r="Z180" i="1"/>
  <c r="AA180" i="1" s="1"/>
  <c r="W180" i="1"/>
  <c r="Z350" i="1"/>
  <c r="AA350" i="1" s="1"/>
  <c r="AI350" i="1" s="1"/>
  <c r="W350" i="1"/>
  <c r="X350" i="1" s="1"/>
  <c r="BQ350" i="1" s="1"/>
  <c r="BR350" i="1" s="1"/>
  <c r="Z171" i="1"/>
  <c r="AA171" i="1" s="1"/>
  <c r="W171" i="1"/>
  <c r="Z163" i="1"/>
  <c r="AA163" i="1" s="1"/>
  <c r="W163" i="1"/>
  <c r="Z155" i="1"/>
  <c r="AA155" i="1" s="1"/>
  <c r="W155" i="1"/>
  <c r="Z152" i="1"/>
  <c r="AA152" i="1" s="1"/>
  <c r="Z341" i="1"/>
  <c r="AA341" i="1" s="1"/>
  <c r="Z333" i="1"/>
  <c r="AA333" i="1" s="1"/>
  <c r="W333" i="1"/>
  <c r="Z145" i="1"/>
  <c r="AA145" i="1" s="1"/>
  <c r="Z137" i="1"/>
  <c r="AA137" i="1" s="1"/>
  <c r="W137" i="1"/>
  <c r="DR410" i="1"/>
  <c r="DS410" i="1" s="1"/>
  <c r="EA400" i="1"/>
  <c r="EB400" i="1"/>
  <c r="EG309" i="1"/>
  <c r="EM309" i="1" s="1"/>
  <c r="EE309" i="1"/>
  <c r="DO368" i="1"/>
  <c r="DP368" i="1" s="1"/>
  <c r="DX368" i="1" s="1"/>
  <c r="CX368" i="1" s="1"/>
  <c r="Z298" i="1"/>
  <c r="AA298" i="1" s="1"/>
  <c r="Z290" i="1"/>
  <c r="AA290" i="1" s="1"/>
  <c r="Z83" i="1"/>
  <c r="AA83" i="1" s="1"/>
  <c r="Z391" i="1"/>
  <c r="AA391" i="1" s="1"/>
  <c r="AI391" i="1" s="1"/>
  <c r="W391" i="1"/>
  <c r="X391" i="1" s="1"/>
  <c r="BQ391" i="1" s="1"/>
  <c r="BR391" i="1" s="1"/>
  <c r="W34" i="1"/>
  <c r="X34" i="1" s="1"/>
  <c r="BQ34" i="1" s="1"/>
  <c r="BR34" i="1" s="1"/>
  <c r="Z34" i="1"/>
  <c r="AA34" i="1" s="1"/>
  <c r="AI34" i="1" s="1"/>
  <c r="Z16" i="1"/>
  <c r="AA16" i="1" s="1"/>
  <c r="Z133" i="1"/>
  <c r="AA133" i="1" s="1"/>
  <c r="Z125" i="1"/>
  <c r="AA125" i="1" s="1"/>
  <c r="Z117" i="1"/>
  <c r="AA117" i="1" s="1"/>
  <c r="Z109" i="1"/>
  <c r="AA109" i="1" s="1"/>
  <c r="Z321" i="1"/>
  <c r="AA321" i="1" s="1"/>
  <c r="Z101" i="1"/>
  <c r="AA101" i="1" s="1"/>
  <c r="AI101" i="1" s="1"/>
  <c r="W101" i="1"/>
  <c r="X101" i="1" s="1"/>
  <c r="BQ101" i="1" s="1"/>
  <c r="BR101" i="1" s="1"/>
  <c r="Z409" i="1"/>
  <c r="AA409" i="1" s="1"/>
  <c r="AI409" i="1" s="1"/>
  <c r="W409" i="1"/>
  <c r="X409" i="1" s="1"/>
  <c r="BQ409" i="1" s="1"/>
  <c r="BR409" i="1" s="1"/>
  <c r="Z316" i="1"/>
  <c r="AA316" i="1" s="1"/>
  <c r="Z93" i="1"/>
  <c r="AA93" i="1" s="1"/>
  <c r="Z399" i="1"/>
  <c r="AA399" i="1" s="1"/>
  <c r="AI399" i="1" s="1"/>
  <c r="W399" i="1"/>
  <c r="X399" i="1" s="1"/>
  <c r="BQ399" i="1" s="1"/>
  <c r="BR399" i="1" s="1"/>
  <c r="Z308" i="1"/>
  <c r="AA308" i="1" s="1"/>
  <c r="AI308" i="1" s="1"/>
  <c r="W308" i="1"/>
  <c r="X308" i="1" s="1"/>
  <c r="BQ308" i="1" s="1"/>
  <c r="BR308" i="1" s="1"/>
  <c r="Z89" i="1"/>
  <c r="AA89" i="1" s="1"/>
  <c r="EA69" i="1"/>
  <c r="DO243" i="1"/>
  <c r="DP243" i="1" s="1"/>
  <c r="DX243" i="1" s="1"/>
  <c r="CX243" i="1" s="1"/>
  <c r="EA368" i="1"/>
  <c r="Z69" i="1"/>
  <c r="AA69" i="1" s="1"/>
  <c r="AI69" i="1" s="1"/>
  <c r="W69" i="1"/>
  <c r="X69" i="1" s="1"/>
  <c r="BQ69" i="1" s="1"/>
  <c r="BR69" i="1" s="1"/>
  <c r="Z389" i="1"/>
  <c r="AA389" i="1" s="1"/>
  <c r="AI389" i="1" s="1"/>
  <c r="W389" i="1"/>
  <c r="X389" i="1" s="1"/>
  <c r="BQ389" i="1" s="1"/>
  <c r="BR389" i="1" s="1"/>
  <c r="Z285" i="1"/>
  <c r="AA285" i="1" s="1"/>
  <c r="W285" i="1"/>
  <c r="Z378" i="1"/>
  <c r="AA378" i="1" s="1"/>
  <c r="AI378" i="1" s="1"/>
  <c r="W378" i="1"/>
  <c r="X378" i="1" s="1"/>
  <c r="BQ378" i="1" s="1"/>
  <c r="BR378" i="1" s="1"/>
  <c r="Z279" i="1"/>
  <c r="AA279" i="1" s="1"/>
  <c r="Z43" i="1"/>
  <c r="AA43" i="1" s="1"/>
  <c r="Z15" i="1"/>
  <c r="AA15" i="1" s="1"/>
  <c r="Z372" i="1"/>
  <c r="AA372" i="1" s="1"/>
  <c r="AI372" i="1" s="1"/>
  <c r="W372" i="1"/>
  <c r="X372" i="1" s="1"/>
  <c r="BQ372" i="1" s="1"/>
  <c r="BR372" i="1" s="1"/>
  <c r="Z265" i="1"/>
  <c r="AA265" i="1" s="1"/>
  <c r="Z259" i="1"/>
  <c r="AA259" i="1" s="1"/>
  <c r="Z251" i="1"/>
  <c r="AA251" i="1" s="1"/>
  <c r="AI251" i="1" s="1"/>
  <c r="W251" i="1"/>
  <c r="X251" i="1" s="1"/>
  <c r="BQ251" i="1" s="1"/>
  <c r="BR251" i="1" s="1"/>
  <c r="Z243" i="1"/>
  <c r="AA243" i="1" s="1"/>
  <c r="AI243" i="1" s="1"/>
  <c r="W243" i="1"/>
  <c r="X243" i="1" s="1"/>
  <c r="BQ243" i="1" s="1"/>
  <c r="BR243" i="1" s="1"/>
  <c r="Z235" i="1"/>
  <c r="AA235" i="1" s="1"/>
  <c r="Z227" i="1"/>
  <c r="AA227" i="1" s="1"/>
  <c r="Z219" i="1"/>
  <c r="AA219" i="1" s="1"/>
  <c r="Z211" i="1"/>
  <c r="AA211" i="1" s="1"/>
  <c r="Z203" i="1"/>
  <c r="AA203" i="1" s="1"/>
  <c r="AI203" i="1" s="1"/>
  <c r="Z195" i="1"/>
  <c r="AA195" i="1" s="1"/>
  <c r="Z368" i="1"/>
  <c r="AA368" i="1" s="1"/>
  <c r="AI368" i="1" s="1"/>
  <c r="W368" i="1"/>
  <c r="X368" i="1" s="1"/>
  <c r="BQ368" i="1" s="1"/>
  <c r="BR368" i="1" s="1"/>
  <c r="Z187" i="1"/>
  <c r="AA187" i="1" s="1"/>
  <c r="Z356" i="1"/>
  <c r="AA356" i="1" s="1"/>
  <c r="AI356" i="1" s="1"/>
  <c r="W356" i="1"/>
  <c r="X356" i="1" s="1"/>
  <c r="BQ356" i="1" s="1"/>
  <c r="BR356" i="1" s="1"/>
  <c r="Z179" i="1"/>
  <c r="AA179" i="1" s="1"/>
  <c r="AI179" i="1" s="1"/>
  <c r="W179" i="1"/>
  <c r="X179" i="1" s="1"/>
  <c r="BQ179" i="1" s="1"/>
  <c r="BR179" i="1" s="1"/>
  <c r="Z349" i="1"/>
  <c r="AA349" i="1" s="1"/>
  <c r="AI349" i="1" s="1"/>
  <c r="W349" i="1"/>
  <c r="X349" i="1" s="1"/>
  <c r="BQ349" i="1" s="1"/>
  <c r="BR349" i="1" s="1"/>
  <c r="Z170" i="1"/>
  <c r="AA170" i="1" s="1"/>
  <c r="AI170" i="1" s="1"/>
  <c r="Z162" i="1"/>
  <c r="AA162" i="1" s="1"/>
  <c r="Z62" i="1"/>
  <c r="AA62" i="1" s="1"/>
  <c r="Z151" i="1"/>
  <c r="AA151" i="1" s="1"/>
  <c r="Z340" i="1"/>
  <c r="AA340" i="1" s="1"/>
  <c r="Z332" i="1"/>
  <c r="AA332" i="1" s="1"/>
  <c r="Z144" i="1"/>
  <c r="AA144" i="1" s="1"/>
  <c r="W144" i="1"/>
  <c r="Z136" i="1"/>
  <c r="AA136" i="1" s="1"/>
  <c r="S385" i="1"/>
  <c r="R385" i="1"/>
  <c r="W16" i="1"/>
  <c r="Z297" i="1"/>
  <c r="AA297" i="1" s="1"/>
  <c r="Z289" i="1"/>
  <c r="AA289" i="1" s="1"/>
  <c r="Z82" i="1"/>
  <c r="AA82" i="1" s="1"/>
  <c r="Z33" i="1"/>
  <c r="AA33" i="1" s="1"/>
  <c r="Z14" i="1"/>
  <c r="AA14" i="1" s="1"/>
  <c r="Z132" i="1"/>
  <c r="AA132" i="1" s="1"/>
  <c r="Z124" i="1"/>
  <c r="AA124" i="1" s="1"/>
  <c r="Z116" i="1"/>
  <c r="AA116" i="1" s="1"/>
  <c r="Z108" i="1"/>
  <c r="AA108" i="1" s="1"/>
  <c r="Z320" i="1"/>
  <c r="AA320" i="1" s="1"/>
  <c r="Z100" i="1"/>
  <c r="AA100" i="1" s="1"/>
  <c r="Z408" i="1"/>
  <c r="AA408" i="1" s="1"/>
  <c r="AI408" i="1" s="1"/>
  <c r="W408" i="1"/>
  <c r="X408" i="1" s="1"/>
  <c r="BQ408" i="1" s="1"/>
  <c r="BR408" i="1" s="1"/>
  <c r="Z315" i="1"/>
  <c r="AA315" i="1" s="1"/>
  <c r="Z92" i="1"/>
  <c r="AA92" i="1" s="1"/>
  <c r="Z398" i="1"/>
  <c r="AA398" i="1" s="1"/>
  <c r="AI398" i="1" s="1"/>
  <c r="W398" i="1"/>
  <c r="X398" i="1" s="1"/>
  <c r="BQ398" i="1" s="1"/>
  <c r="BR398" i="1" s="1"/>
  <c r="Z307" i="1"/>
  <c r="AA307" i="1" s="1"/>
  <c r="Z55" i="1"/>
  <c r="AA55" i="1" s="1"/>
  <c r="DO69" i="1"/>
  <c r="DP69" i="1" s="1"/>
  <c r="DX69" i="1" s="1"/>
  <c r="CX69" i="1" s="1"/>
  <c r="CS179" i="1"/>
  <c r="EE243" i="1"/>
  <c r="Z76" i="1"/>
  <c r="AA76" i="1" s="1"/>
  <c r="Z68" i="1"/>
  <c r="AA68" i="1" s="1"/>
  <c r="AI68" i="1" s="1"/>
  <c r="W68" i="1"/>
  <c r="X68" i="1" s="1"/>
  <c r="BQ68" i="1" s="1"/>
  <c r="BR68" i="1" s="1"/>
  <c r="Z388" i="1"/>
  <c r="AA388" i="1" s="1"/>
  <c r="AI388" i="1" s="1"/>
  <c r="W388" i="1"/>
  <c r="X388" i="1" s="1"/>
  <c r="BQ388" i="1" s="1"/>
  <c r="BR388" i="1" s="1"/>
  <c r="Z284" i="1"/>
  <c r="AA284" i="1" s="1"/>
  <c r="Z377" i="1"/>
  <c r="AA377" i="1" s="1"/>
  <c r="AI377" i="1" s="1"/>
  <c r="W377" i="1"/>
  <c r="X377" i="1" s="1"/>
  <c r="BQ377" i="1" s="1"/>
  <c r="BR377" i="1" s="1"/>
  <c r="Z278" i="1"/>
  <c r="AA278" i="1" s="1"/>
  <c r="Z42" i="1"/>
  <c r="AA42" i="1" s="1"/>
  <c r="Z32" i="1"/>
  <c r="AA32" i="1" s="1"/>
  <c r="Z56" i="1"/>
  <c r="AA56" i="1" s="1"/>
  <c r="AI56" i="1" s="1"/>
  <c r="W56" i="1"/>
  <c r="X56" i="1" s="1"/>
  <c r="BQ56" i="1" s="1"/>
  <c r="BR56" i="1" s="1"/>
  <c r="Z371" i="1"/>
  <c r="AA371" i="1" s="1"/>
  <c r="AI371" i="1" s="1"/>
  <c r="W371" i="1"/>
  <c r="X371" i="1" s="1"/>
  <c r="BQ371" i="1" s="1"/>
  <c r="BR371" i="1" s="1"/>
  <c r="Z264" i="1"/>
  <c r="AA264" i="1" s="1"/>
  <c r="Z258" i="1"/>
  <c r="AA258" i="1" s="1"/>
  <c r="Z250" i="1"/>
  <c r="AA250" i="1" s="1"/>
  <c r="Z242" i="1"/>
  <c r="AA242" i="1" s="1"/>
  <c r="Z234" i="1"/>
  <c r="AA234" i="1" s="1"/>
  <c r="Z226" i="1"/>
  <c r="AA226" i="1" s="1"/>
  <c r="Z218" i="1"/>
  <c r="AA218" i="1" s="1"/>
  <c r="Z210" i="1"/>
  <c r="AA210" i="1" s="1"/>
  <c r="Z202" i="1"/>
  <c r="AA202" i="1" s="1"/>
  <c r="Z194" i="1"/>
  <c r="AA194" i="1" s="1"/>
  <c r="Z367" i="1"/>
  <c r="AA367" i="1" s="1"/>
  <c r="AI367" i="1" s="1"/>
  <c r="W367" i="1"/>
  <c r="X367" i="1" s="1"/>
  <c r="BQ367" i="1" s="1"/>
  <c r="BR367" i="1" s="1"/>
  <c r="Z186" i="1"/>
  <c r="AA186" i="1" s="1"/>
  <c r="Z355" i="1"/>
  <c r="AA355" i="1" s="1"/>
  <c r="AI355" i="1" s="1"/>
  <c r="W355" i="1"/>
  <c r="X355" i="1" s="1"/>
  <c r="BQ355" i="1" s="1"/>
  <c r="BR355" i="1" s="1"/>
  <c r="Z178" i="1"/>
  <c r="AA178" i="1" s="1"/>
  <c r="AI178" i="1" s="1"/>
  <c r="W178" i="1"/>
  <c r="X178" i="1" s="1"/>
  <c r="BQ178" i="1" s="1"/>
  <c r="BR178" i="1" s="1"/>
  <c r="Z177" i="1"/>
  <c r="AA177" i="1" s="1"/>
  <c r="Z169" i="1"/>
  <c r="AA169" i="1" s="1"/>
  <c r="Z161" i="1"/>
  <c r="AA161" i="1" s="1"/>
  <c r="Z348" i="1"/>
  <c r="AA348" i="1" s="1"/>
  <c r="AI348" i="1" s="1"/>
  <c r="W348" i="1"/>
  <c r="X348" i="1" s="1"/>
  <c r="BQ348" i="1" s="1"/>
  <c r="BR348" i="1" s="1"/>
  <c r="Z150" i="1"/>
  <c r="AA150" i="1" s="1"/>
  <c r="Z339" i="1"/>
  <c r="AA339" i="1" s="1"/>
  <c r="AI339" i="1" s="1"/>
  <c r="W339" i="1"/>
  <c r="X339" i="1" s="1"/>
  <c r="BQ339" i="1" s="1"/>
  <c r="BR339" i="1" s="1"/>
  <c r="Z331" i="1"/>
  <c r="AA331" i="1" s="1"/>
  <c r="AI331" i="1" s="1"/>
  <c r="W331" i="1"/>
  <c r="X331" i="1" s="1"/>
  <c r="BQ331" i="1" s="1"/>
  <c r="BR331" i="1" s="1"/>
  <c r="Z143" i="1"/>
  <c r="AA143" i="1" s="1"/>
  <c r="Z135" i="1"/>
  <c r="AA135" i="1" s="1"/>
  <c r="S384" i="1"/>
  <c r="R384" i="1"/>
  <c r="AB370" i="1"/>
  <c r="W162" i="1"/>
  <c r="W289" i="1"/>
  <c r="EG243" i="1"/>
  <c r="EM243" i="1" s="1"/>
  <c r="Z393" i="1"/>
  <c r="AA393" i="1" s="1"/>
  <c r="AI393" i="1" s="1"/>
  <c r="W393" i="1"/>
  <c r="X393" i="1" s="1"/>
  <c r="BQ393" i="1" s="1"/>
  <c r="BR393" i="1" s="1"/>
  <c r="Z296" i="1"/>
  <c r="AA296" i="1" s="1"/>
  <c r="Z288" i="1"/>
  <c r="AA288" i="1" s="1"/>
  <c r="Z81" i="1"/>
  <c r="AA81" i="1" s="1"/>
  <c r="Z31" i="1"/>
  <c r="AA31" i="1" s="1"/>
  <c r="Z131" i="1"/>
  <c r="AA131" i="1" s="1"/>
  <c r="Z123" i="1"/>
  <c r="AA123" i="1" s="1"/>
  <c r="W123" i="1"/>
  <c r="Z115" i="1"/>
  <c r="AA115" i="1" s="1"/>
  <c r="W58" i="1"/>
  <c r="Z58" i="1"/>
  <c r="AA58" i="1" s="1"/>
  <c r="Z107" i="1"/>
  <c r="AA107" i="1" s="1"/>
  <c r="W107" i="1"/>
  <c r="Z99" i="1"/>
  <c r="AA99" i="1" s="1"/>
  <c r="W99" i="1"/>
  <c r="Z407" i="1"/>
  <c r="AA407" i="1" s="1"/>
  <c r="AI407" i="1" s="1"/>
  <c r="W407" i="1"/>
  <c r="X407" i="1" s="1"/>
  <c r="BQ407" i="1" s="1"/>
  <c r="BR407" i="1" s="1"/>
  <c r="Z314" i="1"/>
  <c r="AA314" i="1" s="1"/>
  <c r="Z54" i="1"/>
  <c r="AA54" i="1" s="1"/>
  <c r="AI54" i="1" s="1"/>
  <c r="W54" i="1"/>
  <c r="X54" i="1" s="1"/>
  <c r="BQ54" i="1" s="1"/>
  <c r="BR54" i="1" s="1"/>
  <c r="Z397" i="1"/>
  <c r="AA397" i="1" s="1"/>
  <c r="AI397" i="1" s="1"/>
  <c r="W397" i="1"/>
  <c r="X397" i="1" s="1"/>
  <c r="BQ397" i="1" s="1"/>
  <c r="BR397" i="1" s="1"/>
  <c r="Z306" i="1"/>
  <c r="AA306" i="1" s="1"/>
  <c r="R364" i="1"/>
  <c r="S364" i="1"/>
  <c r="S358" i="1"/>
  <c r="R358" i="1"/>
  <c r="W235" i="1"/>
  <c r="W125" i="1"/>
  <c r="W76" i="1"/>
  <c r="W116" i="1"/>
  <c r="W219" i="1"/>
  <c r="W117" i="1"/>
  <c r="Z75" i="1"/>
  <c r="AA75" i="1" s="1"/>
  <c r="W75" i="1"/>
  <c r="Z67" i="1"/>
  <c r="AA67" i="1" s="1"/>
  <c r="W67" i="1"/>
  <c r="Z387" i="1"/>
  <c r="AA387" i="1" s="1"/>
  <c r="AI387" i="1" s="1"/>
  <c r="W387" i="1"/>
  <c r="X387" i="1" s="1"/>
  <c r="BQ387" i="1" s="1"/>
  <c r="BR387" i="1" s="1"/>
  <c r="Z283" i="1"/>
  <c r="AA283" i="1" s="1"/>
  <c r="Z376" i="1"/>
  <c r="AA376" i="1" s="1"/>
  <c r="AI376" i="1" s="1"/>
  <c r="W376" i="1"/>
  <c r="X376" i="1" s="1"/>
  <c r="BQ376" i="1" s="1"/>
  <c r="BR376" i="1" s="1"/>
  <c r="Z277" i="1"/>
  <c r="AA277" i="1" s="1"/>
  <c r="Z41" i="1"/>
  <c r="AA41" i="1" s="1"/>
  <c r="Z30" i="1"/>
  <c r="AA30" i="1" s="1"/>
  <c r="Z48" i="1"/>
  <c r="AA48" i="1" s="1"/>
  <c r="Z271" i="1"/>
  <c r="AA271" i="1" s="1"/>
  <c r="Z263" i="1"/>
  <c r="AA263" i="1" s="1"/>
  <c r="Z257" i="1"/>
  <c r="AA257" i="1" s="1"/>
  <c r="Z249" i="1"/>
  <c r="AA249" i="1" s="1"/>
  <c r="Z241" i="1"/>
  <c r="AA241" i="1" s="1"/>
  <c r="AI241" i="1" s="1"/>
  <c r="W241" i="1"/>
  <c r="X241" i="1" s="1"/>
  <c r="BQ241" i="1" s="1"/>
  <c r="BR241" i="1" s="1"/>
  <c r="Z233" i="1"/>
  <c r="AA233" i="1" s="1"/>
  <c r="Z225" i="1"/>
  <c r="AA225" i="1" s="1"/>
  <c r="AI225" i="1" s="1"/>
  <c r="W225" i="1"/>
  <c r="X225" i="1" s="1"/>
  <c r="BQ225" i="1" s="1"/>
  <c r="BR225" i="1" s="1"/>
  <c r="Z217" i="1"/>
  <c r="AA217" i="1" s="1"/>
  <c r="W217" i="1"/>
  <c r="Z209" i="1"/>
  <c r="AA209" i="1" s="1"/>
  <c r="Z201" i="1"/>
  <c r="AA201" i="1" s="1"/>
  <c r="Z193" i="1"/>
  <c r="AA193" i="1" s="1"/>
  <c r="Z366" i="1"/>
  <c r="AA366" i="1" s="1"/>
  <c r="AI366" i="1" s="1"/>
  <c r="W366" i="1"/>
  <c r="X366" i="1" s="1"/>
  <c r="BQ366" i="1" s="1"/>
  <c r="BR366" i="1" s="1"/>
  <c r="Z362" i="1"/>
  <c r="AA362" i="1" s="1"/>
  <c r="AI362" i="1" s="1"/>
  <c r="W362" i="1"/>
  <c r="X362" i="1" s="1"/>
  <c r="BQ362" i="1" s="1"/>
  <c r="BR362" i="1" s="1"/>
  <c r="Z185" i="1"/>
  <c r="AA185" i="1" s="1"/>
  <c r="Z59" i="1"/>
  <c r="AA59" i="1" s="1"/>
  <c r="W59" i="1"/>
  <c r="Z176" i="1"/>
  <c r="AA176" i="1" s="1"/>
  <c r="Z168" i="1"/>
  <c r="AA168" i="1" s="1"/>
  <c r="Z160" i="1"/>
  <c r="AA160" i="1" s="1"/>
  <c r="Z347" i="1"/>
  <c r="AA347" i="1" s="1"/>
  <c r="AI347" i="1" s="1"/>
  <c r="W347" i="1"/>
  <c r="X347" i="1" s="1"/>
  <c r="BQ347" i="1" s="1"/>
  <c r="BR347" i="1" s="1"/>
  <c r="Z149" i="1"/>
  <c r="AA149" i="1" s="1"/>
  <c r="Z338" i="1"/>
  <c r="AA338" i="1" s="1"/>
  <c r="AI338" i="1" s="1"/>
  <c r="W338" i="1"/>
  <c r="X338" i="1" s="1"/>
  <c r="BQ338" i="1" s="1"/>
  <c r="BR338" i="1" s="1"/>
  <c r="Z330" i="1"/>
  <c r="AA330" i="1" s="1"/>
  <c r="AI330" i="1" s="1"/>
  <c r="W330" i="1"/>
  <c r="X330" i="1" s="1"/>
  <c r="BQ330" i="1" s="1"/>
  <c r="BR330" i="1" s="1"/>
  <c r="Z142" i="1"/>
  <c r="AA142" i="1" s="1"/>
  <c r="Z134" i="1"/>
  <c r="AA134" i="1" s="1"/>
  <c r="W134" i="1"/>
  <c r="R348" i="1"/>
  <c r="S348" i="1"/>
  <c r="W234" i="1"/>
  <c r="W124" i="1"/>
  <c r="Z22" i="1"/>
  <c r="AA22" i="1" s="1"/>
  <c r="W307" i="1"/>
  <c r="W115" i="1"/>
  <c r="W297" i="1"/>
  <c r="W168" i="1"/>
  <c r="W290" i="1"/>
  <c r="S412" i="1"/>
  <c r="R412" i="1"/>
  <c r="W177" i="1"/>
  <c r="W176" i="1"/>
  <c r="EH344" i="1"/>
  <c r="EU344" i="1" s="1"/>
  <c r="Z74" i="1"/>
  <c r="AA74" i="1" s="1"/>
  <c r="Z66" i="1"/>
  <c r="AA66" i="1" s="1"/>
  <c r="W66" i="1"/>
  <c r="Z386" i="1"/>
  <c r="AA386" i="1" s="1"/>
  <c r="AI386" i="1" s="1"/>
  <c r="W386" i="1"/>
  <c r="X386" i="1" s="1"/>
  <c r="BQ386" i="1" s="1"/>
  <c r="BR386" i="1" s="1"/>
  <c r="Z51" i="1"/>
  <c r="AA51" i="1" s="1"/>
  <c r="Z375" i="1"/>
  <c r="AA375" i="1" s="1"/>
  <c r="AI375" i="1" s="1"/>
  <c r="W375" i="1"/>
  <c r="X375" i="1" s="1"/>
  <c r="BQ375" i="1" s="1"/>
  <c r="BR375" i="1" s="1"/>
  <c r="Z276" i="1"/>
  <c r="AA276" i="1" s="1"/>
  <c r="Z40" i="1"/>
  <c r="AA40" i="1" s="1"/>
  <c r="Z28" i="1"/>
  <c r="AA28" i="1" s="1"/>
  <c r="Z274" i="1"/>
  <c r="AA274" i="1" s="1"/>
  <c r="Z270" i="1"/>
  <c r="AA270" i="1" s="1"/>
  <c r="Z53" i="1"/>
  <c r="AA53" i="1" s="1"/>
  <c r="Z256" i="1"/>
  <c r="AA256" i="1" s="1"/>
  <c r="Z248" i="1"/>
  <c r="AA248" i="1" s="1"/>
  <c r="Z240" i="1"/>
  <c r="AA240" i="1" s="1"/>
  <c r="Z232" i="1"/>
  <c r="AA232" i="1" s="1"/>
  <c r="Z224" i="1"/>
  <c r="AA224" i="1" s="1"/>
  <c r="AI224" i="1" s="1"/>
  <c r="W224" i="1"/>
  <c r="X224" i="1" s="1"/>
  <c r="BQ224" i="1" s="1"/>
  <c r="BR224" i="1" s="1"/>
  <c r="Z216" i="1"/>
  <c r="AA216" i="1" s="1"/>
  <c r="Z208" i="1"/>
  <c r="AA208" i="1" s="1"/>
  <c r="Z200" i="1"/>
  <c r="AA200" i="1" s="1"/>
  <c r="Z192" i="1"/>
  <c r="AA192" i="1" s="1"/>
  <c r="Z365" i="1"/>
  <c r="AA365" i="1" s="1"/>
  <c r="AI365" i="1" s="1"/>
  <c r="W365" i="1"/>
  <c r="X365" i="1" s="1"/>
  <c r="BQ365" i="1" s="1"/>
  <c r="BR365" i="1" s="1"/>
  <c r="Z361" i="1"/>
  <c r="AA361" i="1" s="1"/>
  <c r="AI361" i="1" s="1"/>
  <c r="W361" i="1"/>
  <c r="X361" i="1" s="1"/>
  <c r="BQ361" i="1" s="1"/>
  <c r="BR361" i="1" s="1"/>
  <c r="Z184" i="1"/>
  <c r="AA184" i="1" s="1"/>
  <c r="Z354" i="1"/>
  <c r="AA354" i="1" s="1"/>
  <c r="AI354" i="1" s="1"/>
  <c r="W354" i="1"/>
  <c r="X354" i="1" s="1"/>
  <c r="BQ354" i="1" s="1"/>
  <c r="BR354" i="1" s="1"/>
  <c r="Z175" i="1"/>
  <c r="AA175" i="1" s="1"/>
  <c r="Z167" i="1"/>
  <c r="AA167" i="1" s="1"/>
  <c r="Z159" i="1"/>
  <c r="AA159" i="1" s="1"/>
  <c r="W159" i="1"/>
  <c r="Z346" i="1"/>
  <c r="AA346" i="1" s="1"/>
  <c r="AI346" i="1" s="1"/>
  <c r="W346" i="1"/>
  <c r="X346" i="1" s="1"/>
  <c r="BQ346" i="1" s="1"/>
  <c r="BR346" i="1" s="1"/>
  <c r="Z50" i="1"/>
  <c r="AA50" i="1" s="1"/>
  <c r="Z337" i="1"/>
  <c r="AA337" i="1" s="1"/>
  <c r="Z329" i="1"/>
  <c r="AA329" i="1" s="1"/>
  <c r="Z141" i="1"/>
  <c r="AA141" i="1" s="1"/>
  <c r="Z57" i="1"/>
  <c r="AA57" i="1" s="1"/>
  <c r="S403" i="1"/>
  <c r="R403" i="1"/>
  <c r="W329" i="1"/>
  <c r="W270" i="1"/>
  <c r="W232" i="1"/>
  <c r="W216" i="1"/>
  <c r="W93" i="1"/>
  <c r="Z113" i="1"/>
  <c r="AA113" i="1" s="1"/>
  <c r="W113" i="1"/>
  <c r="Z325" i="1"/>
  <c r="AA325" i="1" s="1"/>
  <c r="Z105" i="1"/>
  <c r="AA105" i="1" s="1"/>
  <c r="Z97" i="1"/>
  <c r="AA97" i="1" s="1"/>
  <c r="Z405" i="1"/>
  <c r="AA405" i="1" s="1"/>
  <c r="AI405" i="1" s="1"/>
  <c r="W405" i="1"/>
  <c r="X405" i="1" s="1"/>
  <c r="BQ405" i="1" s="1"/>
  <c r="BR405" i="1" s="1"/>
  <c r="Z312" i="1"/>
  <c r="AA312" i="1" s="1"/>
  <c r="Z403" i="1"/>
  <c r="AA403" i="1" s="1"/>
  <c r="AI403" i="1" s="1"/>
  <c r="W403" i="1"/>
  <c r="X403" i="1" s="1"/>
  <c r="BQ403" i="1" s="1"/>
  <c r="BR403" i="1" s="1"/>
  <c r="Z395" i="1"/>
  <c r="AA395" i="1" s="1"/>
  <c r="AI395" i="1" s="1"/>
  <c r="W395" i="1"/>
  <c r="X395" i="1" s="1"/>
  <c r="BQ395" i="1" s="1"/>
  <c r="BR395" i="1" s="1"/>
  <c r="Z304" i="1"/>
  <c r="AA304" i="1" s="1"/>
  <c r="S352" i="1"/>
  <c r="R352" i="1"/>
  <c r="W306" i="1"/>
  <c r="W30" i="1"/>
  <c r="EC389" i="1"/>
  <c r="EG154" i="1"/>
  <c r="EM154" i="1" s="1"/>
  <c r="Z73" i="1"/>
  <c r="AA73" i="1" s="1"/>
  <c r="Z65" i="1"/>
  <c r="AA65" i="1" s="1"/>
  <c r="Z385" i="1"/>
  <c r="AA385" i="1" s="1"/>
  <c r="AI385" i="1" s="1"/>
  <c r="W385" i="1"/>
  <c r="X385" i="1" s="1"/>
  <c r="BQ385" i="1" s="1"/>
  <c r="BR385" i="1" s="1"/>
  <c r="Z382" i="1"/>
  <c r="AA382" i="1" s="1"/>
  <c r="AI382" i="1" s="1"/>
  <c r="W382" i="1"/>
  <c r="X382" i="1" s="1"/>
  <c r="BQ382" i="1" s="1"/>
  <c r="BR382" i="1" s="1"/>
  <c r="Z374" i="1"/>
  <c r="AA374" i="1" s="1"/>
  <c r="AI374" i="1" s="1"/>
  <c r="W374" i="1"/>
  <c r="X374" i="1" s="1"/>
  <c r="BQ374" i="1" s="1"/>
  <c r="BR374" i="1" s="1"/>
  <c r="Z47" i="1"/>
  <c r="AA47" i="1" s="1"/>
  <c r="AI47" i="1" s="1"/>
  <c r="W47" i="1"/>
  <c r="X47" i="1" s="1"/>
  <c r="BQ47" i="1" s="1"/>
  <c r="BR47" i="1" s="1"/>
  <c r="Z39" i="1"/>
  <c r="AA39" i="1" s="1"/>
  <c r="Z26" i="1"/>
  <c r="AA26" i="1" s="1"/>
  <c r="Z273" i="1"/>
  <c r="AA273" i="1" s="1"/>
  <c r="Z269" i="1"/>
  <c r="AA269" i="1" s="1"/>
  <c r="Z49" i="1"/>
  <c r="AA49" i="1" s="1"/>
  <c r="Z255" i="1"/>
  <c r="AA255" i="1" s="1"/>
  <c r="Z247" i="1"/>
  <c r="AA247" i="1" s="1"/>
  <c r="Z239" i="1"/>
  <c r="AA239" i="1" s="1"/>
  <c r="Z231" i="1"/>
  <c r="AA231" i="1" s="1"/>
  <c r="W231" i="1"/>
  <c r="Z223" i="1"/>
  <c r="AA223" i="1" s="1"/>
  <c r="Z215" i="1"/>
  <c r="AA215" i="1" s="1"/>
  <c r="Z207" i="1"/>
  <c r="AA207" i="1" s="1"/>
  <c r="AI207" i="1" s="1"/>
  <c r="Z199" i="1"/>
  <c r="AA199" i="1" s="1"/>
  <c r="Z191" i="1"/>
  <c r="AA191" i="1" s="1"/>
  <c r="Z364" i="1"/>
  <c r="AA364" i="1" s="1"/>
  <c r="AI364" i="1" s="1"/>
  <c r="W364" i="1"/>
  <c r="X364" i="1" s="1"/>
  <c r="BQ364" i="1" s="1"/>
  <c r="BR364" i="1" s="1"/>
  <c r="Z360" i="1"/>
  <c r="AA360" i="1" s="1"/>
  <c r="AI360" i="1" s="1"/>
  <c r="W360" i="1"/>
  <c r="X360" i="1" s="1"/>
  <c r="BQ360" i="1" s="1"/>
  <c r="BR360" i="1" s="1"/>
  <c r="Z183" i="1"/>
  <c r="AA183" i="1" s="1"/>
  <c r="AI183" i="1" s="1"/>
  <c r="W183" i="1"/>
  <c r="X183" i="1" s="1"/>
  <c r="BQ183" i="1" s="1"/>
  <c r="BR183" i="1" s="1"/>
  <c r="Z353" i="1"/>
  <c r="AA353" i="1" s="1"/>
  <c r="AI353" i="1" s="1"/>
  <c r="W353" i="1"/>
  <c r="X353" i="1" s="1"/>
  <c r="BQ353" i="1" s="1"/>
  <c r="BR353" i="1" s="1"/>
  <c r="Z174" i="1"/>
  <c r="AA174" i="1" s="1"/>
  <c r="Z166" i="1"/>
  <c r="AA166" i="1" s="1"/>
  <c r="Z158" i="1"/>
  <c r="AA158" i="1" s="1"/>
  <c r="W158" i="1"/>
  <c r="Z345" i="1"/>
  <c r="AA345" i="1" s="1"/>
  <c r="AI345" i="1" s="1"/>
  <c r="W345" i="1"/>
  <c r="X345" i="1" s="1"/>
  <c r="BQ345" i="1" s="1"/>
  <c r="BR345" i="1" s="1"/>
  <c r="Z344" i="1"/>
  <c r="AA344" i="1" s="1"/>
  <c r="AI344" i="1" s="1"/>
  <c r="W344" i="1"/>
  <c r="X344" i="1" s="1"/>
  <c r="BQ344" i="1" s="1"/>
  <c r="BR344" i="1" s="1"/>
  <c r="Z336" i="1"/>
  <c r="AA336" i="1" s="1"/>
  <c r="Z148" i="1"/>
  <c r="AA148" i="1" s="1"/>
  <c r="Z140" i="1"/>
  <c r="AA140" i="1" s="1"/>
  <c r="W248" i="1"/>
  <c r="W141" i="1"/>
  <c r="W304" i="1"/>
  <c r="W89" i="1"/>
  <c r="W22" i="1"/>
  <c r="W169" i="1"/>
  <c r="Z328" i="1"/>
  <c r="AA328" i="1" s="1"/>
  <c r="Z128" i="1"/>
  <c r="AA128" i="1" s="1"/>
  <c r="AI128" i="1" s="1"/>
  <c r="W128" i="1"/>
  <c r="X128" i="1" s="1"/>
  <c r="BQ128" i="1" s="1"/>
  <c r="BR128" i="1" s="1"/>
  <c r="Z120" i="1"/>
  <c r="AA120" i="1" s="1"/>
  <c r="Z112" i="1"/>
  <c r="AA112" i="1" s="1"/>
  <c r="Z324" i="1"/>
  <c r="AA324" i="1" s="1"/>
  <c r="Z104" i="1"/>
  <c r="AA104" i="1" s="1"/>
  <c r="Z96" i="1"/>
  <c r="AA96" i="1" s="1"/>
  <c r="Z319" i="1"/>
  <c r="AA319" i="1" s="1"/>
  <c r="Z311" i="1"/>
  <c r="AA311" i="1" s="1"/>
  <c r="Z402" i="1"/>
  <c r="AA402" i="1" s="1"/>
  <c r="AI402" i="1" s="1"/>
  <c r="W402" i="1"/>
  <c r="X402" i="1" s="1"/>
  <c r="BQ402" i="1" s="1"/>
  <c r="BR402" i="1" s="1"/>
  <c r="Z394" i="1"/>
  <c r="AA394" i="1" s="1"/>
  <c r="AI394" i="1" s="1"/>
  <c r="W394" i="1"/>
  <c r="X394" i="1" s="1"/>
  <c r="BQ394" i="1" s="1"/>
  <c r="BR394" i="1" s="1"/>
  <c r="Z303" i="1"/>
  <c r="AA303" i="1" s="1"/>
  <c r="AB287" i="1"/>
  <c r="AI287" i="1" s="1"/>
  <c r="AB275" i="1"/>
  <c r="AI275" i="1" s="1"/>
  <c r="W215" i="1"/>
  <c r="W112" i="1"/>
  <c r="CS243" i="1"/>
  <c r="EB173" i="1"/>
  <c r="Z72" i="1"/>
  <c r="AA72" i="1" s="1"/>
  <c r="Z64" i="1"/>
  <c r="AA64" i="1" s="1"/>
  <c r="Z384" i="1"/>
  <c r="AA384" i="1" s="1"/>
  <c r="AI384" i="1" s="1"/>
  <c r="W384" i="1"/>
  <c r="X384" i="1" s="1"/>
  <c r="BQ384" i="1" s="1"/>
  <c r="BR384" i="1" s="1"/>
  <c r="Z381" i="1"/>
  <c r="AA381" i="1" s="1"/>
  <c r="AI381" i="1" s="1"/>
  <c r="W381" i="1"/>
  <c r="X381" i="1" s="1"/>
  <c r="BQ381" i="1" s="1"/>
  <c r="BR381" i="1" s="1"/>
  <c r="Z282" i="1"/>
  <c r="AA282" i="1" s="1"/>
  <c r="Z46" i="1"/>
  <c r="AA46" i="1" s="1"/>
  <c r="Z38" i="1"/>
  <c r="AA38" i="1" s="1"/>
  <c r="Z24" i="1"/>
  <c r="AA24" i="1" s="1"/>
  <c r="Z272" i="1"/>
  <c r="AA272" i="1" s="1"/>
  <c r="Z268" i="1"/>
  <c r="AA268" i="1" s="1"/>
  <c r="Z262" i="1"/>
  <c r="AA262" i="1" s="1"/>
  <c r="AI262" i="1" s="1"/>
  <c r="W262" i="1"/>
  <c r="X262" i="1" s="1"/>
  <c r="BQ262" i="1" s="1"/>
  <c r="BR262" i="1" s="1"/>
  <c r="Z254" i="1"/>
  <c r="AA254" i="1" s="1"/>
  <c r="Z246" i="1"/>
  <c r="AA246" i="1" s="1"/>
  <c r="Z238" i="1"/>
  <c r="AA238" i="1" s="1"/>
  <c r="Z230" i="1"/>
  <c r="AA230" i="1" s="1"/>
  <c r="Z222" i="1"/>
  <c r="AA222" i="1" s="1"/>
  <c r="Z214" i="1"/>
  <c r="AA214" i="1" s="1"/>
  <c r="Z206" i="1"/>
  <c r="AA206" i="1" s="1"/>
  <c r="Z198" i="1"/>
  <c r="AA198" i="1" s="1"/>
  <c r="Z190" i="1"/>
  <c r="AA190" i="1" s="1"/>
  <c r="Z363" i="1"/>
  <c r="AA363" i="1" s="1"/>
  <c r="AI363" i="1" s="1"/>
  <c r="W363" i="1"/>
  <c r="X363" i="1" s="1"/>
  <c r="BQ363" i="1" s="1"/>
  <c r="BR363" i="1" s="1"/>
  <c r="Z359" i="1"/>
  <c r="AA359" i="1" s="1"/>
  <c r="AI359" i="1" s="1"/>
  <c r="W359" i="1"/>
  <c r="X359" i="1" s="1"/>
  <c r="BQ359" i="1" s="1"/>
  <c r="BR359" i="1" s="1"/>
  <c r="Z182" i="1"/>
  <c r="AA182" i="1" s="1"/>
  <c r="AI182" i="1" s="1"/>
  <c r="W182" i="1"/>
  <c r="X182" i="1" s="1"/>
  <c r="BQ182" i="1" s="1"/>
  <c r="BR182" i="1" s="1"/>
  <c r="Z352" i="1"/>
  <c r="AA352" i="1" s="1"/>
  <c r="AI352" i="1" s="1"/>
  <c r="W352" i="1"/>
  <c r="X352" i="1" s="1"/>
  <c r="BQ352" i="1" s="1"/>
  <c r="BR352" i="1" s="1"/>
  <c r="Z173" i="1"/>
  <c r="AA173" i="1" s="1"/>
  <c r="AI173" i="1" s="1"/>
  <c r="W173" i="1"/>
  <c r="X173" i="1" s="1"/>
  <c r="BQ173" i="1" s="1"/>
  <c r="BR173" i="1" s="1"/>
  <c r="Z165" i="1"/>
  <c r="AA165" i="1" s="1"/>
  <c r="Z157" i="1"/>
  <c r="AA157" i="1" s="1"/>
  <c r="Z154" i="1"/>
  <c r="AA154" i="1" s="1"/>
  <c r="AI154" i="1" s="1"/>
  <c r="W154" i="1"/>
  <c r="X154" i="1" s="1"/>
  <c r="BQ154" i="1" s="1"/>
  <c r="BR154" i="1" s="1"/>
  <c r="Z343" i="1"/>
  <c r="AA343" i="1" s="1"/>
  <c r="AI343" i="1" s="1"/>
  <c r="W343" i="1"/>
  <c r="X343" i="1" s="1"/>
  <c r="BQ343" i="1" s="1"/>
  <c r="BR343" i="1" s="1"/>
  <c r="Z335" i="1"/>
  <c r="AA335" i="1" s="1"/>
  <c r="Z147" i="1"/>
  <c r="AA147" i="1" s="1"/>
  <c r="Z139" i="1"/>
  <c r="AA139" i="1" s="1"/>
  <c r="W139" i="1"/>
  <c r="W319" i="1"/>
  <c r="W246" i="1"/>
  <c r="W226" i="1"/>
  <c r="W62" i="1"/>
  <c r="W166" i="1"/>
  <c r="W211" i="1"/>
  <c r="W92" i="1"/>
  <c r="Z21" i="1"/>
  <c r="AA21" i="1" s="1"/>
  <c r="AI21" i="1" s="1"/>
  <c r="W21" i="1"/>
  <c r="X21" i="1" s="1"/>
  <c r="BQ21" i="1" s="1"/>
  <c r="BR21" i="1" s="1"/>
  <c r="W14" i="1"/>
  <c r="Z300" i="1"/>
  <c r="AA300" i="1" s="1"/>
  <c r="Z292" i="1"/>
  <c r="AA292" i="1" s="1"/>
  <c r="Z85" i="1"/>
  <c r="AA85" i="1" s="1"/>
  <c r="Z77" i="1"/>
  <c r="AA77" i="1" s="1"/>
  <c r="Z37" i="1"/>
  <c r="AA37" i="1" s="1"/>
  <c r="Z23" i="1"/>
  <c r="AA23" i="1" s="1"/>
  <c r="Z327" i="1"/>
  <c r="AA327" i="1" s="1"/>
  <c r="Z127" i="1"/>
  <c r="AA127" i="1" s="1"/>
  <c r="Z119" i="1"/>
  <c r="AA119" i="1" s="1"/>
  <c r="W111" i="1"/>
  <c r="Z111" i="1"/>
  <c r="AA111" i="1" s="1"/>
  <c r="Z323" i="1"/>
  <c r="AA323" i="1" s="1"/>
  <c r="Z103" i="1"/>
  <c r="AA103" i="1" s="1"/>
  <c r="W103" i="1"/>
  <c r="Z411" i="1"/>
  <c r="AA411" i="1" s="1"/>
  <c r="AI411" i="1" s="1"/>
  <c r="W411" i="1"/>
  <c r="X411" i="1" s="1"/>
  <c r="BQ411" i="1" s="1"/>
  <c r="BR411" i="1" s="1"/>
  <c r="Z318" i="1"/>
  <c r="AA318" i="1" s="1"/>
  <c r="Z95" i="1"/>
  <c r="AA95" i="1" s="1"/>
  <c r="Z401" i="1"/>
  <c r="AA401" i="1" s="1"/>
  <c r="AI401" i="1" s="1"/>
  <c r="W401" i="1"/>
  <c r="X401" i="1" s="1"/>
  <c r="BQ401" i="1" s="1"/>
  <c r="BR401" i="1" s="1"/>
  <c r="Z310" i="1"/>
  <c r="AA310" i="1" s="1"/>
  <c r="Z91" i="1"/>
  <c r="AA91" i="1" s="1"/>
  <c r="W318" i="1"/>
  <c r="W223" i="1"/>
  <c r="W85" i="1"/>
  <c r="W100" i="1"/>
  <c r="W174" i="1"/>
  <c r="W38" i="1"/>
  <c r="W108" i="1"/>
  <c r="CS69" i="1"/>
  <c r="Z71" i="1"/>
  <c r="AA71" i="1" s="1"/>
  <c r="Z63" i="1"/>
  <c r="AA63" i="1" s="1"/>
  <c r="Z383" i="1"/>
  <c r="AA383" i="1" s="1"/>
  <c r="AI383" i="1" s="1"/>
  <c r="W383" i="1"/>
  <c r="X383" i="1" s="1"/>
  <c r="BQ383" i="1" s="1"/>
  <c r="BR383" i="1" s="1"/>
  <c r="Z380" i="1"/>
  <c r="AA380" i="1" s="1"/>
  <c r="AI380" i="1" s="1"/>
  <c r="W380" i="1"/>
  <c r="X380" i="1" s="1"/>
  <c r="BQ380" i="1" s="1"/>
  <c r="BR380" i="1" s="1"/>
  <c r="Z281" i="1"/>
  <c r="AA281" i="1" s="1"/>
  <c r="Z45" i="1"/>
  <c r="AA45" i="1" s="1"/>
  <c r="Z36" i="1"/>
  <c r="AA36" i="1" s="1"/>
  <c r="Z19" i="1"/>
  <c r="AA19" i="1" s="1"/>
  <c r="Z61" i="1"/>
  <c r="AA61" i="1" s="1"/>
  <c r="Z267" i="1"/>
  <c r="AA267" i="1" s="1"/>
  <c r="Z261" i="1"/>
  <c r="AA261" i="1" s="1"/>
  <c r="AI261" i="1" s="1"/>
  <c r="W261" i="1"/>
  <c r="X261" i="1" s="1"/>
  <c r="BQ261" i="1" s="1"/>
  <c r="BR261" i="1" s="1"/>
  <c r="Z253" i="1"/>
  <c r="AA253" i="1" s="1"/>
  <c r="Z245" i="1"/>
  <c r="AA245" i="1" s="1"/>
  <c r="Z237" i="1"/>
  <c r="AA237" i="1" s="1"/>
  <c r="Z229" i="1"/>
  <c r="AA229" i="1" s="1"/>
  <c r="W229" i="1"/>
  <c r="Z221" i="1"/>
  <c r="AA221" i="1" s="1"/>
  <c r="Z213" i="1"/>
  <c r="AA213" i="1" s="1"/>
  <c r="W213" i="1"/>
  <c r="Z205" i="1"/>
  <c r="AA205" i="1" s="1"/>
  <c r="Z197" i="1"/>
  <c r="AA197" i="1" s="1"/>
  <c r="AI197" i="1" s="1"/>
  <c r="Z60" i="1"/>
  <c r="AA60" i="1" s="1"/>
  <c r="Z189" i="1"/>
  <c r="AA189" i="1" s="1"/>
  <c r="Z358" i="1"/>
  <c r="AA358" i="1" s="1"/>
  <c r="AI358" i="1" s="1"/>
  <c r="W358" i="1"/>
  <c r="X358" i="1" s="1"/>
  <c r="BQ358" i="1" s="1"/>
  <c r="BR358" i="1" s="1"/>
  <c r="Z181" i="1"/>
  <c r="AA181" i="1" s="1"/>
  <c r="Z351" i="1"/>
  <c r="AA351" i="1" s="1"/>
  <c r="AI351" i="1" s="1"/>
  <c r="W351" i="1"/>
  <c r="X351" i="1" s="1"/>
  <c r="BQ351" i="1" s="1"/>
  <c r="BR351" i="1" s="1"/>
  <c r="Z172" i="1"/>
  <c r="AA172" i="1" s="1"/>
  <c r="W172" i="1"/>
  <c r="Z164" i="1"/>
  <c r="AA164" i="1" s="1"/>
  <c r="W164" i="1"/>
  <c r="Z156" i="1"/>
  <c r="AA156" i="1" s="1"/>
  <c r="AI156" i="1" s="1"/>
  <c r="W156" i="1"/>
  <c r="X156" i="1" s="1"/>
  <c r="BQ156" i="1" s="1"/>
  <c r="BR156" i="1" s="1"/>
  <c r="Z153" i="1"/>
  <c r="AA153" i="1" s="1"/>
  <c r="Z342" i="1"/>
  <c r="AA342" i="1" s="1"/>
  <c r="Z334" i="1"/>
  <c r="AA334" i="1" s="1"/>
  <c r="Z146" i="1"/>
  <c r="AA146" i="1" s="1"/>
  <c r="Z138" i="1"/>
  <c r="AA138" i="1" s="1"/>
  <c r="W138" i="1"/>
  <c r="S391" i="1"/>
  <c r="R391" i="1"/>
  <c r="W281" i="1"/>
  <c r="W264" i="1"/>
  <c r="W135" i="1"/>
  <c r="W60" i="1"/>
  <c r="W46" i="1"/>
  <c r="Z20" i="1"/>
  <c r="AA20" i="1" s="1"/>
  <c r="W15" i="1"/>
  <c r="W170" i="1"/>
  <c r="W160" i="1"/>
  <c r="CS22" i="1"/>
  <c r="W26" i="1"/>
  <c r="ES390" i="1"/>
  <c r="EU370" i="1"/>
  <c r="DR44" i="1"/>
  <c r="DS44" i="1" s="1"/>
  <c r="EE367" i="1"/>
  <c r="EE154" i="1"/>
  <c r="EE371" i="1"/>
  <c r="EE261" i="1"/>
  <c r="EG350" i="1"/>
  <c r="EM350" i="1" s="1"/>
  <c r="CW370" i="1"/>
  <c r="EJ15" i="1"/>
  <c r="EJ315" i="1"/>
  <c r="EJ246" i="1"/>
  <c r="CS73" i="1"/>
  <c r="EJ24" i="1"/>
  <c r="DO21" i="1"/>
  <c r="DP21" i="1" s="1"/>
  <c r="DX21" i="1" s="1"/>
  <c r="CX21" i="1" s="1"/>
  <c r="EJ247" i="1"/>
  <c r="EJ213" i="1"/>
  <c r="EJ278" i="1"/>
  <c r="EJ241" i="1"/>
  <c r="EJ277" i="1"/>
  <c r="EJ181" i="1"/>
  <c r="EJ299" i="1"/>
  <c r="EJ316" i="1"/>
  <c r="EJ48" i="1"/>
  <c r="EJ338" i="1"/>
  <c r="EJ171" i="1"/>
  <c r="EJ71" i="1"/>
  <c r="EJ187" i="1"/>
  <c r="EJ166" i="1"/>
  <c r="EJ70" i="1"/>
  <c r="EJ290" i="1"/>
  <c r="EJ209" i="1"/>
  <c r="EJ327" i="1"/>
  <c r="EJ69" i="1"/>
  <c r="EJ220" i="1"/>
  <c r="EJ161" i="1"/>
  <c r="EJ103" i="1"/>
  <c r="EJ274" i="1"/>
  <c r="EJ193" i="1"/>
  <c r="EJ250" i="1"/>
  <c r="EJ310" i="1"/>
  <c r="EJ135" i="1"/>
  <c r="EJ62" i="1"/>
  <c r="EJ156" i="1"/>
  <c r="EJ262" i="1"/>
  <c r="EJ248" i="1"/>
  <c r="EJ252" i="1"/>
  <c r="EJ197" i="1"/>
  <c r="EJ134" i="1"/>
  <c r="EJ174" i="1"/>
  <c r="EJ258" i="1"/>
  <c r="EJ263" i="1"/>
  <c r="EJ49" i="1"/>
  <c r="EJ302" i="1"/>
  <c r="EJ145" i="1"/>
  <c r="EJ183" i="1"/>
  <c r="EJ158" i="1"/>
  <c r="EJ294" i="1"/>
  <c r="EJ270" i="1"/>
  <c r="EJ195" i="1"/>
  <c r="EJ286" i="1"/>
  <c r="EJ89" i="1"/>
  <c r="EJ345" i="1"/>
  <c r="EJ325" i="1"/>
  <c r="EJ245" i="1"/>
  <c r="EJ329" i="1"/>
  <c r="EJ266" i="1"/>
  <c r="EJ289" i="1"/>
  <c r="EJ291" i="1"/>
  <c r="EJ225" i="1"/>
  <c r="EJ318" i="1"/>
  <c r="EJ136" i="1"/>
  <c r="EJ165" i="1"/>
  <c r="EJ151" i="1"/>
  <c r="EJ53" i="1"/>
  <c r="EJ214" i="1"/>
  <c r="EJ199" i="1"/>
  <c r="EJ124" i="1"/>
  <c r="EJ261" i="1"/>
  <c r="EJ257" i="1"/>
  <c r="EJ99" i="1"/>
  <c r="EJ29" i="1"/>
  <c r="EJ339" i="1"/>
  <c r="EJ296" i="1"/>
  <c r="EJ229" i="1"/>
  <c r="EJ280" i="1"/>
  <c r="EJ163" i="1"/>
  <c r="EJ154" i="1"/>
  <c r="EJ267" i="1"/>
  <c r="EJ238" i="1"/>
  <c r="EJ97" i="1"/>
  <c r="EJ108" i="1"/>
  <c r="EJ142" i="1"/>
  <c r="EJ81" i="1"/>
  <c r="EJ334" i="1"/>
  <c r="EJ226" i="1"/>
  <c r="EJ210" i="1"/>
  <c r="EJ129" i="1"/>
  <c r="EJ58" i="1"/>
  <c r="EJ133" i="1"/>
  <c r="EJ83" i="1"/>
  <c r="EJ32" i="1"/>
  <c r="EJ86" i="1"/>
  <c r="EJ76" i="1"/>
  <c r="EJ43" i="1"/>
  <c r="EJ37" i="1"/>
  <c r="EJ50" i="1"/>
  <c r="EJ140" i="1"/>
  <c r="EJ204" i="1"/>
  <c r="EJ120" i="1"/>
  <c r="EJ152" i="1"/>
  <c r="EJ42" i="1"/>
  <c r="EJ57" i="1"/>
  <c r="EJ34" i="1"/>
  <c r="EJ54" i="1"/>
  <c r="EJ91" i="1"/>
  <c r="EJ102" i="1"/>
  <c r="EJ88" i="1"/>
  <c r="EJ72" i="1"/>
  <c r="EJ73" i="1"/>
  <c r="EJ45" i="1"/>
  <c r="EU407" i="1"/>
  <c r="CS345" i="1"/>
  <c r="CT344" i="1"/>
  <c r="CT202" i="1"/>
  <c r="CS202" i="1"/>
  <c r="CT346" i="1"/>
  <c r="CS346" i="1"/>
  <c r="CT236" i="1"/>
  <c r="CS236" i="1"/>
  <c r="CS186" i="1"/>
  <c r="CT186" i="1"/>
  <c r="CS329" i="1"/>
  <c r="CS60" i="1"/>
  <c r="CT60" i="1"/>
  <c r="CT172" i="1"/>
  <c r="CS172" i="1"/>
  <c r="CS89" i="1"/>
  <c r="CT107" i="1"/>
  <c r="CT106" i="1"/>
  <c r="CS106" i="1"/>
  <c r="ES406" i="1"/>
  <c r="EU378" i="1"/>
  <c r="EO370" i="1"/>
  <c r="AT370" i="1"/>
  <c r="EU362" i="1"/>
  <c r="EU225" i="1"/>
  <c r="ES225" i="1"/>
  <c r="EL370" i="1"/>
  <c r="DV370" i="1"/>
  <c r="BM370" i="1" s="1" a="1"/>
  <c r="BM370" i="1" s="1"/>
  <c r="EU394" i="1"/>
  <c r="ES394" i="1"/>
  <c r="ES388" i="1"/>
  <c r="EU376" i="1"/>
  <c r="ES376" i="1"/>
  <c r="ES360" i="1"/>
  <c r="EU360" i="1"/>
  <c r="EU404" i="1"/>
  <c r="ES404" i="1"/>
  <c r="ES395" i="1"/>
  <c r="ES338" i="1"/>
  <c r="ES261" i="1"/>
  <c r="EU261" i="1"/>
  <c r="EU352" i="1"/>
  <c r="ES352" i="1"/>
  <c r="ES68" i="1"/>
  <c r="EU408" i="1"/>
  <c r="ES408" i="1"/>
  <c r="EU405" i="1"/>
  <c r="EU357" i="1"/>
  <c r="EU241" i="1"/>
  <c r="ES241" i="1"/>
  <c r="EU106" i="1"/>
  <c r="ES106" i="1"/>
  <c r="B6" i="3"/>
  <c r="ES411" i="1" l="1"/>
  <c r="ES56" i="1"/>
  <c r="AR370" i="1"/>
  <c r="BD370" i="1"/>
  <c r="DY370" i="1" s="1" a="1"/>
  <c r="DY370" i="1" s="1"/>
  <c r="EI370" i="1" s="1"/>
  <c r="EU369" i="1"/>
  <c r="EU410" i="1"/>
  <c r="EU308" i="1"/>
  <c r="EU47" i="1"/>
  <c r="BG69" i="1"/>
  <c r="DU69" i="1" s="1"/>
  <c r="CU69" i="1" s="1"/>
  <c r="EK69" i="1" s="1"/>
  <c r="BF69" i="1"/>
  <c r="BG387" i="1"/>
  <c r="DU387" i="1" s="1"/>
  <c r="BF387" i="1"/>
  <c r="DR367" i="1"/>
  <c r="DS367" i="1" s="1"/>
  <c r="BG367" i="1"/>
  <c r="BF367" i="1"/>
  <c r="CS70" i="1"/>
  <c r="BG406" i="1"/>
  <c r="DU406" i="1" s="1"/>
  <c r="CU406" i="1" s="1"/>
  <c r="EK406" i="1" s="1"/>
  <c r="BF406" i="1"/>
  <c r="CS402" i="1"/>
  <c r="BG402" i="1"/>
  <c r="DU402" i="1" s="1"/>
  <c r="CU402" i="1" s="1"/>
  <c r="EK402" i="1" s="1"/>
  <c r="BF402" i="1"/>
  <c r="BF364" i="1"/>
  <c r="BG364" i="1"/>
  <c r="DU364" i="1" s="1"/>
  <c r="CU364" i="1" s="1"/>
  <c r="EK364" i="1" s="1"/>
  <c r="BG399" i="1"/>
  <c r="DU399" i="1" s="1"/>
  <c r="BF399" i="1"/>
  <c r="BG384" i="1"/>
  <c r="DU384" i="1" s="1"/>
  <c r="BF384" i="1"/>
  <c r="BG241" i="1"/>
  <c r="BF241" i="1"/>
  <c r="BG392" i="1"/>
  <c r="DU392" i="1" s="1"/>
  <c r="DV392" i="1" s="1"/>
  <c r="BM392" i="1" s="1" a="1"/>
  <c r="BM392" i="1" s="1"/>
  <c r="BF392" i="1"/>
  <c r="CS359" i="1"/>
  <c r="BG358" i="1"/>
  <c r="BF358" i="1"/>
  <c r="CS56" i="1"/>
  <c r="BG56" i="1"/>
  <c r="BF56" i="1"/>
  <c r="EB411" i="1"/>
  <c r="BG411" i="1"/>
  <c r="BF411" i="1"/>
  <c r="EA346" i="1"/>
  <c r="BG346" i="1"/>
  <c r="BF346" i="1"/>
  <c r="DO365" i="1"/>
  <c r="DP365" i="1" s="1"/>
  <c r="DX365" i="1" s="1"/>
  <c r="CX365" i="1" s="1"/>
  <c r="BG365" i="1"/>
  <c r="DU365" i="1" s="1"/>
  <c r="EL365" i="1" s="1"/>
  <c r="BF365" i="1"/>
  <c r="EE106" i="1"/>
  <c r="BG106" i="1"/>
  <c r="DU106" i="1" s="1"/>
  <c r="CU106" i="1" s="1"/>
  <c r="EK106" i="1" s="1"/>
  <c r="BF106" i="1"/>
  <c r="BG220" i="1"/>
  <c r="DU220" i="1" s="1"/>
  <c r="CU220" i="1" s="1"/>
  <c r="EK220" i="1" s="1"/>
  <c r="BF220" i="1"/>
  <c r="EA178" i="1"/>
  <c r="BG178" i="1"/>
  <c r="DU178" i="1" s="1"/>
  <c r="EL178" i="1" s="1"/>
  <c r="BF178" i="1"/>
  <c r="BG393" i="1"/>
  <c r="DU393" i="1" s="1"/>
  <c r="CU393" i="1" s="1"/>
  <c r="EK393" i="1" s="1"/>
  <c r="BF393" i="1"/>
  <c r="EB369" i="1"/>
  <c r="EA369" i="1"/>
  <c r="BF405" i="1"/>
  <c r="BG405" i="1"/>
  <c r="DU405" i="1" s="1"/>
  <c r="CS156" i="1"/>
  <c r="BG156" i="1"/>
  <c r="DU156" i="1" s="1"/>
  <c r="CU156" i="1" s="1"/>
  <c r="EK156" i="1" s="1"/>
  <c r="BF156" i="1"/>
  <c r="DR224" i="1"/>
  <c r="DS224" i="1" s="1"/>
  <c r="BF224" i="1"/>
  <c r="BG224" i="1"/>
  <c r="EB225" i="1"/>
  <c r="BG225" i="1"/>
  <c r="DU225" i="1" s="1"/>
  <c r="BF225" i="1"/>
  <c r="EG354" i="1"/>
  <c r="EM354" i="1" s="1"/>
  <c r="BG354" i="1"/>
  <c r="BF354" i="1"/>
  <c r="EC378" i="1"/>
  <c r="BG378" i="1"/>
  <c r="BF378" i="1"/>
  <c r="DO412" i="1"/>
  <c r="DP412" i="1" s="1"/>
  <c r="DX412" i="1" s="1"/>
  <c r="CX412" i="1" s="1"/>
  <c r="BF412" i="1"/>
  <c r="BG412" i="1"/>
  <c r="DU412" i="1" s="1"/>
  <c r="CU412" i="1" s="1"/>
  <c r="EK412" i="1" s="1"/>
  <c r="CS42" i="1"/>
  <c r="EU34" i="1"/>
  <c r="CS44" i="1"/>
  <c r="BG44" i="1"/>
  <c r="BF44" i="1"/>
  <c r="CS350" i="1"/>
  <c r="BG350" i="1"/>
  <c r="BF350" i="1"/>
  <c r="EE369" i="1"/>
  <c r="CS219" i="1"/>
  <c r="BG374" i="1"/>
  <c r="DU374" i="1" s="1"/>
  <c r="BF374" i="1"/>
  <c r="BG35" i="1"/>
  <c r="BF35" i="1"/>
  <c r="BF261" i="1"/>
  <c r="BG261" i="1"/>
  <c r="DU261" i="1" s="1"/>
  <c r="BF243" i="1"/>
  <c r="BG243" i="1"/>
  <c r="DU243" i="1" s="1"/>
  <c r="EL243" i="1" s="1"/>
  <c r="EE394" i="1"/>
  <c r="BG394" i="1"/>
  <c r="DU394" i="1" s="1"/>
  <c r="CU394" i="1" s="1"/>
  <c r="EN394" i="1" s="1"/>
  <c r="BF394" i="1"/>
  <c r="BG408" i="1"/>
  <c r="DU408" i="1" s="1"/>
  <c r="BF408" i="1"/>
  <c r="BG401" i="1"/>
  <c r="DU401" i="1" s="1"/>
  <c r="CU401" i="1" s="1"/>
  <c r="EK401" i="1" s="1"/>
  <c r="BF401" i="1"/>
  <c r="BF280" i="1"/>
  <c r="BG280" i="1"/>
  <c r="DU280" i="1" s="1"/>
  <c r="CU280" i="1" s="1"/>
  <c r="EK280" i="1" s="1"/>
  <c r="BF357" i="1"/>
  <c r="BG357" i="1"/>
  <c r="DU357" i="1" s="1"/>
  <c r="CU357" i="1" s="1"/>
  <c r="EK357" i="1" s="1"/>
  <c r="EU224" i="1"/>
  <c r="EC359" i="1"/>
  <c r="BF396" i="1"/>
  <c r="BG396" i="1"/>
  <c r="DU396" i="1" s="1"/>
  <c r="DV396" i="1" s="1"/>
  <c r="BM396" i="1" s="1" a="1"/>
  <c r="BM396" i="1" s="1"/>
  <c r="DR128" i="1"/>
  <c r="DS128" i="1" s="1"/>
  <c r="BF128" i="1"/>
  <c r="BG128" i="1"/>
  <c r="DU128" i="1" s="1"/>
  <c r="CU128" i="1" s="1"/>
  <c r="EK128" i="1" s="1"/>
  <c r="BG407" i="1"/>
  <c r="BF407" i="1"/>
  <c r="EG252" i="1"/>
  <c r="EM252" i="1" s="1"/>
  <c r="BF252" i="1"/>
  <c r="BG252" i="1"/>
  <c r="DU252" i="1" s="1"/>
  <c r="CU252" i="1" s="1"/>
  <c r="EK252" i="1" s="1"/>
  <c r="EB345" i="1"/>
  <c r="BG345" i="1"/>
  <c r="DU345" i="1" s="1"/>
  <c r="CU345" i="1" s="1"/>
  <c r="EK345" i="1" s="1"/>
  <c r="BF345" i="1"/>
  <c r="BF349" i="1"/>
  <c r="BG349" i="1"/>
  <c r="CS282" i="1"/>
  <c r="EA348" i="1"/>
  <c r="BF348" i="1"/>
  <c r="BG348" i="1"/>
  <c r="EB352" i="1"/>
  <c r="BG352" i="1"/>
  <c r="DU352" i="1" s="1"/>
  <c r="BF352" i="1"/>
  <c r="CS376" i="1"/>
  <c r="BG376" i="1"/>
  <c r="BF376" i="1"/>
  <c r="AM262" i="1"/>
  <c r="BG262" i="1"/>
  <c r="DU262" i="1" s="1"/>
  <c r="CU262" i="1" s="1"/>
  <c r="EK262" i="1" s="1"/>
  <c r="BF262" i="1"/>
  <c r="EG173" i="1"/>
  <c r="EM173" i="1" s="1"/>
  <c r="BG173" i="1"/>
  <c r="BF173" i="1"/>
  <c r="BF380" i="1"/>
  <c r="BG380" i="1"/>
  <c r="DU380" i="1" s="1"/>
  <c r="ES371" i="1"/>
  <c r="DO369" i="1"/>
  <c r="DP369" i="1" s="1"/>
  <c r="DX369" i="1" s="1"/>
  <c r="CX369" i="1" s="1"/>
  <c r="EA330" i="1"/>
  <c r="BG330" i="1"/>
  <c r="BF330" i="1"/>
  <c r="DR381" i="1"/>
  <c r="DS381" i="1" s="1"/>
  <c r="BF381" i="1"/>
  <c r="BG381" i="1"/>
  <c r="EB331" i="1"/>
  <c r="BG331" i="1"/>
  <c r="BF331" i="1"/>
  <c r="EA395" i="1"/>
  <c r="BG395" i="1"/>
  <c r="BF395" i="1"/>
  <c r="BG347" i="1"/>
  <c r="DU347" i="1" s="1"/>
  <c r="BF347" i="1"/>
  <c r="EE404" i="1"/>
  <c r="BF404" i="1"/>
  <c r="BG404" i="1"/>
  <c r="BG360" i="1"/>
  <c r="BF360" i="1"/>
  <c r="BG183" i="1"/>
  <c r="DU183" i="1" s="1"/>
  <c r="CU183" i="1" s="1"/>
  <c r="EK183" i="1" s="1"/>
  <c r="BF183" i="1"/>
  <c r="CS307" i="1"/>
  <c r="ES412" i="1"/>
  <c r="ES368" i="1"/>
  <c r="DR351" i="1"/>
  <c r="DS351" i="1" s="1"/>
  <c r="BG351" i="1"/>
  <c r="BF351" i="1"/>
  <c r="CS250" i="1"/>
  <c r="EA353" i="1"/>
  <c r="BG353" i="1"/>
  <c r="DU353" i="1" s="1"/>
  <c r="CU353" i="1" s="1"/>
  <c r="BF353" i="1"/>
  <c r="EC251" i="1"/>
  <c r="BG251" i="1"/>
  <c r="DU251" i="1" s="1"/>
  <c r="BF251" i="1"/>
  <c r="DR377" i="1"/>
  <c r="DS377" i="1" s="1"/>
  <c r="BG377" i="1"/>
  <c r="BF377" i="1"/>
  <c r="BG328" i="1"/>
  <c r="BF328" i="1"/>
  <c r="DR356" i="1"/>
  <c r="DS356" i="1" s="1"/>
  <c r="BG356" i="1"/>
  <c r="BF356" i="1"/>
  <c r="AM154" i="1"/>
  <c r="AN154" i="1" s="1"/>
  <c r="BG154" i="1"/>
  <c r="DU154" i="1" s="1"/>
  <c r="BF154" i="1"/>
  <c r="BG385" i="1"/>
  <c r="BF385" i="1"/>
  <c r="EG355" i="1"/>
  <c r="EM355" i="1" s="1"/>
  <c r="BG355" i="1"/>
  <c r="DU355" i="1" s="1"/>
  <c r="BF355" i="1"/>
  <c r="EC397" i="1"/>
  <c r="BF397" i="1"/>
  <c r="BG397" i="1"/>
  <c r="EE375" i="1"/>
  <c r="BG375" i="1"/>
  <c r="BF375" i="1"/>
  <c r="EB398" i="1"/>
  <c r="BG398" i="1"/>
  <c r="BF398" i="1"/>
  <c r="BG362" i="1"/>
  <c r="DU362" i="1" s="1"/>
  <c r="CU362" i="1" s="1"/>
  <c r="CW362" i="1" s="1"/>
  <c r="BF362" i="1"/>
  <c r="EC372" i="1"/>
  <c r="BF372" i="1"/>
  <c r="BG372" i="1"/>
  <c r="EA410" i="1"/>
  <c r="BG410" i="1"/>
  <c r="BF410" i="1"/>
  <c r="BF309" i="1"/>
  <c r="BG309" i="1"/>
  <c r="DU309" i="1" s="1"/>
  <c r="CS203" i="1"/>
  <c r="BG409" i="1"/>
  <c r="DU409" i="1" s="1"/>
  <c r="DV409" i="1" s="1"/>
  <c r="BM409" i="1" s="1" a="1"/>
  <c r="BM409" i="1" s="1"/>
  <c r="BF409" i="1"/>
  <c r="BG383" i="1"/>
  <c r="DU383" i="1" s="1"/>
  <c r="CU383" i="1" s="1"/>
  <c r="EK383" i="1" s="1"/>
  <c r="BF383" i="1"/>
  <c r="AM359" i="1"/>
  <c r="BG359" i="1"/>
  <c r="DU359" i="1" s="1"/>
  <c r="CU359" i="1" s="1"/>
  <c r="EK359" i="1" s="1"/>
  <c r="BF359" i="1"/>
  <c r="EG359" i="1"/>
  <c r="EM359" i="1" s="1"/>
  <c r="EG382" i="1"/>
  <c r="EM382" i="1" s="1"/>
  <c r="BG382" i="1"/>
  <c r="BF382" i="1"/>
  <c r="BG363" i="1"/>
  <c r="DU363" i="1" s="1"/>
  <c r="BF363" i="1"/>
  <c r="BG369" i="1"/>
  <c r="DU369" i="1" s="1"/>
  <c r="EL369" i="1" s="1"/>
  <c r="BF369" i="1"/>
  <c r="BG386" i="1"/>
  <c r="BF386" i="1"/>
  <c r="CS107" i="1"/>
  <c r="BG182" i="1"/>
  <c r="BF182" i="1"/>
  <c r="AM47" i="1"/>
  <c r="AN47" i="1" s="1"/>
  <c r="BG47" i="1"/>
  <c r="DU47" i="1" s="1"/>
  <c r="DV47" i="1" s="1"/>
  <c r="BM47" i="1" s="1" a="1"/>
  <c r="BM47" i="1" s="1"/>
  <c r="BF47" i="1"/>
  <c r="EG361" i="1"/>
  <c r="EM361" i="1" s="1"/>
  <c r="BG361" i="1"/>
  <c r="DU361" i="1" s="1"/>
  <c r="BF361" i="1"/>
  <c r="DO388" i="1"/>
  <c r="DP388" i="1" s="1"/>
  <c r="DX388" i="1" s="1"/>
  <c r="CX388" i="1" s="1"/>
  <c r="BF388" i="1"/>
  <c r="BG388" i="1"/>
  <c r="DU388" i="1" s="1"/>
  <c r="BG308" i="1"/>
  <c r="DU308" i="1" s="1"/>
  <c r="EL308" i="1" s="1"/>
  <c r="BF308" i="1"/>
  <c r="DO101" i="1"/>
  <c r="DP101" i="1" s="1"/>
  <c r="DX101" i="1" s="1"/>
  <c r="CX101" i="1" s="1"/>
  <c r="BG101" i="1"/>
  <c r="DU101" i="1" s="1"/>
  <c r="BF101" i="1"/>
  <c r="CS218" i="1"/>
  <c r="BG338" i="1"/>
  <c r="DU338" i="1" s="1"/>
  <c r="BF338" i="1"/>
  <c r="EG339" i="1"/>
  <c r="EM339" i="1" s="1"/>
  <c r="BF339" i="1"/>
  <c r="BG339" i="1"/>
  <c r="DU339" i="1" s="1"/>
  <c r="AM379" i="1"/>
  <c r="BG379" i="1"/>
  <c r="DU379" i="1" s="1"/>
  <c r="CU379" i="1" s="1"/>
  <c r="EK379" i="1" s="1"/>
  <c r="BF379" i="1"/>
  <c r="DR369" i="1"/>
  <c r="DS369" i="1" s="1"/>
  <c r="BG179" i="1"/>
  <c r="BF179" i="1"/>
  <c r="DR403" i="1"/>
  <c r="DS403" i="1" s="1"/>
  <c r="BG403" i="1"/>
  <c r="DU403" i="1" s="1"/>
  <c r="BF403" i="1"/>
  <c r="BG343" i="1"/>
  <c r="DU343" i="1" s="1"/>
  <c r="EL343" i="1" s="1"/>
  <c r="BF343" i="1"/>
  <c r="EC68" i="1"/>
  <c r="BG68" i="1"/>
  <c r="BF68" i="1"/>
  <c r="EA344" i="1"/>
  <c r="BG344" i="1"/>
  <c r="BF344" i="1"/>
  <c r="CS366" i="1"/>
  <c r="BG366" i="1"/>
  <c r="BF366" i="1"/>
  <c r="AM373" i="1"/>
  <c r="BF373" i="1"/>
  <c r="BG373" i="1"/>
  <c r="DU373" i="1" s="1"/>
  <c r="CU373" i="1" s="1"/>
  <c r="EK373" i="1" s="1"/>
  <c r="AM390" i="1"/>
  <c r="BG390" i="1"/>
  <c r="DU390" i="1" s="1"/>
  <c r="BF390" i="1"/>
  <c r="BG400" i="1"/>
  <c r="DU400" i="1" s="1"/>
  <c r="BF400" i="1"/>
  <c r="DR359" i="1"/>
  <c r="DS359" i="1" s="1"/>
  <c r="EG369" i="1"/>
  <c r="EM369" i="1" s="1"/>
  <c r="BG34" i="1"/>
  <c r="BF34" i="1"/>
  <c r="EG54" i="1"/>
  <c r="EM54" i="1" s="1"/>
  <c r="BG54" i="1"/>
  <c r="DU54" i="1" s="1"/>
  <c r="CU54" i="1" s="1"/>
  <c r="EK54" i="1" s="1"/>
  <c r="BF54" i="1"/>
  <c r="EA371" i="1"/>
  <c r="BG371" i="1"/>
  <c r="DU371" i="1" s="1"/>
  <c r="BF371" i="1"/>
  <c r="AM368" i="1"/>
  <c r="BG368" i="1"/>
  <c r="DU368" i="1" s="1"/>
  <c r="EL368" i="1" s="1"/>
  <c r="BF368" i="1"/>
  <c r="BF389" i="1"/>
  <c r="BG389" i="1"/>
  <c r="DU389" i="1" s="1"/>
  <c r="BF21" i="1"/>
  <c r="BG21" i="1"/>
  <c r="DU21" i="1" s="1"/>
  <c r="BG391" i="1"/>
  <c r="DU391" i="1" s="1"/>
  <c r="CU391" i="1" s="1"/>
  <c r="EK391" i="1" s="1"/>
  <c r="BF391" i="1"/>
  <c r="CU243" i="1"/>
  <c r="EK243" i="1" s="1"/>
  <c r="DV243" i="1"/>
  <c r="BM243" i="1" s="1" a="1"/>
  <c r="BM243" i="1" s="1"/>
  <c r="ES251" i="1"/>
  <c r="EU251" i="1"/>
  <c r="EL373" i="1"/>
  <c r="ES101" i="1"/>
  <c r="CS252" i="1"/>
  <c r="EE252" i="1"/>
  <c r="EB360" i="1"/>
  <c r="EU355" i="1"/>
  <c r="DO252" i="1"/>
  <c r="DP252" i="1" s="1"/>
  <c r="DX252" i="1" s="1"/>
  <c r="CX252" i="1" s="1"/>
  <c r="DR404" i="1"/>
  <c r="DS404" i="1" s="1"/>
  <c r="EA128" i="1"/>
  <c r="EA347" i="1"/>
  <c r="EC407" i="1"/>
  <c r="EE365" i="1"/>
  <c r="DR350" i="1"/>
  <c r="DS350" i="1" s="1"/>
  <c r="DU350" i="1"/>
  <c r="CU350" i="1" s="1"/>
  <c r="EK350" i="1" s="1"/>
  <c r="EC252" i="1"/>
  <c r="DU407" i="1"/>
  <c r="CU407" i="1" s="1"/>
  <c r="EK407" i="1" s="1"/>
  <c r="EG348" i="1"/>
  <c r="EM348" i="1" s="1"/>
  <c r="ES356" i="1"/>
  <c r="DU360" i="1"/>
  <c r="DU44" i="1"/>
  <c r="EG44" i="1"/>
  <c r="EM44" i="1" s="1"/>
  <c r="DR360" i="1"/>
  <c r="DS360" i="1" s="1"/>
  <c r="EE44" i="1"/>
  <c r="ES364" i="1"/>
  <c r="EU364" i="1"/>
  <c r="EE407" i="1"/>
  <c r="EC330" i="1"/>
  <c r="EB252" i="1"/>
  <c r="EE178" i="1"/>
  <c r="EA101" i="1"/>
  <c r="EE308" i="1"/>
  <c r="EG360" i="1"/>
  <c r="EM360" i="1" s="1"/>
  <c r="EG381" i="1"/>
  <c r="EM381" i="1" s="1"/>
  <c r="EC44" i="1"/>
  <c r="EG367" i="1"/>
  <c r="EM367" i="1" s="1"/>
  <c r="EL393" i="1"/>
  <c r="ES384" i="1"/>
  <c r="DR347" i="1"/>
  <c r="DS347" i="1" s="1"/>
  <c r="EA338" i="1"/>
  <c r="EA350" i="1"/>
  <c r="DR339" i="1"/>
  <c r="DS339" i="1" s="1"/>
  <c r="DR178" i="1"/>
  <c r="DS178" i="1" s="1"/>
  <c r="DO402" i="1"/>
  <c r="DP402" i="1" s="1"/>
  <c r="DX402" i="1" s="1"/>
  <c r="CX402" i="1" s="1"/>
  <c r="EG308" i="1"/>
  <c r="EM308" i="1" s="1"/>
  <c r="EA331" i="1"/>
  <c r="ED357" i="1"/>
  <c r="EE405" i="1"/>
  <c r="EL357" i="1"/>
  <c r="DR330" i="1"/>
  <c r="DS330" i="1" s="1"/>
  <c r="EC101" i="1"/>
  <c r="ES389" i="1"/>
  <c r="EE360" i="1"/>
  <c r="DO360" i="1"/>
  <c r="DP360" i="1" s="1"/>
  <c r="DX360" i="1" s="1"/>
  <c r="CX360" i="1" s="1"/>
  <c r="EE338" i="1"/>
  <c r="CS308" i="1"/>
  <c r="EL345" i="1"/>
  <c r="EE101" i="1"/>
  <c r="DV345" i="1"/>
  <c r="BM345" i="1" s="1" a="1"/>
  <c r="BM345" i="1" s="1"/>
  <c r="EU385" i="1"/>
  <c r="ES385" i="1"/>
  <c r="EU375" i="1"/>
  <c r="ES375" i="1"/>
  <c r="EU361" i="1"/>
  <c r="ES361" i="1"/>
  <c r="EC308" i="1"/>
  <c r="DR352" i="1"/>
  <c r="DS352" i="1" s="1"/>
  <c r="EA388" i="1"/>
  <c r="EA405" i="1"/>
  <c r="EG353" i="1"/>
  <c r="EM353" i="1" s="1"/>
  <c r="EB178" i="1"/>
  <c r="DV308" i="1"/>
  <c r="BM308" i="1" s="1" a="1"/>
  <c r="BM308" i="1" s="1"/>
  <c r="CS251" i="1"/>
  <c r="EG404" i="1"/>
  <c r="EM404" i="1" s="1"/>
  <c r="EU403" i="1"/>
  <c r="DR251" i="1"/>
  <c r="DS251" i="1" s="1"/>
  <c r="EC353" i="1"/>
  <c r="DO405" i="1"/>
  <c r="DP405" i="1" s="1"/>
  <c r="DX405" i="1" s="1"/>
  <c r="CX405" i="1" s="1"/>
  <c r="EU243" i="1"/>
  <c r="EU399" i="1"/>
  <c r="ES351" i="1"/>
  <c r="EU351" i="1"/>
  <c r="EU183" i="1"/>
  <c r="ES183" i="1"/>
  <c r="EU392" i="1"/>
  <c r="ES392" i="1"/>
  <c r="ES128" i="1"/>
  <c r="EU128" i="1"/>
  <c r="EU409" i="1"/>
  <c r="DV402" i="1"/>
  <c r="BM402" i="1" s="1" a="1"/>
  <c r="BM402" i="1" s="1"/>
  <c r="DV374" i="1"/>
  <c r="BM374" i="1" s="1" a="1"/>
  <c r="BM374" i="1" s="1"/>
  <c r="CS343" i="1"/>
  <c r="DO382" i="1"/>
  <c r="DP382" i="1" s="1"/>
  <c r="DX382" i="1" s="1"/>
  <c r="CX382" i="1" s="1"/>
  <c r="DU356" i="1"/>
  <c r="CS224" i="1"/>
  <c r="EA356" i="1"/>
  <c r="EB56" i="1"/>
  <c r="DR365" i="1"/>
  <c r="DS365" i="1" s="1"/>
  <c r="EG356" i="1"/>
  <c r="EM356" i="1" s="1"/>
  <c r="EE376" i="1"/>
  <c r="CS397" i="1"/>
  <c r="DU376" i="1"/>
  <c r="EL376" i="1" s="1"/>
  <c r="EG343" i="1"/>
  <c r="EM343" i="1" s="1"/>
  <c r="EB343" i="1"/>
  <c r="EG56" i="1"/>
  <c r="EM56" i="1" s="1"/>
  <c r="DO251" i="1"/>
  <c r="DP251" i="1" s="1"/>
  <c r="DX251" i="1" s="1"/>
  <c r="CX251" i="1" s="1"/>
  <c r="DO346" i="1"/>
  <c r="DP346" i="1" s="1"/>
  <c r="DX346" i="1" s="1"/>
  <c r="CX346" i="1" s="1"/>
  <c r="EU367" i="1"/>
  <c r="DO347" i="1"/>
  <c r="DP347" i="1" s="1"/>
  <c r="DX347" i="1" s="1"/>
  <c r="CX347" i="1" s="1"/>
  <c r="EG376" i="1"/>
  <c r="EM376" i="1" s="1"/>
  <c r="EC262" i="1"/>
  <c r="EE262" i="1"/>
  <c r="DO56" i="1"/>
  <c r="DP56" i="1" s="1"/>
  <c r="DX56" i="1" s="1"/>
  <c r="CX56" i="1" s="1"/>
  <c r="CS412" i="1"/>
  <c r="EE56" i="1"/>
  <c r="EA308" i="1"/>
  <c r="DO381" i="1"/>
  <c r="DP381" i="1" s="1"/>
  <c r="DX381" i="1" s="1"/>
  <c r="CX381" i="1" s="1"/>
  <c r="EE386" i="1"/>
  <c r="EE251" i="1"/>
  <c r="DO343" i="1"/>
  <c r="DP343" i="1" s="1"/>
  <c r="DX343" i="1" s="1"/>
  <c r="CX343" i="1" s="1"/>
  <c r="DU382" i="1"/>
  <c r="CU382" i="1" s="1"/>
  <c r="EK382" i="1" s="1"/>
  <c r="EE68" i="1"/>
  <c r="EE356" i="1"/>
  <c r="DV362" i="1"/>
  <c r="BM362" i="1" s="1" a="1"/>
  <c r="BM362" i="1" s="1"/>
  <c r="DR353" i="1"/>
  <c r="DS353" i="1" s="1"/>
  <c r="DR378" i="1"/>
  <c r="DS378" i="1" s="1"/>
  <c r="EB365" i="1"/>
  <c r="EL362" i="1"/>
  <c r="DO224" i="1"/>
  <c r="DP224" i="1" s="1"/>
  <c r="DX224" i="1" s="1"/>
  <c r="CX224" i="1" s="1"/>
  <c r="EE353" i="1"/>
  <c r="EE385" i="1"/>
  <c r="EC343" i="1"/>
  <c r="EC56" i="1"/>
  <c r="DU224" i="1"/>
  <c r="CU224" i="1" s="1"/>
  <c r="EK224" i="1" s="1"/>
  <c r="BO370" i="1"/>
  <c r="CO370" i="1" s="1"/>
  <c r="DV379" i="1"/>
  <c r="BM379" i="1" s="1" a="1"/>
  <c r="BM379" i="1" s="1"/>
  <c r="EB47" i="1"/>
  <c r="CS353" i="1"/>
  <c r="EB356" i="1"/>
  <c r="EE173" i="1"/>
  <c r="EA173" i="1"/>
  <c r="DU381" i="1"/>
  <c r="DV381" i="1" s="1"/>
  <c r="BM381" i="1" s="1" a="1"/>
  <c r="BM381" i="1" s="1"/>
  <c r="EC381" i="1"/>
  <c r="CS377" i="1"/>
  <c r="EC354" i="1"/>
  <c r="DR182" i="1"/>
  <c r="DS182" i="1" s="1"/>
  <c r="DR68" i="1"/>
  <c r="DS68" i="1" s="1"/>
  <c r="DU68" i="1"/>
  <c r="CU68" i="1" s="1"/>
  <c r="EK68" i="1" s="1"/>
  <c r="CW402" i="1"/>
  <c r="DO182" i="1"/>
  <c r="DP182" i="1" s="1"/>
  <c r="DX182" i="1" s="1"/>
  <c r="CX182" i="1" s="1"/>
  <c r="DO356" i="1"/>
  <c r="DP356" i="1" s="1"/>
  <c r="DX356" i="1" s="1"/>
  <c r="CX356" i="1" s="1"/>
  <c r="EB353" i="1"/>
  <c r="EG262" i="1"/>
  <c r="EM262" i="1" s="1"/>
  <c r="EG251" i="1"/>
  <c r="EM251" i="1" s="1"/>
  <c r="CS330" i="1"/>
  <c r="EL401" i="1"/>
  <c r="DO173" i="1"/>
  <c r="DP173" i="1" s="1"/>
  <c r="DX173" i="1" s="1"/>
  <c r="CX173" i="1" s="1"/>
  <c r="EB377" i="1"/>
  <c r="DO68" i="1"/>
  <c r="DP68" i="1" s="1"/>
  <c r="DX68" i="1" s="1"/>
  <c r="CX68" i="1" s="1"/>
  <c r="EA251" i="1"/>
  <c r="EL402" i="1"/>
  <c r="ES374" i="1"/>
  <c r="CS182" i="1"/>
  <c r="EG386" i="1"/>
  <c r="EM386" i="1" s="1"/>
  <c r="EL156" i="1"/>
  <c r="EU178" i="1"/>
  <c r="DR382" i="1"/>
  <c r="DS382" i="1" s="1"/>
  <c r="CW357" i="1"/>
  <c r="DU397" i="1"/>
  <c r="EL397" i="1" s="1"/>
  <c r="EA397" i="1"/>
  <c r="EA68" i="1"/>
  <c r="EE331" i="1"/>
  <c r="DO47" i="1"/>
  <c r="DP47" i="1" s="1"/>
  <c r="DX47" i="1" s="1"/>
  <c r="CX47" i="1" s="1"/>
  <c r="EA179" i="1"/>
  <c r="DU385" i="1"/>
  <c r="EL385" i="1" s="1"/>
  <c r="EB262" i="1"/>
  <c r="EG377" i="1"/>
  <c r="EM377" i="1" s="1"/>
  <c r="EG331" i="1"/>
  <c r="EM331" i="1" s="1"/>
  <c r="EA365" i="1"/>
  <c r="CS365" i="1"/>
  <c r="ES397" i="1"/>
  <c r="EE182" i="1"/>
  <c r="EU343" i="1"/>
  <c r="ES343" i="1"/>
  <c r="ES372" i="1"/>
  <c r="EU372" i="1"/>
  <c r="ES365" i="1"/>
  <c r="EU365" i="1"/>
  <c r="EU402" i="1"/>
  <c r="ES402" i="1"/>
  <c r="EU348" i="1"/>
  <c r="ES348" i="1"/>
  <c r="ES252" i="1"/>
  <c r="EU252" i="1"/>
  <c r="DU410" i="1"/>
  <c r="CU410" i="1" s="1"/>
  <c r="EK410" i="1" s="1"/>
  <c r="DU398" i="1"/>
  <c r="ES54" i="1"/>
  <c r="DV54" i="1"/>
  <c r="BM54" i="1" s="1" a="1"/>
  <c r="BM54" i="1" s="1"/>
  <c r="EU154" i="1"/>
  <c r="DV406" i="1"/>
  <c r="BM406" i="1" s="1" a="1"/>
  <c r="BM406" i="1" s="1"/>
  <c r="CU178" i="1"/>
  <c r="EK178" i="1" s="1"/>
  <c r="EU182" i="1"/>
  <c r="DU179" i="1"/>
  <c r="EL179" i="1" s="1"/>
  <c r="CS400" i="1"/>
  <c r="DO351" i="1"/>
  <c r="DP351" i="1" s="1"/>
  <c r="DX351" i="1" s="1"/>
  <c r="CX351" i="1" s="1"/>
  <c r="EB179" i="1"/>
  <c r="EE410" i="1"/>
  <c r="EB344" i="1"/>
  <c r="EC128" i="1"/>
  <c r="DR106" i="1"/>
  <c r="DS106" i="1" s="1"/>
  <c r="CS411" i="1"/>
  <c r="DR179" i="1"/>
  <c r="DS179" i="1" s="1"/>
  <c r="EB348" i="1"/>
  <c r="DO331" i="1"/>
  <c r="DP331" i="1" s="1"/>
  <c r="DX331" i="1" s="1"/>
  <c r="CX331" i="1" s="1"/>
  <c r="EE354" i="1"/>
  <c r="EB346" i="1"/>
  <c r="ES363" i="1"/>
  <c r="DV128" i="1"/>
  <c r="BM128" i="1" s="1" a="1"/>
  <c r="BM128" i="1" s="1"/>
  <c r="DV178" i="1"/>
  <c r="BM178" i="1" s="1" a="1"/>
  <c r="BM178" i="1" s="1"/>
  <c r="EG388" i="1"/>
  <c r="EM388" i="1" s="1"/>
  <c r="DR388" i="1"/>
  <c r="DS388" i="1" s="1"/>
  <c r="EE348" i="1"/>
  <c r="EG346" i="1"/>
  <c r="EM346" i="1" s="1"/>
  <c r="ES382" i="1"/>
  <c r="ES401" i="1"/>
  <c r="ES35" i="1"/>
  <c r="EB106" i="1"/>
  <c r="ES393" i="1"/>
  <c r="DV262" i="1"/>
  <c r="BM262" i="1" s="1" a="1"/>
  <c r="BM262" i="1" s="1"/>
  <c r="DV69" i="1"/>
  <c r="BM69" i="1" s="1" a="1"/>
  <c r="BM69" i="1" s="1"/>
  <c r="EL128" i="1"/>
  <c r="CS344" i="1"/>
  <c r="ES344" i="1"/>
  <c r="DR344" i="1"/>
  <c r="DS344" i="1" s="1"/>
  <c r="EE400" i="1"/>
  <c r="DR407" i="1"/>
  <c r="DS407" i="1" s="1"/>
  <c r="EB407" i="1"/>
  <c r="EE388" i="1"/>
  <c r="EC394" i="1"/>
  <c r="EE344" i="1"/>
  <c r="EB359" i="1"/>
  <c r="DR405" i="1"/>
  <c r="DS405" i="1" s="1"/>
  <c r="EE346" i="1"/>
  <c r="EB354" i="1"/>
  <c r="DO394" i="1"/>
  <c r="DP394" i="1" s="1"/>
  <c r="DX394" i="1" s="1"/>
  <c r="CX394" i="1" s="1"/>
  <c r="EU366" i="1"/>
  <c r="DU344" i="1"/>
  <c r="EB405" i="1"/>
  <c r="DV391" i="1"/>
  <c r="BM391" i="1" s="1" a="1"/>
  <c r="BM391" i="1" s="1"/>
  <c r="ES354" i="1"/>
  <c r="EL69" i="1"/>
  <c r="EL394" i="1"/>
  <c r="DV280" i="1"/>
  <c r="BM280" i="1" s="1" a="1"/>
  <c r="BM280" i="1" s="1"/>
  <c r="EL379" i="1"/>
  <c r="DV399" i="1"/>
  <c r="BM399" i="1" s="1" a="1"/>
  <c r="BM399" i="1" s="1"/>
  <c r="DR397" i="1"/>
  <c r="DS397" i="1" s="1"/>
  <c r="CS262" i="1"/>
  <c r="CW262" i="1" s="1"/>
  <c r="CS386" i="1"/>
  <c r="EA398" i="1"/>
  <c r="DR384" i="1"/>
  <c r="DS384" i="1" s="1"/>
  <c r="CS404" i="1"/>
  <c r="DO106" i="1"/>
  <c r="DP106" i="1" s="1"/>
  <c r="DX106" i="1" s="1"/>
  <c r="CX106" i="1" s="1"/>
  <c r="DO371" i="1"/>
  <c r="DP371" i="1" s="1"/>
  <c r="DX371" i="1" s="1"/>
  <c r="CX371" i="1" s="1"/>
  <c r="EA394" i="1"/>
  <c r="EC388" i="1"/>
  <c r="EC386" i="1"/>
  <c r="EL183" i="1"/>
  <c r="EA386" i="1"/>
  <c r="DO179" i="1"/>
  <c r="DP179" i="1" s="1"/>
  <c r="DX179" i="1" s="1"/>
  <c r="CX179" i="1" s="1"/>
  <c r="EA54" i="1"/>
  <c r="DR386" i="1"/>
  <c r="DS386" i="1" s="1"/>
  <c r="DO262" i="1"/>
  <c r="DP262" i="1" s="1"/>
  <c r="DX262" i="1" s="1"/>
  <c r="CX262" i="1" s="1"/>
  <c r="EC371" i="1"/>
  <c r="EA106" i="1"/>
  <c r="EE411" i="1"/>
  <c r="DU348" i="1"/>
  <c r="DR349" i="1"/>
  <c r="DS349" i="1" s="1"/>
  <c r="DR394" i="1"/>
  <c r="DS394" i="1" s="1"/>
  <c r="EL412" i="1"/>
  <c r="ES309" i="1"/>
  <c r="DO348" i="1"/>
  <c r="DP348" i="1" s="1"/>
  <c r="DX348" i="1" s="1"/>
  <c r="CX348" i="1" s="1"/>
  <c r="DR346" i="1"/>
  <c r="DS346" i="1" s="1"/>
  <c r="EC346" i="1"/>
  <c r="EL106" i="1"/>
  <c r="EU280" i="1"/>
  <c r="EG179" i="1"/>
  <c r="EM179" i="1" s="1"/>
  <c r="DO398" i="1"/>
  <c r="DP398" i="1" s="1"/>
  <c r="DX398" i="1" s="1"/>
  <c r="CX398" i="1" s="1"/>
  <c r="EG384" i="1"/>
  <c r="EM384" i="1" s="1"/>
  <c r="CS394" i="1"/>
  <c r="ED394" i="1" s="1"/>
  <c r="EP370" i="1"/>
  <c r="EA359" i="1"/>
  <c r="EU330" i="1"/>
  <c r="DV106" i="1"/>
  <c r="BM106" i="1" s="1" a="1"/>
  <c r="BM106" i="1" s="1"/>
  <c r="DV355" i="1"/>
  <c r="BM355" i="1" s="1" a="1"/>
  <c r="BM355" i="1" s="1"/>
  <c r="DV384" i="1"/>
  <c r="BM384" i="1" s="1" a="1"/>
  <c r="BM384" i="1" s="1"/>
  <c r="EL391" i="1"/>
  <c r="EE47" i="1"/>
  <c r="EC47" i="1"/>
  <c r="DR47" i="1"/>
  <c r="DS47" i="1" s="1"/>
  <c r="DR262" i="1"/>
  <c r="DS262" i="1" s="1"/>
  <c r="EC410" i="1"/>
  <c r="ES339" i="1"/>
  <c r="DO397" i="1"/>
  <c r="DP397" i="1" s="1"/>
  <c r="DX397" i="1" s="1"/>
  <c r="CX397" i="1" s="1"/>
  <c r="DU411" i="1"/>
  <c r="CU411" i="1" s="1"/>
  <c r="EK411" i="1" s="1"/>
  <c r="EG128" i="1"/>
  <c r="EM128" i="1" s="1"/>
  <c r="DO359" i="1"/>
  <c r="DP359" i="1" s="1"/>
  <c r="DX359" i="1" s="1"/>
  <c r="CX359" i="1" s="1"/>
  <c r="DR375" i="1"/>
  <c r="DS375" i="1" s="1"/>
  <c r="EL252" i="1"/>
  <c r="CW252" i="1"/>
  <c r="CW69" i="1"/>
  <c r="EC179" i="1"/>
  <c r="DO386" i="1"/>
  <c r="DP386" i="1" s="1"/>
  <c r="DX386" i="1" s="1"/>
  <c r="CX386" i="1" s="1"/>
  <c r="EG106" i="1"/>
  <c r="EM106" i="1" s="1"/>
  <c r="DV412" i="1"/>
  <c r="BM412" i="1" s="1" a="1"/>
  <c r="BM412" i="1" s="1"/>
  <c r="DV252" i="1"/>
  <c r="BM252" i="1" s="1" a="1"/>
  <c r="BM252" i="1" s="1"/>
  <c r="EL224" i="1"/>
  <c r="EL406" i="1"/>
  <c r="EB388" i="1"/>
  <c r="DR348" i="1"/>
  <c r="DS348" i="1" s="1"/>
  <c r="ES346" i="1"/>
  <c r="EU346" i="1"/>
  <c r="EU381" i="1"/>
  <c r="ES381" i="1"/>
  <c r="DV401" i="1"/>
  <c r="BM401" i="1" s="1" a="1"/>
  <c r="BM401" i="1" s="1"/>
  <c r="CS206" i="1"/>
  <c r="AM395" i="1"/>
  <c r="DU395" i="1"/>
  <c r="CS395" i="1"/>
  <c r="EC395" i="1"/>
  <c r="EE395" i="1"/>
  <c r="EB395" i="1"/>
  <c r="DR395" i="1"/>
  <c r="DS395" i="1" s="1"/>
  <c r="EG395" i="1"/>
  <c r="EM395" i="1" s="1"/>
  <c r="DO395" i="1"/>
  <c r="DP395" i="1" s="1"/>
  <c r="DX395" i="1" s="1"/>
  <c r="CX395" i="1" s="1"/>
  <c r="DV394" i="1"/>
  <c r="BM394" i="1" s="1" a="1"/>
  <c r="BM394" i="1" s="1"/>
  <c r="DV183" i="1"/>
  <c r="BM183" i="1" s="1" a="1"/>
  <c r="BM183" i="1" s="1"/>
  <c r="CW280" i="1"/>
  <c r="EL280" i="1"/>
  <c r="DV393" i="1"/>
  <c r="BM393" i="1" s="1" a="1"/>
  <c r="BM393" i="1" s="1"/>
  <c r="ES173" i="1"/>
  <c r="EU380" i="1"/>
  <c r="CS196" i="1"/>
  <c r="CS108" i="1"/>
  <c r="CU371" i="1"/>
  <c r="EK371" i="1" s="1"/>
  <c r="EL371" i="1"/>
  <c r="ES262" i="1"/>
  <c r="EL383" i="1"/>
  <c r="ES398" i="1"/>
  <c r="AM381" i="1"/>
  <c r="CS381" i="1"/>
  <c r="EB381" i="1"/>
  <c r="EA381" i="1"/>
  <c r="AM403" i="1"/>
  <c r="CS403" i="1"/>
  <c r="DO403" i="1"/>
  <c r="DP403" i="1" s="1"/>
  <c r="DX403" i="1" s="1"/>
  <c r="CX403" i="1" s="1"/>
  <c r="EE403" i="1"/>
  <c r="EC403" i="1"/>
  <c r="EA403" i="1"/>
  <c r="EB403" i="1"/>
  <c r="AM349" i="1"/>
  <c r="CS349" i="1"/>
  <c r="EB349" i="1"/>
  <c r="EE349" i="1"/>
  <c r="EC349" i="1"/>
  <c r="DU349" i="1"/>
  <c r="CS208" i="1"/>
  <c r="CS18" i="1"/>
  <c r="ES44" i="1"/>
  <c r="DV220" i="1"/>
  <c r="BM220" i="1" s="1" a="1"/>
  <c r="BM220" i="1" s="1"/>
  <c r="DV389" i="1"/>
  <c r="BM389" i="1" s="1" a="1"/>
  <c r="BM389" i="1" s="1"/>
  <c r="CU409" i="1"/>
  <c r="EK409" i="1" s="1"/>
  <c r="EL409" i="1"/>
  <c r="EE381" i="1"/>
  <c r="CS207" i="1"/>
  <c r="AM351" i="1"/>
  <c r="EC351" i="1"/>
  <c r="EG351" i="1"/>
  <c r="EM351" i="1" s="1"/>
  <c r="EE351" i="1"/>
  <c r="DU351" i="1"/>
  <c r="CS351" i="1"/>
  <c r="EL220" i="1"/>
  <c r="ES179" i="1"/>
  <c r="AM352" i="1"/>
  <c r="EA352" i="1"/>
  <c r="EC352" i="1"/>
  <c r="CS352" i="1"/>
  <c r="EE352" i="1"/>
  <c r="DO352" i="1"/>
  <c r="DP352" i="1" s="1"/>
  <c r="DX352" i="1" s="1"/>
  <c r="CX352" i="1" s="1"/>
  <c r="EG403" i="1"/>
  <c r="EM403" i="1" s="1"/>
  <c r="AM366" i="1"/>
  <c r="EC366" i="1"/>
  <c r="DU366" i="1"/>
  <c r="DO366" i="1"/>
  <c r="DP366" i="1" s="1"/>
  <c r="DX366" i="1" s="1"/>
  <c r="CX366" i="1" s="1"/>
  <c r="EG366" i="1"/>
  <c r="EM366" i="1" s="1"/>
  <c r="EE366" i="1"/>
  <c r="EA366" i="1"/>
  <c r="DR366" i="1"/>
  <c r="DS366" i="1" s="1"/>
  <c r="ES353" i="1"/>
  <c r="EK394" i="1"/>
  <c r="AM396" i="1"/>
  <c r="EC396" i="1"/>
  <c r="EG396" i="1"/>
  <c r="EM396" i="1" s="1"/>
  <c r="EE396" i="1"/>
  <c r="EA396" i="1"/>
  <c r="DR396" i="1"/>
  <c r="DS396" i="1" s="1"/>
  <c r="DO396" i="1"/>
  <c r="DP396" i="1" s="1"/>
  <c r="DX396" i="1" s="1"/>
  <c r="CX396" i="1" s="1"/>
  <c r="EB396" i="1"/>
  <c r="CS396" i="1"/>
  <c r="EN183" i="1"/>
  <c r="CU376" i="1"/>
  <c r="DV376" i="1"/>
  <c r="BM376" i="1" s="1" a="1"/>
  <c r="BM376" i="1" s="1"/>
  <c r="EK362" i="1"/>
  <c r="ED362" i="1"/>
  <c r="EA349" i="1"/>
  <c r="AM343" i="1"/>
  <c r="EE343" i="1"/>
  <c r="DR343" i="1"/>
  <c r="DS343" i="1" s="1"/>
  <c r="EA343" i="1"/>
  <c r="DV350" i="1"/>
  <c r="BM350" i="1" s="1" a="1"/>
  <c r="BM350" i="1" s="1"/>
  <c r="EU379" i="1"/>
  <c r="ES69" i="1"/>
  <c r="DV371" i="1"/>
  <c r="BM371" i="1" s="1" a="1"/>
  <c r="BM371" i="1" s="1"/>
  <c r="CW383" i="1"/>
  <c r="CU261" i="1"/>
  <c r="EK261" i="1" s="1"/>
  <c r="DV261" i="1"/>
  <c r="BM261" i="1" s="1" a="1"/>
  <c r="BM261" i="1" s="1"/>
  <c r="EL262" i="1"/>
  <c r="EL261" i="1"/>
  <c r="CW183" i="1"/>
  <c r="AM220" i="1"/>
  <c r="EB220" i="1"/>
  <c r="EA220" i="1"/>
  <c r="EG220" i="1"/>
  <c r="EM220" i="1" s="1"/>
  <c r="EE220" i="1"/>
  <c r="DR220" i="1"/>
  <c r="DS220" i="1" s="1"/>
  <c r="EC220" i="1"/>
  <c r="ED183" i="1"/>
  <c r="ES386" i="1"/>
  <c r="ES359" i="1"/>
  <c r="DO349" i="1"/>
  <c r="DP349" i="1" s="1"/>
  <c r="DX349" i="1" s="1"/>
  <c r="CX349" i="1" s="1"/>
  <c r="AM44" i="1"/>
  <c r="AN44" i="1" s="1"/>
  <c r="EA44" i="1"/>
  <c r="DO44" i="1"/>
  <c r="DP44" i="1" s="1"/>
  <c r="DX44" i="1" s="1"/>
  <c r="CX44" i="1" s="1"/>
  <c r="EB44" i="1"/>
  <c r="AM128" i="1"/>
  <c r="AN128" i="1" s="1"/>
  <c r="EB128" i="1"/>
  <c r="CS128" i="1"/>
  <c r="CW128" i="1" s="1"/>
  <c r="DU182" i="1"/>
  <c r="EA47" i="1"/>
  <c r="AM331" i="1"/>
  <c r="EC331" i="1"/>
  <c r="CS331" i="1"/>
  <c r="DU331" i="1"/>
  <c r="DR331" i="1"/>
  <c r="DS331" i="1" s="1"/>
  <c r="AM308" i="1"/>
  <c r="DR308" i="1"/>
  <c r="DS308" i="1" s="1"/>
  <c r="DO308" i="1"/>
  <c r="DP308" i="1" s="1"/>
  <c r="DX308" i="1" s="1"/>
  <c r="CX308" i="1" s="1"/>
  <c r="EB308" i="1"/>
  <c r="AM384" i="1"/>
  <c r="EA384" i="1"/>
  <c r="CS310" i="1"/>
  <c r="AM34" i="1"/>
  <c r="CS34" i="1"/>
  <c r="EC34" i="1"/>
  <c r="EG34" i="1"/>
  <c r="EM34" i="1" s="1"/>
  <c r="DU34" i="1"/>
  <c r="DO34" i="1"/>
  <c r="DP34" i="1" s="1"/>
  <c r="DX34" i="1" s="1"/>
  <c r="CX34" i="1" s="1"/>
  <c r="DR34" i="1"/>
  <c r="DS34" i="1" s="1"/>
  <c r="EA34" i="1"/>
  <c r="EB34" i="1"/>
  <c r="EE34" i="1"/>
  <c r="AM367" i="1"/>
  <c r="EC367" i="1"/>
  <c r="DU367" i="1"/>
  <c r="CS23" i="1"/>
  <c r="CS311" i="1"/>
  <c r="CS279" i="1"/>
  <c r="EB182" i="1"/>
  <c r="EC182" i="1"/>
  <c r="CS104" i="1"/>
  <c r="AM261" i="1"/>
  <c r="EB261" i="1"/>
  <c r="DO261" i="1"/>
  <c r="DP261" i="1" s="1"/>
  <c r="DX261" i="1" s="1"/>
  <c r="CX261" i="1" s="1"/>
  <c r="EA261" i="1"/>
  <c r="AM369" i="1"/>
  <c r="EC369" i="1"/>
  <c r="AM398" i="1"/>
  <c r="CS398" i="1"/>
  <c r="EC398" i="1"/>
  <c r="EG398" i="1"/>
  <c r="EM398" i="1" s="1"/>
  <c r="EE398" i="1"/>
  <c r="AM243" i="1"/>
  <c r="EA243" i="1"/>
  <c r="AM101" i="1"/>
  <c r="AN101" i="1" s="1"/>
  <c r="EB101" i="1"/>
  <c r="EG101" i="1"/>
  <c r="EM101" i="1" s="1"/>
  <c r="AM173" i="1"/>
  <c r="DU173" i="1"/>
  <c r="AM378" i="1"/>
  <c r="DU378" i="1"/>
  <c r="EU383" i="1"/>
  <c r="ES383" i="1"/>
  <c r="CS367" i="1"/>
  <c r="DR373" i="1"/>
  <c r="DS373" i="1" s="1"/>
  <c r="AM68" i="1"/>
  <c r="AN68" i="1" s="1"/>
  <c r="EG68" i="1"/>
  <c r="EM68" i="1" s="1"/>
  <c r="CS68" i="1"/>
  <c r="EB68" i="1"/>
  <c r="AM410" i="1"/>
  <c r="EG410" i="1"/>
  <c r="EM410" i="1" s="1"/>
  <c r="AM399" i="1"/>
  <c r="DO399" i="1"/>
  <c r="DP399" i="1" s="1"/>
  <c r="DX399" i="1" s="1"/>
  <c r="CS399" i="1"/>
  <c r="EC399" i="1"/>
  <c r="AM338" i="1"/>
  <c r="DO338" i="1"/>
  <c r="DP338" i="1" s="1"/>
  <c r="DX338" i="1" s="1"/>
  <c r="CX338" i="1" s="1"/>
  <c r="EC338" i="1"/>
  <c r="EB338" i="1"/>
  <c r="DR338" i="1"/>
  <c r="DS338" i="1" s="1"/>
  <c r="CS338" i="1"/>
  <c r="CS263" i="1"/>
  <c r="AM345" i="1"/>
  <c r="DO345" i="1"/>
  <c r="DP345" i="1" s="1"/>
  <c r="DX345" i="1" s="1"/>
  <c r="CX345" i="1" s="1"/>
  <c r="EA345" i="1"/>
  <c r="DR345" i="1"/>
  <c r="DS345" i="1" s="1"/>
  <c r="CS151" i="1"/>
  <c r="CS155" i="1"/>
  <c r="CS278" i="1"/>
  <c r="AM355" i="1"/>
  <c r="EC355" i="1"/>
  <c r="AM356" i="1"/>
  <c r="AN356" i="1" s="1"/>
  <c r="BD356" i="1" s="1"/>
  <c r="CS277" i="1"/>
  <c r="AM156" i="1"/>
  <c r="EB156" i="1"/>
  <c r="EA156" i="1"/>
  <c r="DR156" i="1"/>
  <c r="DS156" i="1" s="1"/>
  <c r="DO156" i="1"/>
  <c r="DP156" i="1" s="1"/>
  <c r="DX156" i="1" s="1"/>
  <c r="CX156" i="1" s="1"/>
  <c r="CS201" i="1"/>
  <c r="AM354" i="1"/>
  <c r="AN354" i="1" s="1"/>
  <c r="EA354" i="1"/>
  <c r="DR354" i="1"/>
  <c r="DS354" i="1" s="1"/>
  <c r="CS354" i="1"/>
  <c r="DO354" i="1"/>
  <c r="DP354" i="1" s="1"/>
  <c r="DX354" i="1" s="1"/>
  <c r="CX354" i="1" s="1"/>
  <c r="DU354" i="1"/>
  <c r="AM69" i="1"/>
  <c r="DR69" i="1"/>
  <c r="DS69" i="1" s="1"/>
  <c r="AM397" i="1"/>
  <c r="AN397" i="1" s="1"/>
  <c r="EG397" i="1"/>
  <c r="EM397" i="1" s="1"/>
  <c r="EE397" i="1"/>
  <c r="EB397" i="1"/>
  <c r="AM371" i="1"/>
  <c r="EB371" i="1"/>
  <c r="EG371" i="1"/>
  <c r="EM371" i="1" s="1"/>
  <c r="CS371" i="1"/>
  <c r="DR371" i="1"/>
  <c r="DS371" i="1" s="1"/>
  <c r="CS19" i="1"/>
  <c r="CS286" i="1"/>
  <c r="AM182" i="1"/>
  <c r="EG182" i="1"/>
  <c r="EM182" i="1" s="1"/>
  <c r="AM377" i="1"/>
  <c r="AN377" i="1" s="1"/>
  <c r="DO377" i="1"/>
  <c r="DP377" i="1" s="1"/>
  <c r="DX377" i="1" s="1"/>
  <c r="CX377" i="1" s="1"/>
  <c r="EC377" i="1"/>
  <c r="DU377" i="1"/>
  <c r="EA377" i="1"/>
  <c r="EE377" i="1"/>
  <c r="CS102" i="1"/>
  <c r="CS47" i="1"/>
  <c r="EE69" i="1"/>
  <c r="CS368" i="1"/>
  <c r="AM411" i="1"/>
  <c r="DO411" i="1"/>
  <c r="DP411" i="1" s="1"/>
  <c r="DX411" i="1" s="1"/>
  <c r="CX411" i="1" s="1"/>
  <c r="EG411" i="1"/>
  <c r="EM411" i="1" s="1"/>
  <c r="DR411" i="1"/>
  <c r="DS411" i="1" s="1"/>
  <c r="EA411" i="1"/>
  <c r="EC411" i="1"/>
  <c r="AM375" i="1"/>
  <c r="EC375" i="1"/>
  <c r="EG375" i="1"/>
  <c r="EM375" i="1" s="1"/>
  <c r="DU375" i="1"/>
  <c r="CS36" i="1"/>
  <c r="CS152" i="1"/>
  <c r="AM350" i="1"/>
  <c r="EB350" i="1"/>
  <c r="AM361" i="1"/>
  <c r="CS361" i="1"/>
  <c r="EA361" i="1"/>
  <c r="AM406" i="1"/>
  <c r="DR406" i="1"/>
  <c r="DS406" i="1" s="1"/>
  <c r="DO406" i="1"/>
  <c r="DP406" i="1" s="1"/>
  <c r="DX406" i="1" s="1"/>
  <c r="CX406" i="1" s="1"/>
  <c r="EC406" i="1"/>
  <c r="EA406" i="1"/>
  <c r="EG406" i="1"/>
  <c r="EM406" i="1" s="1"/>
  <c r="AM372" i="1"/>
  <c r="DO372" i="1"/>
  <c r="DP372" i="1" s="1"/>
  <c r="DX372" i="1" s="1"/>
  <c r="CX372" i="1" s="1"/>
  <c r="DU372" i="1"/>
  <c r="AM407" i="1"/>
  <c r="DO407" i="1"/>
  <c r="DP407" i="1" s="1"/>
  <c r="DX407" i="1" s="1"/>
  <c r="CX407" i="1" s="1"/>
  <c r="EA407" i="1"/>
  <c r="EG407" i="1"/>
  <c r="EM407" i="1" s="1"/>
  <c r="AM391" i="1"/>
  <c r="EG391" i="1"/>
  <c r="EM391" i="1" s="1"/>
  <c r="DR391" i="1"/>
  <c r="DS391" i="1" s="1"/>
  <c r="AM241" i="1"/>
  <c r="DU241" i="1"/>
  <c r="EA241" i="1"/>
  <c r="EC241" i="1"/>
  <c r="DR241" i="1"/>
  <c r="DS241" i="1" s="1"/>
  <c r="AM54" i="1"/>
  <c r="EC54" i="1"/>
  <c r="AM344" i="1"/>
  <c r="AN344" i="1" s="1"/>
  <c r="DO344" i="1"/>
  <c r="DP344" i="1" s="1"/>
  <c r="DX344" i="1" s="1"/>
  <c r="CX344" i="1" s="1"/>
  <c r="EC344" i="1"/>
  <c r="AM387" i="1"/>
  <c r="CS387" i="1"/>
  <c r="AM388" i="1"/>
  <c r="CS388" i="1"/>
  <c r="AM224" i="1"/>
  <c r="EG224" i="1"/>
  <c r="EM224" i="1" s="1"/>
  <c r="EA224" i="1"/>
  <c r="AM400" i="1"/>
  <c r="DO400" i="1"/>
  <c r="DP400" i="1" s="1"/>
  <c r="DX400" i="1" s="1"/>
  <c r="CX400" i="1" s="1"/>
  <c r="AM363" i="1"/>
  <c r="EE363" i="1"/>
  <c r="DR363" i="1"/>
  <c r="DS363" i="1" s="1"/>
  <c r="AM412" i="1"/>
  <c r="AN412" i="1" s="1"/>
  <c r="EE412" i="1"/>
  <c r="EA412" i="1"/>
  <c r="EB412" i="1"/>
  <c r="EC412" i="1"/>
  <c r="EG412" i="1"/>
  <c r="EM412" i="1" s="1"/>
  <c r="CS281" i="1"/>
  <c r="CS103" i="1"/>
  <c r="AM401" i="1"/>
  <c r="DO401" i="1"/>
  <c r="DP401" i="1" s="1"/>
  <c r="DX401" i="1" s="1"/>
  <c r="CX401" i="1" s="1"/>
  <c r="CS401" i="1"/>
  <c r="EE401" i="1"/>
  <c r="AM179" i="1"/>
  <c r="AN179" i="1" s="1"/>
  <c r="EE179" i="1"/>
  <c r="AM348" i="1"/>
  <c r="EC348" i="1"/>
  <c r="CS260" i="1"/>
  <c r="CS129" i="1"/>
  <c r="CS43" i="1"/>
  <c r="AM380" i="1"/>
  <c r="DR380" i="1"/>
  <c r="DS380" i="1" s="1"/>
  <c r="CS288" i="1"/>
  <c r="AM339" i="1"/>
  <c r="DO339" i="1"/>
  <c r="DP339" i="1" s="1"/>
  <c r="DX339" i="1" s="1"/>
  <c r="CX339" i="1" s="1"/>
  <c r="CS174" i="1"/>
  <c r="AM280" i="1"/>
  <c r="EG280" i="1"/>
  <c r="EM280" i="1" s="1"/>
  <c r="AM365" i="1"/>
  <c r="EC365" i="1"/>
  <c r="EG365" i="1"/>
  <c r="EM365" i="1" s="1"/>
  <c r="AM385" i="1"/>
  <c r="EG385" i="1"/>
  <c r="EM385" i="1" s="1"/>
  <c r="AM382" i="1"/>
  <c r="AN382" i="1" s="1"/>
  <c r="EB382" i="1"/>
  <c r="CS382" i="1"/>
  <c r="AM389" i="1"/>
  <c r="EE389" i="1"/>
  <c r="AM251" i="1"/>
  <c r="EB251" i="1"/>
  <c r="AM393" i="1"/>
  <c r="CS393" i="1"/>
  <c r="EE393" i="1"/>
  <c r="EB393" i="1"/>
  <c r="AM358" i="1"/>
  <c r="CS358" i="1"/>
  <c r="DU358" i="1"/>
  <c r="EG358" i="1"/>
  <c r="EM358" i="1" s="1"/>
  <c r="AM56" i="1"/>
  <c r="DU56" i="1"/>
  <c r="CS105" i="1"/>
  <c r="CS33" i="1"/>
  <c r="AM362" i="1"/>
  <c r="EG362" i="1"/>
  <c r="EM362" i="1" s="1"/>
  <c r="AM364" i="1"/>
  <c r="EC364" i="1"/>
  <c r="EE364" i="1"/>
  <c r="DR364" i="1"/>
  <c r="DS364" i="1" s="1"/>
  <c r="AM252" i="1"/>
  <c r="DR252" i="1"/>
  <c r="DS252" i="1" s="1"/>
  <c r="AM21" i="1"/>
  <c r="EC21" i="1"/>
  <c r="EB21" i="1"/>
  <c r="DR21" i="1"/>
  <c r="DS21" i="1" s="1"/>
  <c r="EE21" i="1"/>
  <c r="EA21" i="1"/>
  <c r="EG21" i="1"/>
  <c r="EM21" i="1" s="1"/>
  <c r="CS21" i="1"/>
  <c r="CS242" i="1"/>
  <c r="AM330" i="1"/>
  <c r="EE330" i="1"/>
  <c r="DO330" i="1"/>
  <c r="DP330" i="1" s="1"/>
  <c r="DX330" i="1" s="1"/>
  <c r="CX330" i="1" s="1"/>
  <c r="DU330" i="1"/>
  <c r="EG330" i="1"/>
  <c r="EM330" i="1" s="1"/>
  <c r="EB330" i="1"/>
  <c r="AM404" i="1"/>
  <c r="EA404" i="1"/>
  <c r="EC404" i="1"/>
  <c r="DU404" i="1"/>
  <c r="DO404" i="1"/>
  <c r="DP404" i="1" s="1"/>
  <c r="DX404" i="1" s="1"/>
  <c r="CX404" i="1" s="1"/>
  <c r="EB404" i="1"/>
  <c r="AM106" i="1"/>
  <c r="AM386" i="1"/>
  <c r="EB386" i="1"/>
  <c r="DU386" i="1"/>
  <c r="AM183" i="1"/>
  <c r="EG183" i="1"/>
  <c r="EM183" i="1" s="1"/>
  <c r="CS100" i="1"/>
  <c r="AM376" i="1"/>
  <c r="AN376" i="1" s="1"/>
  <c r="EC376" i="1"/>
  <c r="DR376" i="1"/>
  <c r="DS376" i="1" s="1"/>
  <c r="AM353" i="1"/>
  <c r="DO353" i="1"/>
  <c r="DP353" i="1" s="1"/>
  <c r="DX353" i="1" s="1"/>
  <c r="CX353" i="1" s="1"/>
  <c r="CS285" i="1"/>
  <c r="AM394" i="1"/>
  <c r="EB394" i="1"/>
  <c r="AM408" i="1"/>
  <c r="DR408" i="1"/>
  <c r="DS408" i="1" s="1"/>
  <c r="EC408" i="1"/>
  <c r="AM178" i="1"/>
  <c r="EC178" i="1"/>
  <c r="CS205" i="1"/>
  <c r="AM392" i="1"/>
  <c r="DO392" i="1"/>
  <c r="DP392" i="1" s="1"/>
  <c r="DX392" i="1" s="1"/>
  <c r="CX392" i="1" s="1"/>
  <c r="EG392" i="1"/>
  <c r="EM392" i="1" s="1"/>
  <c r="CS204" i="1"/>
  <c r="CS289" i="1"/>
  <c r="AM309" i="1"/>
  <c r="EB309" i="1"/>
  <c r="CS153" i="1"/>
  <c r="AM409" i="1"/>
  <c r="AN409" i="1" s="1"/>
  <c r="BD409" i="1" s="1"/>
  <c r="EA409" i="1"/>
  <c r="CS409" i="1"/>
  <c r="AM383" i="1"/>
  <c r="AN383" i="1" s="1"/>
  <c r="EB383" i="1"/>
  <c r="DR383" i="1"/>
  <c r="DS383" i="1" s="1"/>
  <c r="DO383" i="1"/>
  <c r="DP383" i="1" s="1"/>
  <c r="DX383" i="1" s="1"/>
  <c r="CX383" i="1" s="1"/>
  <c r="AM346" i="1"/>
  <c r="AN346" i="1" s="1"/>
  <c r="DU346" i="1"/>
  <c r="AM347" i="1"/>
  <c r="CS347" i="1"/>
  <c r="EG347" i="1"/>
  <c r="EM347" i="1" s="1"/>
  <c r="EE347" i="1"/>
  <c r="EC347" i="1"/>
  <c r="EB347" i="1"/>
  <c r="AM360" i="1"/>
  <c r="EA360" i="1"/>
  <c r="AM374" i="1"/>
  <c r="CS374" i="1"/>
  <c r="AM405" i="1"/>
  <c r="CS405" i="1"/>
  <c r="EG405" i="1"/>
  <c r="EM405" i="1" s="1"/>
  <c r="EC405" i="1"/>
  <c r="CS198" i="1"/>
  <c r="AM35" i="1"/>
  <c r="AN35" i="1" s="1"/>
  <c r="EB35" i="1"/>
  <c r="EA35" i="1"/>
  <c r="DO35" i="1"/>
  <c r="DP35" i="1" s="1"/>
  <c r="DX35" i="1" s="1"/>
  <c r="CX35" i="1" s="1"/>
  <c r="EC35" i="1"/>
  <c r="DU35" i="1"/>
  <c r="DR35" i="1"/>
  <c r="DS35" i="1" s="1"/>
  <c r="EG35" i="1"/>
  <c r="EM35" i="1" s="1"/>
  <c r="CS35" i="1"/>
  <c r="EE35" i="1"/>
  <c r="CS283" i="1"/>
  <c r="CS284" i="1"/>
  <c r="AM402" i="1"/>
  <c r="EB402" i="1"/>
  <c r="EG402" i="1"/>
  <c r="EM402" i="1" s="1"/>
  <c r="AM225" i="1"/>
  <c r="DR225" i="1"/>
  <c r="DS225" i="1" s="1"/>
  <c r="CS55" i="1"/>
  <c r="AR154" i="1"/>
  <c r="AM357" i="1"/>
  <c r="EU350" i="1"/>
  <c r="ES331" i="1"/>
  <c r="ES377" i="1"/>
  <c r="CW412" i="1"/>
  <c r="DV373" i="1"/>
  <c r="BM373" i="1" s="1" a="1"/>
  <c r="BM373" i="1" s="1"/>
  <c r="EL350" i="1"/>
  <c r="DV364" i="1"/>
  <c r="BM364" i="1" s="1" a="1"/>
  <c r="BM364" i="1" s="1"/>
  <c r="EL364" i="1"/>
  <c r="ED410" i="1"/>
  <c r="DV410" i="1"/>
  <c r="BM410" i="1" s="1" a="1"/>
  <c r="BM410" i="1" s="1"/>
  <c r="ES345" i="1"/>
  <c r="CW410" i="1"/>
  <c r="ES220" i="1"/>
  <c r="EU391" i="1"/>
  <c r="CU396" i="1"/>
  <c r="EK396" i="1" s="1"/>
  <c r="EL396" i="1"/>
  <c r="BV385" i="1"/>
  <c r="BT385" i="1"/>
  <c r="BS385" i="1"/>
  <c r="BV362" i="1"/>
  <c r="BT362" i="1"/>
  <c r="BS362" i="1"/>
  <c r="BV373" i="1"/>
  <c r="BT373" i="1"/>
  <c r="BS373" i="1"/>
  <c r="BL163" i="1" a="1"/>
  <c r="BL163" i="1" s="1"/>
  <c r="BL204" i="1" a="1"/>
  <c r="BL204" i="1" s="1"/>
  <c r="CK390" i="1"/>
  <c r="BL390" i="1" a="1"/>
  <c r="BL390" i="1" s="1"/>
  <c r="BX390" i="1"/>
  <c r="CC390" i="1" s="1"/>
  <c r="BL342" i="1" a="1"/>
  <c r="BL342" i="1" s="1"/>
  <c r="BL164" i="1" a="1"/>
  <c r="BL164" i="1" s="1"/>
  <c r="BL292" i="1" a="1"/>
  <c r="BL292" i="1" s="1"/>
  <c r="BL323" i="1" a="1"/>
  <c r="BL323" i="1" s="1"/>
  <c r="BL343" i="1" a="1"/>
  <c r="BL343" i="1" s="1"/>
  <c r="CK343" i="1"/>
  <c r="BX343" i="1"/>
  <c r="CC343" i="1" s="1"/>
  <c r="BL359" i="1" a="1"/>
  <c r="BL359" i="1" s="1"/>
  <c r="CK359" i="1"/>
  <c r="BX359" i="1"/>
  <c r="CC359" i="1" s="1"/>
  <c r="BL222" i="1" a="1"/>
  <c r="BL222" i="1" s="1"/>
  <c r="BL301" i="1" a="1"/>
  <c r="BL301" i="1" s="1"/>
  <c r="BX394" i="1"/>
  <c r="CC394" i="1" s="1"/>
  <c r="CK394" i="1"/>
  <c r="BL394" i="1" a="1"/>
  <c r="BL394" i="1" s="1"/>
  <c r="BX372" i="1"/>
  <c r="CC372" i="1" s="1"/>
  <c r="CK372" i="1"/>
  <c r="BL372" i="1" a="1"/>
  <c r="BL372" i="1" s="1"/>
  <c r="BL199" i="1" a="1"/>
  <c r="BL199" i="1" s="1"/>
  <c r="BL255" i="1" a="1"/>
  <c r="BL255" i="1" s="1"/>
  <c r="BL141" i="1" a="1"/>
  <c r="BL141" i="1" s="1"/>
  <c r="BL208" i="1" a="1"/>
  <c r="BL208" i="1" s="1"/>
  <c r="BL295" i="1" a="1"/>
  <c r="BL295" i="1" s="1"/>
  <c r="BL201" i="1" a="1"/>
  <c r="BL201" i="1" s="1"/>
  <c r="BL176" i="1" a="1"/>
  <c r="BL176" i="1" s="1"/>
  <c r="BL117" i="1" a="1"/>
  <c r="BL117" i="1" s="1"/>
  <c r="BL234" i="1" a="1"/>
  <c r="BL234" i="1" s="1"/>
  <c r="BL69" i="1" a="1"/>
  <c r="BL69" i="1" s="1"/>
  <c r="BX69" i="1"/>
  <c r="CC69" i="1" s="1"/>
  <c r="CK69" i="1"/>
  <c r="BV394" i="1"/>
  <c r="BT394" i="1"/>
  <c r="BS394" i="1"/>
  <c r="BT405" i="1"/>
  <c r="BS405" i="1"/>
  <c r="BV405" i="1"/>
  <c r="BV365" i="1"/>
  <c r="BT365" i="1"/>
  <c r="BS365" i="1"/>
  <c r="BV54" i="1"/>
  <c r="BS54" i="1"/>
  <c r="BT54" i="1"/>
  <c r="BS367" i="1"/>
  <c r="BT367" i="1"/>
  <c r="BV367" i="1"/>
  <c r="BS308" i="1"/>
  <c r="BV308" i="1"/>
  <c r="BT308" i="1"/>
  <c r="BV309" i="1"/>
  <c r="BT309" i="1"/>
  <c r="BS309" i="1"/>
  <c r="BV106" i="1"/>
  <c r="BT106" i="1"/>
  <c r="BS106" i="1"/>
  <c r="BL137" i="1" a="1"/>
  <c r="BL137" i="1" s="1"/>
  <c r="BL266" i="1" a="1"/>
  <c r="BL266" i="1" s="1"/>
  <c r="BL70" i="1" a="1"/>
  <c r="BL70" i="1" s="1"/>
  <c r="CK261" i="1"/>
  <c r="BX261" i="1"/>
  <c r="CC261" i="1" s="1"/>
  <c r="BL261" i="1" a="1"/>
  <c r="BL261" i="1" s="1"/>
  <c r="BX410" i="1"/>
  <c r="CC410" i="1" s="1"/>
  <c r="CK410" i="1"/>
  <c r="BL410" i="1" a="1"/>
  <c r="BL410" i="1" s="1"/>
  <c r="BL37" i="1" a="1"/>
  <c r="BL37" i="1" s="1"/>
  <c r="BL166" i="1" a="1"/>
  <c r="BL166" i="1" s="1"/>
  <c r="BL47" i="1" a="1"/>
  <c r="BL47" i="1" s="1"/>
  <c r="CK47" i="1"/>
  <c r="BX47" i="1"/>
  <c r="CC47" i="1" s="1"/>
  <c r="BL87" i="1" a="1"/>
  <c r="BL87" i="1" s="1"/>
  <c r="BX21" i="1"/>
  <c r="CC21" i="1" s="1"/>
  <c r="BL21" i="1" a="1"/>
  <c r="BL21" i="1" s="1"/>
  <c r="CK21" i="1"/>
  <c r="BL105" i="1" a="1"/>
  <c r="BL105" i="1" s="1"/>
  <c r="BL175" i="1" a="1"/>
  <c r="BL175" i="1" s="1"/>
  <c r="BX375" i="1"/>
  <c r="CC375" i="1" s="1"/>
  <c r="CK375" i="1"/>
  <c r="BL375" i="1" a="1"/>
  <c r="BL375" i="1" s="1"/>
  <c r="BL67" i="1" a="1"/>
  <c r="BL67" i="1" s="1"/>
  <c r="CK406" i="1"/>
  <c r="BL406" i="1" a="1"/>
  <c r="BL406" i="1" s="1"/>
  <c r="BX406" i="1"/>
  <c r="CC406" i="1" s="1"/>
  <c r="BL30" i="1" a="1"/>
  <c r="BL30" i="1" s="1"/>
  <c r="BL20" i="1" a="1"/>
  <c r="BL20" i="1" s="1"/>
  <c r="BL107" i="1" a="1"/>
  <c r="BL107" i="1" s="1"/>
  <c r="BL235" i="1" a="1"/>
  <c r="BL235" i="1" s="1"/>
  <c r="CK367" i="1"/>
  <c r="BL367" i="1" a="1"/>
  <c r="BL367" i="1" s="1"/>
  <c r="BX367" i="1"/>
  <c r="CC367" i="1" s="1"/>
  <c r="BL32" i="1" a="1"/>
  <c r="BL32" i="1" s="1"/>
  <c r="BX68" i="1"/>
  <c r="CC68" i="1" s="1"/>
  <c r="CK68" i="1"/>
  <c r="BL68" i="1" a="1"/>
  <c r="BL68" i="1" s="1"/>
  <c r="CK409" i="1"/>
  <c r="BL409" i="1" a="1"/>
  <c r="BL409" i="1" s="1"/>
  <c r="BN409" i="1" s="1"/>
  <c r="BX409" i="1"/>
  <c r="CC409" i="1" s="1"/>
  <c r="BL187" i="1" a="1"/>
  <c r="BL187" i="1" s="1"/>
  <c r="BV380" i="1"/>
  <c r="BT380" i="1"/>
  <c r="BS380" i="1"/>
  <c r="BV173" i="1"/>
  <c r="BS173" i="1"/>
  <c r="BT173" i="1"/>
  <c r="BS353" i="1"/>
  <c r="BV353" i="1"/>
  <c r="BT353" i="1"/>
  <c r="BV366" i="1"/>
  <c r="BS366" i="1"/>
  <c r="BT366" i="1"/>
  <c r="BT331" i="1"/>
  <c r="BV331" i="1"/>
  <c r="BS331" i="1"/>
  <c r="BS378" i="1"/>
  <c r="BV378" i="1"/>
  <c r="BT378" i="1"/>
  <c r="BV34" i="1"/>
  <c r="BT34" i="1"/>
  <c r="BS34" i="1"/>
  <c r="BL145" i="1" a="1"/>
  <c r="BL145" i="1" s="1"/>
  <c r="BL171" i="1" a="1"/>
  <c r="BL171" i="1" s="1"/>
  <c r="BL212" i="1" a="1"/>
  <c r="BL212" i="1" s="1"/>
  <c r="BL251" i="1" a="1"/>
  <c r="BL251" i="1" s="1"/>
  <c r="BX251" i="1"/>
  <c r="CC251" i="1" s="1"/>
  <c r="CK251" i="1"/>
  <c r="BL35" i="1" a="1"/>
  <c r="BL35" i="1" s="1"/>
  <c r="BX35" i="1"/>
  <c r="CC35" i="1" s="1"/>
  <c r="CK35" i="1"/>
  <c r="CK351" i="1"/>
  <c r="BL351" i="1" a="1"/>
  <c r="BL351" i="1" s="1"/>
  <c r="BX351" i="1"/>
  <c r="CC351" i="1" s="1"/>
  <c r="BL61" i="1" a="1"/>
  <c r="BL61" i="1" s="1"/>
  <c r="BX378" i="1"/>
  <c r="CC378" i="1" s="1"/>
  <c r="CK378" i="1"/>
  <c r="BL378" i="1" a="1"/>
  <c r="BL378" i="1" s="1"/>
  <c r="CK380" i="1"/>
  <c r="BL380" i="1" a="1"/>
  <c r="BL380" i="1" s="1"/>
  <c r="BX380" i="1"/>
  <c r="CC380" i="1" s="1"/>
  <c r="BL310" i="1" a="1"/>
  <c r="BL310" i="1" s="1"/>
  <c r="BL111" i="1" a="1"/>
  <c r="BL111" i="1" s="1"/>
  <c r="CK154" i="1"/>
  <c r="BX154" i="1"/>
  <c r="CC154" i="1" s="1"/>
  <c r="BL154" i="1" a="1"/>
  <c r="BL154" i="1" s="1"/>
  <c r="BL363" i="1" a="1"/>
  <c r="BL363" i="1" s="1"/>
  <c r="CK363" i="1"/>
  <c r="BX363" i="1"/>
  <c r="CC363" i="1" s="1"/>
  <c r="BL272" i="1" a="1"/>
  <c r="BL272" i="1" s="1"/>
  <c r="BL384" i="1" a="1"/>
  <c r="BL384" i="1" s="1"/>
  <c r="BN384" i="1" s="1"/>
  <c r="CK384" i="1"/>
  <c r="BX384" i="1"/>
  <c r="CC384" i="1" s="1"/>
  <c r="CK402" i="1"/>
  <c r="BL402" i="1" a="1"/>
  <c r="BL402" i="1" s="1"/>
  <c r="BX402" i="1"/>
  <c r="CC402" i="1" s="1"/>
  <c r="BL112" i="1" a="1"/>
  <c r="BL112" i="1" s="1"/>
  <c r="BL140" i="1" a="1"/>
  <c r="BL140" i="1" s="1"/>
  <c r="CK374" i="1"/>
  <c r="BL374" i="1" a="1"/>
  <c r="BL374" i="1" s="1"/>
  <c r="BX374" i="1"/>
  <c r="CC374" i="1" s="1"/>
  <c r="BL304" i="1" a="1"/>
  <c r="BL304" i="1" s="1"/>
  <c r="BL329" i="1" a="1"/>
  <c r="BL329" i="1" s="1"/>
  <c r="BL216" i="1" a="1"/>
  <c r="BL216" i="1" s="1"/>
  <c r="BL270" i="1" a="1"/>
  <c r="BL270" i="1" s="1"/>
  <c r="BL392" i="1" a="1"/>
  <c r="BL392" i="1" s="1"/>
  <c r="BN392" i="1" s="1"/>
  <c r="BX392" i="1"/>
  <c r="CC392" i="1" s="1"/>
  <c r="CK392" i="1"/>
  <c r="BL185" i="1" a="1"/>
  <c r="BL185" i="1" s="1"/>
  <c r="BL277" i="1" a="1"/>
  <c r="BL277" i="1" s="1"/>
  <c r="BL34" i="1" a="1"/>
  <c r="BL34" i="1" s="1"/>
  <c r="CK34" i="1"/>
  <c r="BX34" i="1"/>
  <c r="CC34" i="1" s="1"/>
  <c r="CK348" i="1"/>
  <c r="BL348" i="1" a="1"/>
  <c r="BL348" i="1" s="1"/>
  <c r="BX348" i="1"/>
  <c r="CC348" i="1" s="1"/>
  <c r="BL242" i="1" a="1"/>
  <c r="BL242" i="1" s="1"/>
  <c r="BL408" i="1" a="1"/>
  <c r="BL408" i="1" s="1"/>
  <c r="BX408" i="1"/>
  <c r="CC408" i="1" s="1"/>
  <c r="CK408" i="1"/>
  <c r="BL14" i="1" a="1"/>
  <c r="BL14" i="1" s="1"/>
  <c r="BL151" i="1" a="1"/>
  <c r="BL151" i="1" s="1"/>
  <c r="BX391" i="1"/>
  <c r="CC391" i="1" s="1"/>
  <c r="CK391" i="1"/>
  <c r="BL391" i="1" a="1"/>
  <c r="BL391" i="1" s="1"/>
  <c r="BV156" i="1"/>
  <c r="BT156" i="1"/>
  <c r="BS156" i="1"/>
  <c r="BT402" i="1"/>
  <c r="BV402" i="1"/>
  <c r="BS402" i="1"/>
  <c r="BV375" i="1"/>
  <c r="BT375" i="1"/>
  <c r="BS375" i="1"/>
  <c r="BT330" i="1"/>
  <c r="BV330" i="1"/>
  <c r="BS330" i="1"/>
  <c r="BV399" i="1"/>
  <c r="BT399" i="1"/>
  <c r="BS399" i="1"/>
  <c r="BV391" i="1"/>
  <c r="BT391" i="1"/>
  <c r="BS391" i="1"/>
  <c r="BV350" i="1"/>
  <c r="BS350" i="1"/>
  <c r="BT350" i="1"/>
  <c r="BV220" i="1"/>
  <c r="BT220" i="1"/>
  <c r="BS220" i="1"/>
  <c r="BV400" i="1"/>
  <c r="BT400" i="1"/>
  <c r="BS400" i="1"/>
  <c r="BV412" i="1"/>
  <c r="BT412" i="1"/>
  <c r="BS412" i="1"/>
  <c r="CK373" i="1"/>
  <c r="BX373" i="1"/>
  <c r="CC373" i="1" s="1"/>
  <c r="BL373" i="1" a="1"/>
  <c r="BL373" i="1" s="1"/>
  <c r="BL172" i="1" a="1"/>
  <c r="BL172" i="1" s="1"/>
  <c r="BL102" i="1" a="1"/>
  <c r="BL102" i="1" s="1"/>
  <c r="BL157" i="1" a="1"/>
  <c r="BL157" i="1" s="1"/>
  <c r="BL230" i="1" a="1"/>
  <c r="BL230" i="1" s="1"/>
  <c r="BL174" i="1" a="1"/>
  <c r="BL174" i="1" s="1"/>
  <c r="BL207" i="1" a="1"/>
  <c r="BL207" i="1" s="1"/>
  <c r="BX207" i="1"/>
  <c r="CC207" i="1" s="1"/>
  <c r="CK207" i="1"/>
  <c r="BL49" i="1" a="1"/>
  <c r="BL49" i="1" s="1"/>
  <c r="BL294" i="1" a="1"/>
  <c r="BL294" i="1" s="1"/>
  <c r="BL51" i="1" a="1"/>
  <c r="BL51" i="1" s="1"/>
  <c r="BL288" i="1" a="1"/>
  <c r="BL288" i="1" s="1"/>
  <c r="BL98" i="1" a="1"/>
  <c r="BL98" i="1" s="1"/>
  <c r="BL58" i="1" a="1"/>
  <c r="BL58" i="1" s="1"/>
  <c r="BL321" i="1" a="1"/>
  <c r="BL321" i="1" s="1"/>
  <c r="BL194" i="1" a="1"/>
  <c r="BL194" i="1" s="1"/>
  <c r="BL76" i="1" a="1"/>
  <c r="BL76" i="1" s="1"/>
  <c r="BL109" i="1" a="1"/>
  <c r="BL109" i="1" s="1"/>
  <c r="BL100" i="1" a="1"/>
  <c r="BL100" i="1" s="1"/>
  <c r="CK368" i="1"/>
  <c r="BX368" i="1"/>
  <c r="CC368" i="1" s="1"/>
  <c r="BL368" i="1" a="1"/>
  <c r="BL368" i="1" s="1"/>
  <c r="BV383" i="1"/>
  <c r="BT383" i="1"/>
  <c r="BS383" i="1"/>
  <c r="BV352" i="1"/>
  <c r="BT352" i="1"/>
  <c r="BS352" i="1"/>
  <c r="BV183" i="1"/>
  <c r="BT183" i="1"/>
  <c r="BS183" i="1"/>
  <c r="BV407" i="1"/>
  <c r="BT407" i="1"/>
  <c r="BS407" i="1"/>
  <c r="BV393" i="1"/>
  <c r="BS393" i="1"/>
  <c r="BT393" i="1"/>
  <c r="BV339" i="1"/>
  <c r="BT339" i="1"/>
  <c r="BS339" i="1"/>
  <c r="BV377" i="1"/>
  <c r="BS377" i="1"/>
  <c r="BT377" i="1"/>
  <c r="BV44" i="1"/>
  <c r="BT44" i="1"/>
  <c r="BS44" i="1"/>
  <c r="BX350" i="1"/>
  <c r="CC350" i="1" s="1"/>
  <c r="BL350" i="1" a="1"/>
  <c r="BL350" i="1" s="1"/>
  <c r="CK350" i="1"/>
  <c r="CK220" i="1"/>
  <c r="BL220" i="1" a="1"/>
  <c r="BL220" i="1" s="1"/>
  <c r="BN220" i="1" s="1"/>
  <c r="BX220" i="1"/>
  <c r="CC220" i="1" s="1"/>
  <c r="BL52" i="1" a="1"/>
  <c r="BL52" i="1" s="1"/>
  <c r="BL19" i="1" a="1"/>
  <c r="BL19" i="1" s="1"/>
  <c r="BL189" i="1" a="1"/>
  <c r="BL189" i="1" s="1"/>
  <c r="BL85" i="1" a="1"/>
  <c r="BL85" i="1" s="1"/>
  <c r="BL190" i="1" a="1"/>
  <c r="BL190" i="1" s="1"/>
  <c r="BL64" i="1" a="1"/>
  <c r="BL64" i="1" s="1"/>
  <c r="BL311" i="1" a="1"/>
  <c r="BL311" i="1" s="1"/>
  <c r="BL120" i="1" a="1"/>
  <c r="BL120" i="1" s="1"/>
  <c r="BL325" i="1" a="1"/>
  <c r="BL325" i="1" s="1"/>
  <c r="BL337" i="1" a="1"/>
  <c r="BL337" i="1" s="1"/>
  <c r="BL354" i="1" a="1"/>
  <c r="BL354" i="1" s="1"/>
  <c r="CK354" i="1"/>
  <c r="BX354" i="1"/>
  <c r="CC354" i="1" s="1"/>
  <c r="BL224" i="1" a="1"/>
  <c r="BL224" i="1" s="1"/>
  <c r="CK224" i="1"/>
  <c r="BX224" i="1"/>
  <c r="CC224" i="1" s="1"/>
  <c r="CK225" i="1"/>
  <c r="BL225" i="1" a="1"/>
  <c r="BL225" i="1" s="1"/>
  <c r="BX225" i="1"/>
  <c r="CC225" i="1" s="1"/>
  <c r="BL193" i="1" a="1"/>
  <c r="BL193" i="1" s="1"/>
  <c r="BL134" i="1" a="1"/>
  <c r="BL134" i="1" s="1"/>
  <c r="BL283" i="1" a="1"/>
  <c r="BL283" i="1" s="1"/>
  <c r="BL306" i="1" a="1"/>
  <c r="BL306" i="1" s="1"/>
  <c r="BL161" i="1" a="1"/>
  <c r="BL161" i="1" s="1"/>
  <c r="BL42" i="1" a="1"/>
  <c r="BL42" i="1" s="1"/>
  <c r="BL33" i="1" a="1"/>
  <c r="BL33" i="1" s="1"/>
  <c r="BL83" i="1" a="1"/>
  <c r="BL83" i="1" s="1"/>
  <c r="BT262" i="1"/>
  <c r="BS262" i="1"/>
  <c r="BV262" i="1"/>
  <c r="BV338" i="1"/>
  <c r="BT338" i="1"/>
  <c r="BS338" i="1"/>
  <c r="BV398" i="1"/>
  <c r="BT398" i="1"/>
  <c r="BS398" i="1"/>
  <c r="BS349" i="1"/>
  <c r="BV349" i="1"/>
  <c r="BT349" i="1"/>
  <c r="BT35" i="1"/>
  <c r="BV35" i="1"/>
  <c r="BS35" i="1"/>
  <c r="BL17" i="1" a="1"/>
  <c r="BL17" i="1" s="1"/>
  <c r="BL181" i="1" a="1"/>
  <c r="BL181" i="1" s="1"/>
  <c r="BL322" i="1" a="1"/>
  <c r="BL322" i="1" s="1"/>
  <c r="BL36" i="1" a="1"/>
  <c r="BL36" i="1" s="1"/>
  <c r="BL146" i="1" a="1"/>
  <c r="BL146" i="1" s="1"/>
  <c r="BX401" i="1"/>
  <c r="CC401" i="1" s="1"/>
  <c r="BL401" i="1" a="1"/>
  <c r="BL401" i="1" s="1"/>
  <c r="CK401" i="1"/>
  <c r="BL119" i="1" a="1"/>
  <c r="BL119" i="1" s="1"/>
  <c r="BL238" i="1" a="1"/>
  <c r="BL238" i="1" s="1"/>
  <c r="BL148" i="1" a="1"/>
  <c r="BL148" i="1" s="1"/>
  <c r="BX353" i="1"/>
  <c r="CC353" i="1" s="1"/>
  <c r="CK353" i="1"/>
  <c r="BL353" i="1" a="1"/>
  <c r="BL353" i="1" s="1"/>
  <c r="BL215" i="1" a="1"/>
  <c r="BL215" i="1" s="1"/>
  <c r="CK382" i="1"/>
  <c r="BX382" i="1"/>
  <c r="CC382" i="1" s="1"/>
  <c r="BL382" i="1" a="1"/>
  <c r="BL382" i="1" s="1"/>
  <c r="BL302" i="1" a="1"/>
  <c r="BL302" i="1" s="1"/>
  <c r="BL395" i="1" a="1"/>
  <c r="BL395" i="1" s="1"/>
  <c r="BX395" i="1"/>
  <c r="CC395" i="1" s="1"/>
  <c r="CK395" i="1"/>
  <c r="BX241" i="1"/>
  <c r="CC241" i="1" s="1"/>
  <c r="BL241" i="1" a="1"/>
  <c r="BL241" i="1" s="1"/>
  <c r="CK241" i="1"/>
  <c r="BL274" i="1" a="1"/>
  <c r="BL274" i="1" s="1"/>
  <c r="BL106" i="1" a="1"/>
  <c r="BL106" i="1" s="1"/>
  <c r="CK106" i="1"/>
  <c r="BX106" i="1"/>
  <c r="CC106" i="1" s="1"/>
  <c r="CK387" i="1"/>
  <c r="BX387" i="1"/>
  <c r="CC387" i="1" s="1"/>
  <c r="BL387" i="1" a="1"/>
  <c r="BL387" i="1" s="1"/>
  <c r="BL115" i="1" a="1"/>
  <c r="BL115" i="1" s="1"/>
  <c r="BL250" i="1" a="1"/>
  <c r="BL250" i="1" s="1"/>
  <c r="BL82" i="1" a="1"/>
  <c r="BL82" i="1" s="1"/>
  <c r="BL62" i="1" a="1"/>
  <c r="BL62" i="1" s="1"/>
  <c r="BL195" i="1" a="1"/>
  <c r="BL195" i="1" s="1"/>
  <c r="BV182" i="1"/>
  <c r="BS182" i="1"/>
  <c r="BT182" i="1"/>
  <c r="BV360" i="1"/>
  <c r="BT360" i="1"/>
  <c r="BS360" i="1"/>
  <c r="BT346" i="1"/>
  <c r="BV346" i="1"/>
  <c r="BS346" i="1"/>
  <c r="BV386" i="1"/>
  <c r="BT386" i="1"/>
  <c r="BS386" i="1"/>
  <c r="BV376" i="1"/>
  <c r="BT376" i="1"/>
  <c r="BS376" i="1"/>
  <c r="BT389" i="1"/>
  <c r="BV389" i="1"/>
  <c r="BS389" i="1"/>
  <c r="BT280" i="1"/>
  <c r="BV280" i="1"/>
  <c r="BS280" i="1"/>
  <c r="BL333" i="1" a="1"/>
  <c r="BL333" i="1" s="1"/>
  <c r="BL180" i="1" a="1"/>
  <c r="BL180" i="1" s="1"/>
  <c r="BL228" i="1" a="1"/>
  <c r="BL228" i="1" s="1"/>
  <c r="BL84" i="1" a="1"/>
  <c r="BL84" i="1" s="1"/>
  <c r="BL281" i="1" a="1"/>
  <c r="BL281" i="1" s="1"/>
  <c r="BL389" i="1" a="1"/>
  <c r="BL389" i="1" s="1"/>
  <c r="BN389" i="1" s="1"/>
  <c r="CK389" i="1"/>
  <c r="BX389" i="1"/>
  <c r="CC389" i="1" s="1"/>
  <c r="BL219" i="1" a="1"/>
  <c r="BL219" i="1" s="1"/>
  <c r="BL24" i="1" a="1"/>
  <c r="BL24" i="1" s="1"/>
  <c r="BL269" i="1" a="1"/>
  <c r="BL269" i="1" s="1"/>
  <c r="BL50" i="1" a="1"/>
  <c r="BL50" i="1" s="1"/>
  <c r="BL184" i="1" a="1"/>
  <c r="BL184" i="1" s="1"/>
  <c r="BL232" i="1" a="1"/>
  <c r="BL232" i="1" s="1"/>
  <c r="CK386" i="1"/>
  <c r="BL386" i="1" a="1"/>
  <c r="BL386" i="1" s="1"/>
  <c r="BX386" i="1"/>
  <c r="CC386" i="1" s="1"/>
  <c r="BL257" i="1" a="1"/>
  <c r="BL257" i="1" s="1"/>
  <c r="BX338" i="1"/>
  <c r="CC338" i="1" s="1"/>
  <c r="BL338" i="1" a="1"/>
  <c r="BL338" i="1" s="1"/>
  <c r="CK338" i="1"/>
  <c r="BL397" i="1" a="1"/>
  <c r="BL397" i="1" s="1"/>
  <c r="CK397" i="1"/>
  <c r="BX397" i="1"/>
  <c r="CC397" i="1" s="1"/>
  <c r="BL135" i="1" a="1"/>
  <c r="BL135" i="1" s="1"/>
  <c r="BL202" i="1" a="1"/>
  <c r="BL202" i="1" s="1"/>
  <c r="BL55" i="1" a="1"/>
  <c r="BL55" i="1" s="1"/>
  <c r="BL320" i="1" a="1"/>
  <c r="BL320" i="1" s="1"/>
  <c r="BL162" i="1" a="1"/>
  <c r="BL162" i="1" s="1"/>
  <c r="BS224" i="1"/>
  <c r="BT224" i="1"/>
  <c r="BV224" i="1"/>
  <c r="BV348" i="1"/>
  <c r="BT348" i="1"/>
  <c r="BS348" i="1"/>
  <c r="BV388" i="1"/>
  <c r="BT388" i="1"/>
  <c r="BS388" i="1"/>
  <c r="BT179" i="1"/>
  <c r="BV179" i="1"/>
  <c r="BS179" i="1"/>
  <c r="BV243" i="1"/>
  <c r="BT243" i="1"/>
  <c r="BS243" i="1"/>
  <c r="BV409" i="1"/>
  <c r="BT409" i="1"/>
  <c r="BS409" i="1"/>
  <c r="BV357" i="1"/>
  <c r="BT357" i="1"/>
  <c r="BS357" i="1"/>
  <c r="BS396" i="1"/>
  <c r="BV396" i="1"/>
  <c r="BT396" i="1"/>
  <c r="BX44" i="1"/>
  <c r="CC44" i="1" s="1"/>
  <c r="BL44" i="1" a="1"/>
  <c r="BL44" i="1" s="1"/>
  <c r="CK44" i="1"/>
  <c r="BL90" i="1" a="1"/>
  <c r="BL90" i="1" s="1"/>
  <c r="BL110" i="1" a="1"/>
  <c r="BL110" i="1" s="1"/>
  <c r="BL138" i="1" a="1"/>
  <c r="BL138" i="1" s="1"/>
  <c r="CK197" i="1"/>
  <c r="BL197" i="1" a="1"/>
  <c r="BL197" i="1" s="1"/>
  <c r="BX197" i="1"/>
  <c r="CC197" i="1" s="1"/>
  <c r="BL95" i="1" a="1"/>
  <c r="BL95" i="1" s="1"/>
  <c r="BL127" i="1" a="1"/>
  <c r="BL127" i="1" s="1"/>
  <c r="BL139" i="1" a="1"/>
  <c r="BL139" i="1" s="1"/>
  <c r="BL165" i="1" a="1"/>
  <c r="BL165" i="1" s="1"/>
  <c r="BL198" i="1" a="1"/>
  <c r="BL198" i="1" s="1"/>
  <c r="BL72" i="1" a="1"/>
  <c r="BL72" i="1" s="1"/>
  <c r="BL319" i="1" a="1"/>
  <c r="BL319" i="1" s="1"/>
  <c r="BL128" i="1" a="1"/>
  <c r="BL128" i="1" s="1"/>
  <c r="BX128" i="1"/>
  <c r="CC128" i="1" s="1"/>
  <c r="CK128" i="1"/>
  <c r="CK183" i="1"/>
  <c r="BX183" i="1"/>
  <c r="CC183" i="1" s="1"/>
  <c r="BL183" i="1" a="1"/>
  <c r="BL183" i="1" s="1"/>
  <c r="BN183" i="1" s="1"/>
  <c r="BL223" i="1" a="1"/>
  <c r="BL223" i="1" s="1"/>
  <c r="BX385" i="1"/>
  <c r="CC385" i="1" s="1"/>
  <c r="BL385" i="1" a="1"/>
  <c r="BL385" i="1" s="1"/>
  <c r="CK385" i="1"/>
  <c r="CK403" i="1"/>
  <c r="BX403" i="1"/>
  <c r="CC403" i="1" s="1"/>
  <c r="BL403" i="1" a="1"/>
  <c r="BL403" i="1" s="1"/>
  <c r="BL113" i="1" a="1"/>
  <c r="BL113" i="1" s="1"/>
  <c r="BL75" i="1" a="1"/>
  <c r="BL75" i="1" s="1"/>
  <c r="BL28" i="1" a="1"/>
  <c r="BL28" i="1" s="1"/>
  <c r="CK412" i="1"/>
  <c r="EP412" i="1" s="1"/>
  <c r="BL412" i="1" a="1"/>
  <c r="BL412" i="1" s="1"/>
  <c r="BX412" i="1"/>
  <c r="CC412" i="1" s="1"/>
  <c r="BL217" i="1" a="1"/>
  <c r="BL217" i="1" s="1"/>
  <c r="BL81" i="1" a="1"/>
  <c r="BL81" i="1" s="1"/>
  <c r="BL296" i="1" a="1"/>
  <c r="BL296" i="1" s="1"/>
  <c r="BL123" i="1" a="1"/>
  <c r="BL123" i="1" s="1"/>
  <c r="BL169" i="1" a="1"/>
  <c r="BL169" i="1" s="1"/>
  <c r="BL278" i="1" a="1"/>
  <c r="BL278" i="1" s="1"/>
  <c r="BL136" i="1" a="1"/>
  <c r="BL136" i="1" s="1"/>
  <c r="BX203" i="1"/>
  <c r="CC203" i="1" s="1"/>
  <c r="CK203" i="1"/>
  <c r="BL203" i="1" a="1"/>
  <c r="BL203" i="1" s="1"/>
  <c r="BL290" i="1" a="1"/>
  <c r="BL290" i="1" s="1"/>
  <c r="BV401" i="1"/>
  <c r="BT401" i="1"/>
  <c r="BS401" i="1"/>
  <c r="BV359" i="1"/>
  <c r="BT359" i="1"/>
  <c r="BS359" i="1"/>
  <c r="BV364" i="1"/>
  <c r="BT364" i="1"/>
  <c r="BS364" i="1"/>
  <c r="BS347" i="1"/>
  <c r="BV347" i="1"/>
  <c r="BT347" i="1"/>
  <c r="BS69" i="1"/>
  <c r="BV69" i="1"/>
  <c r="BT69" i="1"/>
  <c r="BV379" i="1"/>
  <c r="BS379" i="1"/>
  <c r="BT379" i="1"/>
  <c r="BL341" i="1" a="1"/>
  <c r="BL341" i="1" s="1"/>
  <c r="BL357" i="1" a="1"/>
  <c r="BL357" i="1" s="1"/>
  <c r="CK357" i="1"/>
  <c r="BX357" i="1"/>
  <c r="CC357" i="1" s="1"/>
  <c r="BL236" i="1" a="1"/>
  <c r="BL236" i="1" s="1"/>
  <c r="BL291" i="1" a="1"/>
  <c r="BL291" i="1" s="1"/>
  <c r="BL60" i="1" a="1"/>
  <c r="BL60" i="1" s="1"/>
  <c r="BL118" i="1" a="1"/>
  <c r="BL118" i="1" s="1"/>
  <c r="BL45" i="1" a="1"/>
  <c r="BL45" i="1" s="1"/>
  <c r="BL156" i="1" a="1"/>
  <c r="BL156" i="1" s="1"/>
  <c r="CK156" i="1"/>
  <c r="BX156" i="1"/>
  <c r="CC156" i="1" s="1"/>
  <c r="BL101" i="1" a="1"/>
  <c r="BL101" i="1" s="1"/>
  <c r="BX101" i="1"/>
  <c r="CC101" i="1" s="1"/>
  <c r="CK101" i="1"/>
  <c r="BL38" i="1" a="1"/>
  <c r="BL38" i="1" s="1"/>
  <c r="BL15" i="1" a="1"/>
  <c r="BL15" i="1" s="1"/>
  <c r="BL336" i="1" a="1"/>
  <c r="BL336" i="1" s="1"/>
  <c r="BL312" i="1" a="1"/>
  <c r="BL312" i="1" s="1"/>
  <c r="BL121" i="1" a="1"/>
  <c r="BL121" i="1" s="1"/>
  <c r="CK361" i="1"/>
  <c r="BL361" i="1" a="1"/>
  <c r="BL361" i="1" s="1"/>
  <c r="BX361" i="1"/>
  <c r="CC361" i="1" s="1"/>
  <c r="BL240" i="1" a="1"/>
  <c r="BL240" i="1" s="1"/>
  <c r="BL66" i="1" a="1"/>
  <c r="BL66" i="1" s="1"/>
  <c r="BL114" i="1" a="1"/>
  <c r="BL114" i="1" s="1"/>
  <c r="BL142" i="1" a="1"/>
  <c r="BL142" i="1" s="1"/>
  <c r="BL233" i="1" a="1"/>
  <c r="BL233" i="1" s="1"/>
  <c r="BL168" i="1" a="1"/>
  <c r="BL168" i="1" s="1"/>
  <c r="CK54" i="1"/>
  <c r="BL54" i="1" a="1"/>
  <c r="BL54" i="1" s="1"/>
  <c r="BN54" i="1" s="1"/>
  <c r="BX54" i="1"/>
  <c r="CC54" i="1" s="1"/>
  <c r="BL143" i="1" a="1"/>
  <c r="BL143" i="1" s="1"/>
  <c r="BL210" i="1" a="1"/>
  <c r="BL210" i="1" s="1"/>
  <c r="BL258" i="1" a="1"/>
  <c r="BL258" i="1" s="1"/>
  <c r="BL289" i="1" a="1"/>
  <c r="BL289" i="1" s="1"/>
  <c r="BL307" i="1" a="1"/>
  <c r="BL307" i="1" s="1"/>
  <c r="BL108" i="1" a="1"/>
  <c r="BL108" i="1" s="1"/>
  <c r="BL298" i="1" a="1"/>
  <c r="BL298" i="1" s="1"/>
  <c r="BV351" i="1"/>
  <c r="BT351" i="1"/>
  <c r="BS351" i="1"/>
  <c r="BS225" i="1"/>
  <c r="BT225" i="1"/>
  <c r="BV225" i="1"/>
  <c r="BV387" i="1"/>
  <c r="BT387" i="1"/>
  <c r="BS387" i="1"/>
  <c r="BV68" i="1"/>
  <c r="BT68" i="1"/>
  <c r="BS68" i="1"/>
  <c r="BV408" i="1"/>
  <c r="BT408" i="1"/>
  <c r="BS408" i="1"/>
  <c r="BT356" i="1"/>
  <c r="BV356" i="1"/>
  <c r="BS356" i="1"/>
  <c r="BV251" i="1"/>
  <c r="BS251" i="1"/>
  <c r="BT251" i="1"/>
  <c r="BT101" i="1"/>
  <c r="BV101" i="1"/>
  <c r="BS101" i="1"/>
  <c r="BV410" i="1"/>
  <c r="BT410" i="1"/>
  <c r="BS410" i="1"/>
  <c r="BV404" i="1"/>
  <c r="BT404" i="1"/>
  <c r="BS404" i="1"/>
  <c r="BL188" i="1" a="1"/>
  <c r="BL188" i="1" s="1"/>
  <c r="BX280" i="1"/>
  <c r="CC280" i="1" s="1"/>
  <c r="CK280" i="1"/>
  <c r="BL280" i="1" a="1"/>
  <c r="BL280" i="1" s="1"/>
  <c r="BN280" i="1" s="1"/>
  <c r="BL63" i="1" a="1"/>
  <c r="BL63" i="1" s="1"/>
  <c r="BX309" i="1"/>
  <c r="CC309" i="1" s="1"/>
  <c r="CK309" i="1"/>
  <c r="BL309" i="1" a="1"/>
  <c r="BL309" i="1" s="1"/>
  <c r="BN370" i="1"/>
  <c r="BL246" i="1" a="1"/>
  <c r="BL246" i="1" s="1"/>
  <c r="BL96" i="1" a="1"/>
  <c r="BL96" i="1" s="1"/>
  <c r="BL328" i="1" a="1"/>
  <c r="BL328" i="1" s="1"/>
  <c r="BL360" i="1" a="1"/>
  <c r="BL360" i="1" s="1"/>
  <c r="BX360" i="1"/>
  <c r="CC360" i="1" s="1"/>
  <c r="CK360" i="1"/>
  <c r="BL231" i="1" a="1"/>
  <c r="BL231" i="1" s="1"/>
  <c r="BL273" i="1" a="1"/>
  <c r="BL273" i="1" s="1"/>
  <c r="BL65" i="1" a="1"/>
  <c r="BL65" i="1" s="1"/>
  <c r="BL259" i="1" a="1"/>
  <c r="BL259" i="1" s="1"/>
  <c r="CK330" i="1"/>
  <c r="BX330" i="1"/>
  <c r="CC330" i="1" s="1"/>
  <c r="BL330" i="1" a="1"/>
  <c r="BL330" i="1" s="1"/>
  <c r="BL271" i="1" a="1"/>
  <c r="BL271" i="1" s="1"/>
  <c r="BL305" i="1" a="1"/>
  <c r="BL305" i="1" s="1"/>
  <c r="BL131" i="1" a="1"/>
  <c r="BL131" i="1" s="1"/>
  <c r="BL177" i="1" a="1"/>
  <c r="BL177" i="1" s="1"/>
  <c r="BL144" i="1" a="1"/>
  <c r="BL144" i="1" s="1"/>
  <c r="BL170" i="1" a="1"/>
  <c r="BL170" i="1" s="1"/>
  <c r="BX170" i="1"/>
  <c r="CC170" i="1" s="1"/>
  <c r="CK170" i="1"/>
  <c r="BL243" i="1" a="1"/>
  <c r="BL243" i="1" s="1"/>
  <c r="BX243" i="1"/>
  <c r="CC243" i="1" s="1"/>
  <c r="CK243" i="1"/>
  <c r="BS261" i="1"/>
  <c r="BT261" i="1"/>
  <c r="BV261" i="1"/>
  <c r="BV363" i="1"/>
  <c r="BT363" i="1"/>
  <c r="BS363" i="1"/>
  <c r="BT344" i="1"/>
  <c r="BV344" i="1"/>
  <c r="BS344" i="1"/>
  <c r="BT47" i="1"/>
  <c r="BS47" i="1"/>
  <c r="BV47" i="1"/>
  <c r="BL244" i="1" a="1"/>
  <c r="BL244" i="1" s="1"/>
  <c r="BL299" i="1" a="1"/>
  <c r="BL299" i="1" s="1"/>
  <c r="BL205" i="1" a="1"/>
  <c r="BL205" i="1" s="1"/>
  <c r="BL126" i="1" a="1"/>
  <c r="BL126" i="1" s="1"/>
  <c r="BL334" i="1" a="1"/>
  <c r="BL334" i="1" s="1"/>
  <c r="BL213" i="1" a="1"/>
  <c r="BL213" i="1" s="1"/>
  <c r="BL383" i="1" a="1"/>
  <c r="BL383" i="1" s="1"/>
  <c r="CK383" i="1"/>
  <c r="BX383" i="1"/>
  <c r="CC383" i="1" s="1"/>
  <c r="BL358" i="1" a="1"/>
  <c r="BL358" i="1" s="1"/>
  <c r="BX358" i="1"/>
  <c r="CC358" i="1" s="1"/>
  <c r="CK358" i="1"/>
  <c r="CF370" i="1"/>
  <c r="CM370" i="1" s="1"/>
  <c r="CE370" i="1"/>
  <c r="CD370" i="1"/>
  <c r="BL318" i="1" a="1"/>
  <c r="BL318" i="1" s="1"/>
  <c r="BL147" i="1" a="1"/>
  <c r="BL147" i="1" s="1"/>
  <c r="BL173" i="1" a="1"/>
  <c r="BL173" i="1" s="1"/>
  <c r="CK173" i="1"/>
  <c r="BX173" i="1"/>
  <c r="CC173" i="1" s="1"/>
  <c r="BL206" i="1" a="1"/>
  <c r="BL206" i="1" s="1"/>
  <c r="BL78" i="1" a="1"/>
  <c r="BL78" i="1" s="1"/>
  <c r="BL133" i="1" a="1"/>
  <c r="BL133" i="1" s="1"/>
  <c r="BL265" i="1" a="1"/>
  <c r="BL265" i="1" s="1"/>
  <c r="BL346" i="1" a="1"/>
  <c r="BL346" i="1" s="1"/>
  <c r="BX346" i="1"/>
  <c r="CC346" i="1" s="1"/>
  <c r="CK346" i="1"/>
  <c r="BL365" i="1" a="1"/>
  <c r="BL365" i="1" s="1"/>
  <c r="CK365" i="1"/>
  <c r="BX365" i="1"/>
  <c r="CC365" i="1" s="1"/>
  <c r="BL74" i="1" a="1"/>
  <c r="BL74" i="1" s="1"/>
  <c r="BL122" i="1" a="1"/>
  <c r="BL122" i="1" s="1"/>
  <c r="CK393" i="1"/>
  <c r="BX393" i="1"/>
  <c r="CC393" i="1" s="1"/>
  <c r="BL393" i="1" a="1"/>
  <c r="BL393" i="1" s="1"/>
  <c r="BN393" i="1" s="1"/>
  <c r="BX362" i="1"/>
  <c r="CC362" i="1" s="1"/>
  <c r="BL362" i="1" a="1"/>
  <c r="BL362" i="1" s="1"/>
  <c r="BN362" i="1" s="1"/>
  <c r="CK362" i="1"/>
  <c r="BL314" i="1" a="1"/>
  <c r="BL314" i="1" s="1"/>
  <c r="CK377" i="1"/>
  <c r="BX377" i="1"/>
  <c r="CC377" i="1" s="1"/>
  <c r="BL377" i="1" a="1"/>
  <c r="BL377" i="1" s="1"/>
  <c r="BL297" i="1" a="1"/>
  <c r="BL297" i="1" s="1"/>
  <c r="BV369" i="1"/>
  <c r="BS369" i="1"/>
  <c r="BT369" i="1"/>
  <c r="BV252" i="1"/>
  <c r="BT252" i="1"/>
  <c r="BS252" i="1"/>
  <c r="BT390" i="1"/>
  <c r="BS390" i="1"/>
  <c r="BV390" i="1"/>
  <c r="BV392" i="1"/>
  <c r="BT392" i="1"/>
  <c r="BS392" i="1"/>
  <c r="BL152" i="1" a="1"/>
  <c r="BL152" i="1" s="1"/>
  <c r="BL379" i="1" a="1"/>
  <c r="BL379" i="1" s="1"/>
  <c r="CK379" i="1"/>
  <c r="BX379" i="1"/>
  <c r="CC379" i="1" s="1"/>
  <c r="BX400" i="1"/>
  <c r="CC400" i="1" s="1"/>
  <c r="BL400" i="1" a="1"/>
  <c r="BL400" i="1" s="1"/>
  <c r="CK400" i="1"/>
  <c r="BL327" i="1" a="1"/>
  <c r="BL327" i="1" s="1"/>
  <c r="BX352" i="1"/>
  <c r="CC352" i="1" s="1"/>
  <c r="CK352" i="1"/>
  <c r="EP352" i="1" s="1"/>
  <c r="BL352" i="1" a="1"/>
  <c r="BL352" i="1" s="1"/>
  <c r="BL254" i="1" a="1"/>
  <c r="BL254" i="1" s="1"/>
  <c r="BL46" i="1" a="1"/>
  <c r="BL46" i="1" s="1"/>
  <c r="BL104" i="1" a="1"/>
  <c r="BL104" i="1" s="1"/>
  <c r="BX344" i="1"/>
  <c r="CC344" i="1" s="1"/>
  <c r="CK344" i="1"/>
  <c r="BL344" i="1" a="1"/>
  <c r="BL344" i="1" s="1"/>
  <c r="CK364" i="1"/>
  <c r="BL364" i="1" a="1"/>
  <c r="BL364" i="1" s="1"/>
  <c r="BX364" i="1"/>
  <c r="CC364" i="1" s="1"/>
  <c r="BL239" i="1" a="1"/>
  <c r="BL239" i="1" s="1"/>
  <c r="BL26" i="1" a="1"/>
  <c r="BL26" i="1" s="1"/>
  <c r="BL159" i="1" a="1"/>
  <c r="BL159" i="1" s="1"/>
  <c r="BL248" i="1" a="1"/>
  <c r="BL248" i="1" s="1"/>
  <c r="BL40" i="1" a="1"/>
  <c r="BL40" i="1" s="1"/>
  <c r="BL160" i="1" a="1"/>
  <c r="BL160" i="1" s="1"/>
  <c r="CK396" i="1"/>
  <c r="BL396" i="1" a="1"/>
  <c r="BL396" i="1" s="1"/>
  <c r="BN396" i="1" s="1"/>
  <c r="BX396" i="1"/>
  <c r="CC396" i="1" s="1"/>
  <c r="BL149" i="1" a="1"/>
  <c r="BL149" i="1" s="1"/>
  <c r="BX331" i="1"/>
  <c r="CC331" i="1" s="1"/>
  <c r="CK331" i="1"/>
  <c r="BL331" i="1" a="1"/>
  <c r="BL331" i="1" s="1"/>
  <c r="CK178" i="1"/>
  <c r="BX178" i="1"/>
  <c r="CC178" i="1" s="1"/>
  <c r="BL178" i="1" a="1"/>
  <c r="BL178" i="1" s="1"/>
  <c r="BN178" i="1" s="1"/>
  <c r="BL218" i="1" a="1"/>
  <c r="BL218" i="1" s="1"/>
  <c r="BL264" i="1" a="1"/>
  <c r="BL264" i="1" s="1"/>
  <c r="BL398" i="1" a="1"/>
  <c r="BL398" i="1" s="1"/>
  <c r="BX398" i="1"/>
  <c r="CC398" i="1" s="1"/>
  <c r="CK398" i="1"/>
  <c r="BL116" i="1" a="1"/>
  <c r="BL116" i="1" s="1"/>
  <c r="BL332" i="1" a="1"/>
  <c r="BL332" i="1" s="1"/>
  <c r="BL349" i="1" a="1"/>
  <c r="BL349" i="1" s="1"/>
  <c r="CK349" i="1"/>
  <c r="BX349" i="1"/>
  <c r="CC349" i="1" s="1"/>
  <c r="BL43" i="1" a="1"/>
  <c r="BL43" i="1" s="1"/>
  <c r="BL125" i="1" a="1"/>
  <c r="BL125" i="1" s="1"/>
  <c r="BV358" i="1"/>
  <c r="BS358" i="1"/>
  <c r="BT358" i="1"/>
  <c r="BV411" i="1"/>
  <c r="BT411" i="1"/>
  <c r="BS411" i="1"/>
  <c r="BV343" i="1"/>
  <c r="BT343" i="1"/>
  <c r="BS343" i="1"/>
  <c r="BV128" i="1"/>
  <c r="BT128" i="1"/>
  <c r="BS128" i="1"/>
  <c r="BV345" i="1"/>
  <c r="BT345" i="1"/>
  <c r="BS345" i="1"/>
  <c r="BT374" i="1"/>
  <c r="BS374" i="1"/>
  <c r="BV374" i="1"/>
  <c r="BV395" i="1"/>
  <c r="BT395" i="1"/>
  <c r="BS395" i="1"/>
  <c r="BV354" i="1"/>
  <c r="BT354" i="1"/>
  <c r="BS354" i="1"/>
  <c r="BV241" i="1"/>
  <c r="BT241" i="1"/>
  <c r="BS241" i="1"/>
  <c r="BT178" i="1"/>
  <c r="BV178" i="1"/>
  <c r="BS178" i="1"/>
  <c r="BX369" i="1"/>
  <c r="CC369" i="1" s="1"/>
  <c r="BL369" i="1" a="1"/>
  <c r="BL369" i="1" s="1"/>
  <c r="CK369" i="1"/>
  <c r="BX252" i="1"/>
  <c r="CC252" i="1" s="1"/>
  <c r="CK252" i="1"/>
  <c r="BL252" i="1" a="1"/>
  <c r="BL252" i="1" s="1"/>
  <c r="BL229" i="1" a="1"/>
  <c r="BL229" i="1" s="1"/>
  <c r="BL77" i="1" a="1"/>
  <c r="BL77" i="1" s="1"/>
  <c r="BL153" i="1" a="1"/>
  <c r="BL153" i="1" s="1"/>
  <c r="BL237" i="1" a="1"/>
  <c r="BL237" i="1" s="1"/>
  <c r="BL221" i="1" a="1"/>
  <c r="BL221" i="1" s="1"/>
  <c r="BL22" i="1" a="1"/>
  <c r="BL22" i="1" s="1"/>
  <c r="BL411" i="1" a="1"/>
  <c r="BL411" i="1" s="1"/>
  <c r="BX411" i="1"/>
  <c r="CC411" i="1" s="1"/>
  <c r="CK411" i="1"/>
  <c r="BL335" i="1" a="1"/>
  <c r="BL335" i="1" s="1"/>
  <c r="BL86" i="1" a="1"/>
  <c r="BL86" i="1" s="1"/>
  <c r="BL25" i="1" a="1"/>
  <c r="BL25" i="1" s="1"/>
  <c r="BL73" i="1" a="1"/>
  <c r="BL73" i="1" s="1"/>
  <c r="BL405" i="1" a="1"/>
  <c r="BL405" i="1" s="1"/>
  <c r="CK405" i="1"/>
  <c r="BX405" i="1"/>
  <c r="CC405" i="1" s="1"/>
  <c r="BL129" i="1" a="1"/>
  <c r="BL129" i="1" s="1"/>
  <c r="BL192" i="1" a="1"/>
  <c r="BL192" i="1" s="1"/>
  <c r="BL41" i="1" a="1"/>
  <c r="BL41" i="1" s="1"/>
  <c r="BL263" i="1" a="1"/>
  <c r="BL263" i="1" s="1"/>
  <c r="BL211" i="1" a="1"/>
  <c r="BL211" i="1" s="1"/>
  <c r="BL209" i="1" a="1"/>
  <c r="BL209" i="1" s="1"/>
  <c r="BL227" i="1" a="1"/>
  <c r="BL227" i="1" s="1"/>
  <c r="BL31" i="1" a="1"/>
  <c r="BL31" i="1" s="1"/>
  <c r="BL284" i="1" a="1"/>
  <c r="BL284" i="1" s="1"/>
  <c r="BL279" i="1" a="1"/>
  <c r="BL279" i="1" s="1"/>
  <c r="BL124" i="1" a="1"/>
  <c r="BL124" i="1" s="1"/>
  <c r="BS381" i="1"/>
  <c r="BV381" i="1"/>
  <c r="BT381" i="1"/>
  <c r="BS371" i="1"/>
  <c r="BV371" i="1"/>
  <c r="BT371" i="1"/>
  <c r="BV368" i="1"/>
  <c r="BT368" i="1"/>
  <c r="BS368" i="1"/>
  <c r="BV372" i="1"/>
  <c r="BT372" i="1"/>
  <c r="BS372" i="1"/>
  <c r="EP372" i="1" s="1"/>
  <c r="BT406" i="1"/>
  <c r="BV406" i="1"/>
  <c r="BS406" i="1"/>
  <c r="BL155" i="1" a="1"/>
  <c r="BL155" i="1" s="1"/>
  <c r="BL260" i="1" a="1"/>
  <c r="BL260" i="1" s="1"/>
  <c r="BL286" i="1" a="1"/>
  <c r="BL286" i="1" s="1"/>
  <c r="BL94" i="1" a="1"/>
  <c r="BL94" i="1" s="1"/>
  <c r="BL326" i="1" a="1"/>
  <c r="BL326" i="1" s="1"/>
  <c r="BL71" i="1" a="1"/>
  <c r="BL71" i="1" s="1"/>
  <c r="BL214" i="1" a="1"/>
  <c r="BL214" i="1" s="1"/>
  <c r="BX262" i="1"/>
  <c r="CC262" i="1" s="1"/>
  <c r="BL262" i="1" a="1"/>
  <c r="BL262" i="1" s="1"/>
  <c r="BN262" i="1" s="1"/>
  <c r="CK262" i="1"/>
  <c r="BL282" i="1" a="1"/>
  <c r="BL282" i="1" s="1"/>
  <c r="BL303" i="1" a="1"/>
  <c r="BL303" i="1" s="1"/>
  <c r="BX345" i="1"/>
  <c r="CC345" i="1" s="1"/>
  <c r="CK345" i="1"/>
  <c r="BL345" i="1" a="1"/>
  <c r="BL345" i="1" s="1"/>
  <c r="BN345" i="1" s="1"/>
  <c r="BL191" i="1" a="1"/>
  <c r="BL191" i="1" s="1"/>
  <c r="BX399" i="1"/>
  <c r="CC399" i="1" s="1"/>
  <c r="CK399" i="1"/>
  <c r="BL399" i="1" a="1"/>
  <c r="BL399" i="1" s="1"/>
  <c r="BN399" i="1" s="1"/>
  <c r="BL57" i="1" a="1"/>
  <c r="BL57" i="1" s="1"/>
  <c r="BL256" i="1" a="1"/>
  <c r="BL256" i="1" s="1"/>
  <c r="BL80" i="1" a="1"/>
  <c r="BL80" i="1" s="1"/>
  <c r="BL59" i="1" a="1"/>
  <c r="BL59" i="1" s="1"/>
  <c r="BX404" i="1"/>
  <c r="CC404" i="1" s="1"/>
  <c r="CK404" i="1"/>
  <c r="BL404" i="1" a="1"/>
  <c r="BL404" i="1" s="1"/>
  <c r="BL130" i="1" a="1"/>
  <c r="BL130" i="1" s="1"/>
  <c r="BL89" i="1" a="1"/>
  <c r="BL89" i="1" s="1"/>
  <c r="BX407" i="1"/>
  <c r="CC407" i="1" s="1"/>
  <c r="CK407" i="1"/>
  <c r="BL407" i="1" a="1"/>
  <c r="BL407" i="1" s="1"/>
  <c r="CK339" i="1"/>
  <c r="BL339" i="1" a="1"/>
  <c r="BL339" i="1" s="1"/>
  <c r="BX339" i="1"/>
  <c r="CC339" i="1" s="1"/>
  <c r="CK355" i="1"/>
  <c r="BL355" i="1" a="1"/>
  <c r="BL355" i="1" s="1"/>
  <c r="BN355" i="1" s="1"/>
  <c r="BX355" i="1"/>
  <c r="CC355" i="1" s="1"/>
  <c r="CK371" i="1"/>
  <c r="BX371" i="1"/>
  <c r="CC371" i="1" s="1"/>
  <c r="BL371" i="1" a="1"/>
  <c r="BL371" i="1" s="1"/>
  <c r="BL92" i="1" a="1"/>
  <c r="BL92" i="1" s="1"/>
  <c r="CK179" i="1"/>
  <c r="BL179" i="1" a="1"/>
  <c r="BL179" i="1" s="1"/>
  <c r="BX179" i="1"/>
  <c r="CC179" i="1" s="1"/>
  <c r="BL285" i="1" a="1"/>
  <c r="BL285" i="1" s="1"/>
  <c r="BV154" i="1"/>
  <c r="BT154" i="1"/>
  <c r="BS154" i="1"/>
  <c r="BV382" i="1"/>
  <c r="BT382" i="1"/>
  <c r="BS382" i="1"/>
  <c r="BT403" i="1"/>
  <c r="BS403" i="1"/>
  <c r="BV403" i="1"/>
  <c r="BV355" i="1"/>
  <c r="BT355" i="1"/>
  <c r="BS355" i="1"/>
  <c r="BL196" i="1" a="1"/>
  <c r="BL196" i="1" s="1"/>
  <c r="BL245" i="1" a="1"/>
  <c r="BL245" i="1" s="1"/>
  <c r="BL103" i="1" a="1"/>
  <c r="BL103" i="1" s="1"/>
  <c r="BL23" i="1" a="1"/>
  <c r="BL23" i="1" s="1"/>
  <c r="CK182" i="1"/>
  <c r="BX182" i="1"/>
  <c r="CC182" i="1" s="1"/>
  <c r="BL182" i="1" a="1"/>
  <c r="BL182" i="1" s="1"/>
  <c r="BL293" i="1" a="1"/>
  <c r="BL293" i="1" s="1"/>
  <c r="BL247" i="1" a="1"/>
  <c r="BL247" i="1" s="1"/>
  <c r="BL39" i="1" a="1"/>
  <c r="BL39" i="1" s="1"/>
  <c r="BL16" i="1" a="1"/>
  <c r="BL16" i="1" s="1"/>
  <c r="BL97" i="1" a="1"/>
  <c r="BL97" i="1" s="1"/>
  <c r="BL27" i="1" a="1"/>
  <c r="BL27" i="1" s="1"/>
  <c r="BL167" i="1" a="1"/>
  <c r="BL167" i="1" s="1"/>
  <c r="BL200" i="1" a="1"/>
  <c r="BL200" i="1" s="1"/>
  <c r="BL276" i="1" a="1"/>
  <c r="BL276" i="1" s="1"/>
  <c r="BL347" i="1" a="1"/>
  <c r="BL347" i="1" s="1"/>
  <c r="BX347" i="1"/>
  <c r="CC347" i="1" s="1"/>
  <c r="CK347" i="1"/>
  <c r="BL150" i="1" a="1"/>
  <c r="BL150" i="1" s="1"/>
  <c r="BL226" i="1" a="1"/>
  <c r="BL226" i="1" s="1"/>
  <c r="BL132" i="1" a="1"/>
  <c r="BL132" i="1" s="1"/>
  <c r="BL316" i="1" a="1"/>
  <c r="BL316" i="1" s="1"/>
  <c r="BV21" i="1"/>
  <c r="BT21" i="1"/>
  <c r="BS21" i="1"/>
  <c r="BS384" i="1"/>
  <c r="BV384" i="1"/>
  <c r="BT384" i="1"/>
  <c r="BT361" i="1"/>
  <c r="BS361" i="1"/>
  <c r="BV361" i="1"/>
  <c r="BS397" i="1"/>
  <c r="BV397" i="1"/>
  <c r="BT397" i="1"/>
  <c r="BV56" i="1"/>
  <c r="BT56" i="1"/>
  <c r="BS56" i="1"/>
  <c r="BL300" i="1" a="1"/>
  <c r="BL300" i="1" s="1"/>
  <c r="BL317" i="1" a="1"/>
  <c r="BL317" i="1" s="1"/>
  <c r="BL18" i="1" a="1"/>
  <c r="BL18" i="1" s="1"/>
  <c r="BL253" i="1" a="1"/>
  <c r="BL253" i="1" s="1"/>
  <c r="BL267" i="1" a="1"/>
  <c r="BL267" i="1" s="1"/>
  <c r="BL91" i="1" a="1"/>
  <c r="BL91" i="1" s="1"/>
  <c r="BL268" i="1" a="1"/>
  <c r="BL268" i="1" s="1"/>
  <c r="CK381" i="1"/>
  <c r="BX381" i="1"/>
  <c r="CC381" i="1" s="1"/>
  <c r="BL381" i="1" a="1"/>
  <c r="BL381" i="1" s="1"/>
  <c r="BL324" i="1" a="1"/>
  <c r="BL324" i="1" s="1"/>
  <c r="BL158" i="1" a="1"/>
  <c r="BL158" i="1" s="1"/>
  <c r="BL79" i="1" a="1"/>
  <c r="BL79" i="1" s="1"/>
  <c r="BL53" i="1" a="1"/>
  <c r="BL53" i="1" s="1"/>
  <c r="BL88" i="1" a="1"/>
  <c r="BL88" i="1" s="1"/>
  <c r="CK366" i="1"/>
  <c r="BL366" i="1" a="1"/>
  <c r="BL366" i="1" s="1"/>
  <c r="BX366" i="1"/>
  <c r="CC366" i="1" s="1"/>
  <c r="BX376" i="1"/>
  <c r="CC376" i="1" s="1"/>
  <c r="CK376" i="1"/>
  <c r="BL376" i="1" a="1"/>
  <c r="BL376" i="1" s="1"/>
  <c r="BN376" i="1" s="1"/>
  <c r="BL313" i="1" a="1"/>
  <c r="BL313" i="1" s="1"/>
  <c r="BL29" i="1" a="1"/>
  <c r="BL29" i="1" s="1"/>
  <c r="BL48" i="1" a="1"/>
  <c r="BL48" i="1" s="1"/>
  <c r="BL249" i="1" a="1"/>
  <c r="BL249" i="1" s="1"/>
  <c r="BL93" i="1" a="1"/>
  <c r="BL93" i="1" s="1"/>
  <c r="BL99" i="1" a="1"/>
  <c r="BL99" i="1" s="1"/>
  <c r="BL186" i="1" a="1"/>
  <c r="BL186" i="1" s="1"/>
  <c r="CK56" i="1"/>
  <c r="BL56" i="1" a="1"/>
  <c r="BL56" i="1" s="1"/>
  <c r="BX56" i="1"/>
  <c r="CC56" i="1" s="1"/>
  <c r="CK388" i="1"/>
  <c r="BX388" i="1"/>
  <c r="CC388" i="1" s="1"/>
  <c r="BL388" i="1" a="1"/>
  <c r="BL388" i="1" s="1"/>
  <c r="BX308" i="1"/>
  <c r="CC308" i="1" s="1"/>
  <c r="CK308" i="1"/>
  <c r="BL308" i="1" a="1"/>
  <c r="BL308" i="1" s="1"/>
  <c r="BN308" i="1" s="1"/>
  <c r="BL315" i="1" a="1"/>
  <c r="BL315" i="1" s="1"/>
  <c r="BL340" i="1" a="1"/>
  <c r="BL340" i="1" s="1"/>
  <c r="CK356" i="1"/>
  <c r="BX356" i="1"/>
  <c r="CC356" i="1" s="1"/>
  <c r="BL356" i="1" a="1"/>
  <c r="BL356" i="1" s="1"/>
  <c r="CU339" i="1"/>
  <c r="EL339" i="1"/>
  <c r="DV339" i="1"/>
  <c r="BM339" i="1" s="1" a="1"/>
  <c r="BM339" i="1" s="1"/>
  <c r="ES396" i="1"/>
  <c r="EU396" i="1"/>
  <c r="DV357" i="1"/>
  <c r="BM357" i="1" s="1" a="1"/>
  <c r="BM357" i="1" s="1"/>
  <c r="CU369" i="1"/>
  <c r="DV369" i="1"/>
  <c r="BM369" i="1" s="1" a="1"/>
  <c r="BM369" i="1" s="1"/>
  <c r="CU397" i="1"/>
  <c r="ED397" i="1" s="1"/>
  <c r="DV397" i="1"/>
  <c r="BM397" i="1" s="1" a="1"/>
  <c r="BM397" i="1" s="1"/>
  <c r="EU387" i="1"/>
  <c r="ES387" i="1"/>
  <c r="EU349" i="1"/>
  <c r="ES349" i="1"/>
  <c r="EL392" i="1"/>
  <c r="CU392" i="1"/>
  <c r="EK392" i="1" s="1"/>
  <c r="CU356" i="1"/>
  <c r="DV356" i="1"/>
  <c r="BM356" i="1" s="1" a="1"/>
  <c r="BM356" i="1" s="1"/>
  <c r="EL356" i="1"/>
  <c r="AB88" i="1"/>
  <c r="AI88" i="1" s="1"/>
  <c r="AB267" i="1"/>
  <c r="AI267" i="1" s="1"/>
  <c r="AB26" i="1"/>
  <c r="AI26" i="1" s="1"/>
  <c r="AB40" i="1"/>
  <c r="AI40" i="1" s="1"/>
  <c r="AB134" i="1"/>
  <c r="AI134" i="1" s="1"/>
  <c r="AB115" i="1"/>
  <c r="AI115" i="1" s="1"/>
  <c r="AB35" i="1"/>
  <c r="AB310" i="1"/>
  <c r="AI310" i="1" s="1"/>
  <c r="AB173" i="1"/>
  <c r="AB230" i="1"/>
  <c r="AI230" i="1" s="1"/>
  <c r="AB268" i="1"/>
  <c r="AI268" i="1" s="1"/>
  <c r="AB303" i="1"/>
  <c r="AI303" i="1" s="1"/>
  <c r="AB158" i="1"/>
  <c r="AI158" i="1" s="1"/>
  <c r="AB207" i="1"/>
  <c r="AB159" i="1"/>
  <c r="AI159" i="1" s="1"/>
  <c r="AB201" i="1"/>
  <c r="AI201" i="1" s="1"/>
  <c r="AB48" i="1"/>
  <c r="AI48" i="1" s="1"/>
  <c r="AB306" i="1"/>
  <c r="AI306" i="1" s="1"/>
  <c r="AB194" i="1"/>
  <c r="AI194" i="1" s="1"/>
  <c r="AB371" i="1"/>
  <c r="AB377" i="1"/>
  <c r="AB151" i="1"/>
  <c r="AI151" i="1" s="1"/>
  <c r="AB265" i="1"/>
  <c r="AI265" i="1" s="1"/>
  <c r="AB34" i="1"/>
  <c r="AB298" i="1"/>
  <c r="AI298" i="1" s="1"/>
  <c r="AB390" i="1"/>
  <c r="AB291" i="1"/>
  <c r="AI291" i="1" s="1"/>
  <c r="AB90" i="1"/>
  <c r="AI90" i="1" s="1"/>
  <c r="AB110" i="1"/>
  <c r="AI110" i="1" s="1"/>
  <c r="EU347" i="1"/>
  <c r="ES347" i="1"/>
  <c r="AB281" i="1"/>
  <c r="AI281" i="1" s="1"/>
  <c r="AB320" i="1"/>
  <c r="AI320" i="1" s="1"/>
  <c r="AB79" i="1"/>
  <c r="AI79" i="1" s="1"/>
  <c r="AB153" i="1"/>
  <c r="AI153" i="1" s="1"/>
  <c r="AB351" i="1"/>
  <c r="AB292" i="1"/>
  <c r="AI292" i="1" s="1"/>
  <c r="AB343" i="1"/>
  <c r="AB148" i="1"/>
  <c r="AI148" i="1" s="1"/>
  <c r="AB247" i="1"/>
  <c r="AI247" i="1" s="1"/>
  <c r="AB405" i="1"/>
  <c r="AB329" i="1"/>
  <c r="AI329" i="1" s="1"/>
  <c r="AB216" i="1"/>
  <c r="AI216" i="1" s="1"/>
  <c r="AB256" i="1"/>
  <c r="AI256" i="1" s="1"/>
  <c r="AB66" i="1"/>
  <c r="AI66" i="1" s="1"/>
  <c r="AB347" i="1"/>
  <c r="AB241" i="1"/>
  <c r="AB296" i="1"/>
  <c r="AI296" i="1" s="1"/>
  <c r="AB150" i="1"/>
  <c r="AI150" i="1" s="1"/>
  <c r="AB33" i="1"/>
  <c r="AI33" i="1" s="1"/>
  <c r="AB195" i="1"/>
  <c r="AI195" i="1" s="1"/>
  <c r="AB235" i="1"/>
  <c r="AI235" i="1" s="1"/>
  <c r="AB93" i="1"/>
  <c r="AI93" i="1" s="1"/>
  <c r="AB109" i="1"/>
  <c r="AI109" i="1" s="1"/>
  <c r="AB260" i="1"/>
  <c r="AI260" i="1" s="1"/>
  <c r="AB317" i="1"/>
  <c r="AI317" i="1" s="1"/>
  <c r="AB301" i="1"/>
  <c r="AI301" i="1" s="1"/>
  <c r="AB29" i="1"/>
  <c r="AI29" i="1" s="1"/>
  <c r="AB407" i="1"/>
  <c r="AB197" i="1"/>
  <c r="AB237" i="1"/>
  <c r="AI237" i="1" s="1"/>
  <c r="AB61" i="1"/>
  <c r="AI61" i="1" s="1"/>
  <c r="AB380" i="1"/>
  <c r="AB190" i="1"/>
  <c r="AI190" i="1" s="1"/>
  <c r="AB96" i="1"/>
  <c r="AI96" i="1" s="1"/>
  <c r="AB128" i="1"/>
  <c r="AB360" i="1"/>
  <c r="AB304" i="1"/>
  <c r="AI304" i="1" s="1"/>
  <c r="AB361" i="1"/>
  <c r="AB276" i="1"/>
  <c r="AI276" i="1" s="1"/>
  <c r="AB142" i="1"/>
  <c r="AI142" i="1" s="1"/>
  <c r="AB283" i="1"/>
  <c r="AI283" i="1" s="1"/>
  <c r="AB123" i="1"/>
  <c r="AI123" i="1" s="1"/>
  <c r="AB178" i="1"/>
  <c r="AB242" i="1"/>
  <c r="AI242" i="1" s="1"/>
  <c r="AB92" i="1"/>
  <c r="AI92" i="1" s="1"/>
  <c r="AB108" i="1"/>
  <c r="AI108" i="1" s="1"/>
  <c r="AB179" i="1"/>
  <c r="AB378" i="1"/>
  <c r="AB155" i="1"/>
  <c r="AI155" i="1" s="1"/>
  <c r="AB196" i="1"/>
  <c r="AI196" i="1" s="1"/>
  <c r="AB228" i="1"/>
  <c r="AI228" i="1" s="1"/>
  <c r="AB44" i="1"/>
  <c r="AB129" i="1"/>
  <c r="AI129" i="1" s="1"/>
  <c r="AB295" i="1"/>
  <c r="AI295" i="1" s="1"/>
  <c r="AB305" i="1"/>
  <c r="AI305" i="1" s="1"/>
  <c r="AB114" i="1"/>
  <c r="AI114" i="1" s="1"/>
  <c r="AB140" i="1"/>
  <c r="AI140" i="1" s="1"/>
  <c r="AB234" i="1"/>
  <c r="AI234" i="1" s="1"/>
  <c r="AB398" i="1"/>
  <c r="AB103" i="1"/>
  <c r="AI103" i="1" s="1"/>
  <c r="AB327" i="1"/>
  <c r="AI327" i="1" s="1"/>
  <c r="AB381" i="1"/>
  <c r="AB394" i="1"/>
  <c r="AB104" i="1"/>
  <c r="AI104" i="1" s="1"/>
  <c r="AB328" i="1"/>
  <c r="AI328" i="1" s="1"/>
  <c r="AB166" i="1"/>
  <c r="AI166" i="1" s="1"/>
  <c r="AB215" i="1"/>
  <c r="AI215" i="1" s="1"/>
  <c r="AB255" i="1"/>
  <c r="AI255" i="1" s="1"/>
  <c r="AB39" i="1"/>
  <c r="AI39" i="1" s="1"/>
  <c r="AB385" i="1"/>
  <c r="AB167" i="1"/>
  <c r="AI167" i="1" s="1"/>
  <c r="AB53" i="1"/>
  <c r="AI53" i="1" s="1"/>
  <c r="AB185" i="1"/>
  <c r="AI185" i="1" s="1"/>
  <c r="AB209" i="1"/>
  <c r="AI209" i="1" s="1"/>
  <c r="AB30" i="1"/>
  <c r="AI30" i="1" s="1"/>
  <c r="AB99" i="1"/>
  <c r="AI99" i="1" s="1"/>
  <c r="AB135" i="1"/>
  <c r="AI135" i="1" s="1"/>
  <c r="AB202" i="1"/>
  <c r="AI202" i="1" s="1"/>
  <c r="AB56" i="1"/>
  <c r="AB136" i="1"/>
  <c r="AI136" i="1" s="1"/>
  <c r="AB62" i="1"/>
  <c r="AI62" i="1" s="1"/>
  <c r="AB372" i="1"/>
  <c r="CU179" i="1"/>
  <c r="DV179" i="1"/>
  <c r="BM179" i="1" s="1" a="1"/>
  <c r="BM179" i="1" s="1"/>
  <c r="AB137" i="1"/>
  <c r="AI137" i="1" s="1"/>
  <c r="AB180" i="1"/>
  <c r="AI180" i="1" s="1"/>
  <c r="AB87" i="1"/>
  <c r="AI87" i="1" s="1"/>
  <c r="AB406" i="1"/>
  <c r="AB127" i="1"/>
  <c r="AI127" i="1" s="1"/>
  <c r="AB339" i="1"/>
  <c r="CU360" i="1"/>
  <c r="EL360" i="1"/>
  <c r="DV360" i="1"/>
  <c r="BM360" i="1" s="1" a="1"/>
  <c r="BM360" i="1" s="1"/>
  <c r="AB205" i="1"/>
  <c r="AI205" i="1" s="1"/>
  <c r="AB401" i="1"/>
  <c r="AB300" i="1"/>
  <c r="AI300" i="1" s="1"/>
  <c r="AB154" i="1"/>
  <c r="AB352" i="1"/>
  <c r="AB198" i="1"/>
  <c r="AI198" i="1" s="1"/>
  <c r="AB272" i="1"/>
  <c r="AI272" i="1" s="1"/>
  <c r="AB97" i="1"/>
  <c r="AI97" i="1" s="1"/>
  <c r="AB337" i="1"/>
  <c r="AI337" i="1" s="1"/>
  <c r="AB74" i="1"/>
  <c r="AI74" i="1" s="1"/>
  <c r="AB160" i="1"/>
  <c r="AI160" i="1" s="1"/>
  <c r="AB249" i="1"/>
  <c r="AI249" i="1" s="1"/>
  <c r="AB387" i="1"/>
  <c r="AB397" i="1"/>
  <c r="AB284" i="1"/>
  <c r="AI284" i="1" s="1"/>
  <c r="AB82" i="1"/>
  <c r="AI82" i="1" s="1"/>
  <c r="AB285" i="1"/>
  <c r="AI285" i="1" s="1"/>
  <c r="AB145" i="1"/>
  <c r="AI145" i="1" s="1"/>
  <c r="AB70" i="1"/>
  <c r="AI70" i="1" s="1"/>
  <c r="AB309" i="1"/>
  <c r="AB118" i="1"/>
  <c r="AI118" i="1" s="1"/>
  <c r="AB19" i="1"/>
  <c r="AI19" i="1" s="1"/>
  <c r="AB238" i="1"/>
  <c r="AI238" i="1" s="1"/>
  <c r="AB65" i="1"/>
  <c r="AI65" i="1" s="1"/>
  <c r="AB131" i="1"/>
  <c r="AI131" i="1" s="1"/>
  <c r="AB315" i="1"/>
  <c r="AI315" i="1" s="1"/>
  <c r="AB116" i="1"/>
  <c r="AI116" i="1" s="1"/>
  <c r="AB356" i="1"/>
  <c r="AB203" i="1"/>
  <c r="AB243" i="1"/>
  <c r="AB89" i="1"/>
  <c r="AI89" i="1" s="1"/>
  <c r="AB316" i="1"/>
  <c r="AI316" i="1" s="1"/>
  <c r="AB117" i="1"/>
  <c r="AI117" i="1" s="1"/>
  <c r="AB391" i="1"/>
  <c r="AB266" i="1"/>
  <c r="AI266" i="1" s="1"/>
  <c r="AB280" i="1"/>
  <c r="AB299" i="1"/>
  <c r="AI299" i="1" s="1"/>
  <c r="AB410" i="1"/>
  <c r="AB25" i="1"/>
  <c r="AI25" i="1" s="1"/>
  <c r="AB156" i="1"/>
  <c r="AB181" i="1"/>
  <c r="AI181" i="1" s="1"/>
  <c r="AB383" i="1"/>
  <c r="AB139" i="1"/>
  <c r="AI139" i="1" s="1"/>
  <c r="AB182" i="1"/>
  <c r="AB24" i="1"/>
  <c r="AI24" i="1" s="1"/>
  <c r="AB324" i="1"/>
  <c r="AI324" i="1" s="1"/>
  <c r="AB174" i="1"/>
  <c r="AI174" i="1" s="1"/>
  <c r="AB364" i="1"/>
  <c r="AB223" i="1"/>
  <c r="AI223" i="1" s="1"/>
  <c r="AB47" i="1"/>
  <c r="AB395" i="1"/>
  <c r="AB175" i="1"/>
  <c r="AI175" i="1" s="1"/>
  <c r="AB365" i="1"/>
  <c r="AB224" i="1"/>
  <c r="AB270" i="1"/>
  <c r="AI270" i="1" s="1"/>
  <c r="AB362" i="1"/>
  <c r="AB41" i="1"/>
  <c r="AI41" i="1" s="1"/>
  <c r="AB393" i="1"/>
  <c r="AB143" i="1"/>
  <c r="AI143" i="1" s="1"/>
  <c r="AB355" i="1"/>
  <c r="AB250" i="1"/>
  <c r="AI250" i="1" s="1"/>
  <c r="AB32" i="1"/>
  <c r="AI32" i="1" s="1"/>
  <c r="AB162" i="1"/>
  <c r="AI162" i="1" s="1"/>
  <c r="AB15" i="1"/>
  <c r="AI15" i="1" s="1"/>
  <c r="AB236" i="1"/>
  <c r="AI236" i="1" s="1"/>
  <c r="EU358" i="1"/>
  <c r="ES358" i="1"/>
  <c r="AB78" i="1"/>
  <c r="AI78" i="1" s="1"/>
  <c r="AB392" i="1"/>
  <c r="AB396" i="1"/>
  <c r="AB122" i="1"/>
  <c r="AI122" i="1" s="1"/>
  <c r="AB336" i="1"/>
  <c r="AI336" i="1" s="1"/>
  <c r="AB95" i="1"/>
  <c r="AI95" i="1" s="1"/>
  <c r="AB206" i="1"/>
  <c r="AI206" i="1" s="1"/>
  <c r="AB246" i="1"/>
  <c r="AI246" i="1" s="1"/>
  <c r="AB384" i="1"/>
  <c r="AB49" i="1"/>
  <c r="AI49" i="1" s="1"/>
  <c r="AB105" i="1"/>
  <c r="AI105" i="1" s="1"/>
  <c r="AB50" i="1"/>
  <c r="AI50" i="1" s="1"/>
  <c r="AB375" i="1"/>
  <c r="AB22" i="1"/>
  <c r="AI22" i="1" s="1"/>
  <c r="AB168" i="1"/>
  <c r="AI168" i="1" s="1"/>
  <c r="AB107" i="1"/>
  <c r="AI107" i="1" s="1"/>
  <c r="AB348" i="1"/>
  <c r="AB388" i="1"/>
  <c r="AB289" i="1"/>
  <c r="AI289" i="1" s="1"/>
  <c r="AB409" i="1"/>
  <c r="AB125" i="1"/>
  <c r="AI125" i="1" s="1"/>
  <c r="AB163" i="1"/>
  <c r="AI163" i="1" s="1"/>
  <c r="AB204" i="1"/>
  <c r="AI204" i="1" s="1"/>
  <c r="AB98" i="1"/>
  <c r="AI98" i="1" s="1"/>
  <c r="AB282" i="1"/>
  <c r="AI282" i="1" s="1"/>
  <c r="ES156" i="1"/>
  <c r="AB20" i="1"/>
  <c r="AI20" i="1" s="1"/>
  <c r="AB213" i="1"/>
  <c r="AI213" i="1" s="1"/>
  <c r="AB36" i="1"/>
  <c r="AI36" i="1" s="1"/>
  <c r="AB111" i="1"/>
  <c r="AI111" i="1" s="1"/>
  <c r="AB37" i="1"/>
  <c r="AI37" i="1" s="1"/>
  <c r="AB402" i="1"/>
  <c r="AB344" i="1"/>
  <c r="AB73" i="1"/>
  <c r="AI73" i="1" s="1"/>
  <c r="AB232" i="1"/>
  <c r="AI232" i="1" s="1"/>
  <c r="AB330" i="1"/>
  <c r="AB217" i="1"/>
  <c r="AI217" i="1" s="1"/>
  <c r="AB31" i="1"/>
  <c r="AI31" i="1" s="1"/>
  <c r="AB161" i="1"/>
  <c r="AI161" i="1" s="1"/>
  <c r="AB210" i="1"/>
  <c r="AI210" i="1" s="1"/>
  <c r="AB258" i="1"/>
  <c r="AI258" i="1" s="1"/>
  <c r="AB55" i="1"/>
  <c r="AI55" i="1" s="1"/>
  <c r="AB144" i="1"/>
  <c r="AI144" i="1" s="1"/>
  <c r="AB211" i="1"/>
  <c r="AI211" i="1" s="1"/>
  <c r="AB333" i="1"/>
  <c r="AI333" i="1" s="1"/>
  <c r="AB357" i="1"/>
  <c r="AB52" i="1"/>
  <c r="AI52" i="1" s="1"/>
  <c r="AB400" i="1"/>
  <c r="AB102" i="1"/>
  <c r="AI102" i="1" s="1"/>
  <c r="AB126" i="1"/>
  <c r="AI126" i="1" s="1"/>
  <c r="AB294" i="1"/>
  <c r="AI294" i="1" s="1"/>
  <c r="AB245" i="1"/>
  <c r="AI245" i="1" s="1"/>
  <c r="AB146" i="1"/>
  <c r="AI146" i="1" s="1"/>
  <c r="AB358" i="1"/>
  <c r="AB63" i="1"/>
  <c r="AI63" i="1" s="1"/>
  <c r="AB147" i="1"/>
  <c r="AI147" i="1" s="1"/>
  <c r="AB157" i="1"/>
  <c r="AI157" i="1" s="1"/>
  <c r="AB38" i="1"/>
  <c r="AI38" i="1" s="1"/>
  <c r="AB354" i="1"/>
  <c r="AB192" i="1"/>
  <c r="AI192" i="1" s="1"/>
  <c r="AB274" i="1"/>
  <c r="AI274" i="1" s="1"/>
  <c r="AB51" i="1"/>
  <c r="AI51" i="1" s="1"/>
  <c r="AB366" i="1"/>
  <c r="AB257" i="1"/>
  <c r="AI257" i="1" s="1"/>
  <c r="AB277" i="1"/>
  <c r="AI277" i="1" s="1"/>
  <c r="AB67" i="1"/>
  <c r="AI67" i="1" s="1"/>
  <c r="AB54" i="1"/>
  <c r="AB186" i="1"/>
  <c r="AI186" i="1" s="1"/>
  <c r="AB42" i="1"/>
  <c r="AI42" i="1" s="1"/>
  <c r="AB408" i="1"/>
  <c r="AB124" i="1"/>
  <c r="AI124" i="1" s="1"/>
  <c r="AB170" i="1"/>
  <c r="AB187" i="1"/>
  <c r="AI187" i="1" s="1"/>
  <c r="AB43" i="1"/>
  <c r="AI43" i="1" s="1"/>
  <c r="AB389" i="1"/>
  <c r="AB83" i="1"/>
  <c r="AI83" i="1" s="1"/>
  <c r="CU309" i="1"/>
  <c r="DV309" i="1"/>
  <c r="BM309" i="1" s="1" a="1"/>
  <c r="BM309" i="1" s="1"/>
  <c r="EL309" i="1"/>
  <c r="AB373" i="1"/>
  <c r="AB229" i="1"/>
  <c r="AI229" i="1" s="1"/>
  <c r="AB164" i="1"/>
  <c r="AI164" i="1" s="1"/>
  <c r="AB253" i="1"/>
  <c r="AI253" i="1" s="1"/>
  <c r="AB318" i="1"/>
  <c r="AI318" i="1" s="1"/>
  <c r="AB359" i="1"/>
  <c r="AB214" i="1"/>
  <c r="AI214" i="1" s="1"/>
  <c r="AB254" i="1"/>
  <c r="AI254" i="1" s="1"/>
  <c r="AB112" i="1"/>
  <c r="AI112" i="1" s="1"/>
  <c r="AB353" i="1"/>
  <c r="AB191" i="1"/>
  <c r="AI191" i="1" s="1"/>
  <c r="AB403" i="1"/>
  <c r="AB325" i="1"/>
  <c r="AI325" i="1" s="1"/>
  <c r="AB200" i="1"/>
  <c r="AI200" i="1" s="1"/>
  <c r="AB240" i="1"/>
  <c r="AI240" i="1" s="1"/>
  <c r="AB338" i="1"/>
  <c r="AB176" i="1"/>
  <c r="AI176" i="1" s="1"/>
  <c r="AB263" i="1"/>
  <c r="AI263" i="1" s="1"/>
  <c r="AB58" i="1"/>
  <c r="AI58" i="1" s="1"/>
  <c r="AB218" i="1"/>
  <c r="AI218" i="1" s="1"/>
  <c r="AB297" i="1"/>
  <c r="AI297" i="1" s="1"/>
  <c r="AB332" i="1"/>
  <c r="AI332" i="1" s="1"/>
  <c r="AB251" i="1"/>
  <c r="AB308" i="1"/>
  <c r="AB133" i="1"/>
  <c r="AI133" i="1" s="1"/>
  <c r="AB212" i="1"/>
  <c r="AI212" i="1" s="1"/>
  <c r="AB379" i="1"/>
  <c r="AB80" i="1"/>
  <c r="AI80" i="1" s="1"/>
  <c r="AB404" i="1"/>
  <c r="AB130" i="1"/>
  <c r="AI130" i="1" s="1"/>
  <c r="AB23" i="1"/>
  <c r="AI23" i="1" s="1"/>
  <c r="AB189" i="1"/>
  <c r="AI189" i="1" s="1"/>
  <c r="AB221" i="1"/>
  <c r="AI221" i="1" s="1"/>
  <c r="AB45" i="1"/>
  <c r="AI45" i="1" s="1"/>
  <c r="AB77" i="1"/>
  <c r="AI77" i="1" s="1"/>
  <c r="AB21" i="1"/>
  <c r="AB64" i="1"/>
  <c r="AI64" i="1" s="1"/>
  <c r="AB311" i="1"/>
  <c r="AI311" i="1" s="1"/>
  <c r="AB269" i="1"/>
  <c r="AI269" i="1" s="1"/>
  <c r="AB57" i="1"/>
  <c r="AI57" i="1" s="1"/>
  <c r="AB346" i="1"/>
  <c r="AB225" i="1"/>
  <c r="AB314" i="1"/>
  <c r="AI314" i="1" s="1"/>
  <c r="AB331" i="1"/>
  <c r="AB169" i="1"/>
  <c r="AI169" i="1" s="1"/>
  <c r="AB68" i="1"/>
  <c r="AB307" i="1"/>
  <c r="AI307" i="1" s="1"/>
  <c r="AB132" i="1"/>
  <c r="AI132" i="1" s="1"/>
  <c r="AB219" i="1"/>
  <c r="AI219" i="1" s="1"/>
  <c r="AB290" i="1"/>
  <c r="AI290" i="1" s="1"/>
  <c r="AB341" i="1"/>
  <c r="AI341" i="1" s="1"/>
  <c r="AB171" i="1"/>
  <c r="AI171" i="1" s="1"/>
  <c r="AB188" i="1"/>
  <c r="AI188" i="1" s="1"/>
  <c r="AB86" i="1"/>
  <c r="AI86" i="1" s="1"/>
  <c r="AB138" i="1"/>
  <c r="AI138" i="1" s="1"/>
  <c r="AB323" i="1"/>
  <c r="AI323" i="1" s="1"/>
  <c r="AB334" i="1"/>
  <c r="AI334" i="1" s="1"/>
  <c r="AB71" i="1"/>
  <c r="AI71" i="1" s="1"/>
  <c r="AB119" i="1"/>
  <c r="AI119" i="1" s="1"/>
  <c r="AB335" i="1"/>
  <c r="AI335" i="1" s="1"/>
  <c r="AB165" i="1"/>
  <c r="AI165" i="1" s="1"/>
  <c r="AB46" i="1"/>
  <c r="AI46" i="1" s="1"/>
  <c r="AB345" i="1"/>
  <c r="AB231" i="1"/>
  <c r="AI231" i="1" s="1"/>
  <c r="AB273" i="1"/>
  <c r="AI273" i="1" s="1"/>
  <c r="AB374" i="1"/>
  <c r="AB28" i="1"/>
  <c r="AI28" i="1" s="1"/>
  <c r="AB193" i="1"/>
  <c r="AI193" i="1" s="1"/>
  <c r="AB75" i="1"/>
  <c r="AI75" i="1" s="1"/>
  <c r="AB81" i="1"/>
  <c r="AI81" i="1" s="1"/>
  <c r="AB226" i="1"/>
  <c r="AI226" i="1" s="1"/>
  <c r="AB264" i="1"/>
  <c r="AI264" i="1" s="1"/>
  <c r="AB100" i="1"/>
  <c r="AI100" i="1" s="1"/>
  <c r="AB259" i="1"/>
  <c r="AI259" i="1" s="1"/>
  <c r="AB279" i="1"/>
  <c r="AI279" i="1" s="1"/>
  <c r="AB101" i="1"/>
  <c r="EU400" i="1"/>
  <c r="ES400" i="1"/>
  <c r="AB244" i="1"/>
  <c r="AI244" i="1" s="1"/>
  <c r="AB286" i="1"/>
  <c r="AI286" i="1" s="1"/>
  <c r="AB84" i="1"/>
  <c r="AI84" i="1" s="1"/>
  <c r="AB94" i="1"/>
  <c r="AI94" i="1" s="1"/>
  <c r="AB326" i="1"/>
  <c r="AI326" i="1" s="1"/>
  <c r="AB18" i="1"/>
  <c r="AI18" i="1" s="1"/>
  <c r="AB106" i="1"/>
  <c r="AB261" i="1"/>
  <c r="AB222" i="1"/>
  <c r="AI222" i="1" s="1"/>
  <c r="AB262" i="1"/>
  <c r="AB319" i="1"/>
  <c r="AI319" i="1" s="1"/>
  <c r="AB120" i="1"/>
  <c r="AI120" i="1" s="1"/>
  <c r="AB239" i="1"/>
  <c r="AI239" i="1" s="1"/>
  <c r="AB312" i="1"/>
  <c r="AI312" i="1" s="1"/>
  <c r="AB184" i="1"/>
  <c r="AI184" i="1" s="1"/>
  <c r="AB248" i="1"/>
  <c r="AI248" i="1" s="1"/>
  <c r="AB386" i="1"/>
  <c r="AB149" i="1"/>
  <c r="AI149" i="1" s="1"/>
  <c r="AB233" i="1"/>
  <c r="AI233" i="1" s="1"/>
  <c r="AB271" i="1"/>
  <c r="AI271" i="1" s="1"/>
  <c r="AB376" i="1"/>
  <c r="AB367" i="1"/>
  <c r="AB278" i="1"/>
  <c r="AI278" i="1" s="1"/>
  <c r="AB340" i="1"/>
  <c r="AI340" i="1" s="1"/>
  <c r="AB368" i="1"/>
  <c r="AB69" i="1"/>
  <c r="AB16" i="1"/>
  <c r="AI16" i="1" s="1"/>
  <c r="AB17" i="1"/>
  <c r="AI17" i="1" s="1"/>
  <c r="AB322" i="1"/>
  <c r="AI322" i="1" s="1"/>
  <c r="AB293" i="1"/>
  <c r="AI293" i="1" s="1"/>
  <c r="AB302" i="1"/>
  <c r="AI302" i="1" s="1"/>
  <c r="AB342" i="1"/>
  <c r="AI342" i="1" s="1"/>
  <c r="AB172" i="1"/>
  <c r="AI172" i="1" s="1"/>
  <c r="AB60" i="1"/>
  <c r="AI60" i="1" s="1"/>
  <c r="AB91" i="1"/>
  <c r="AI91" i="1" s="1"/>
  <c r="AB411" i="1"/>
  <c r="AB85" i="1"/>
  <c r="AI85" i="1" s="1"/>
  <c r="AB363" i="1"/>
  <c r="AB72" i="1"/>
  <c r="AI72" i="1" s="1"/>
  <c r="AB183" i="1"/>
  <c r="AB199" i="1"/>
  <c r="AI199" i="1" s="1"/>
  <c r="AB382" i="1"/>
  <c r="AB113" i="1"/>
  <c r="AI113" i="1" s="1"/>
  <c r="AB141" i="1"/>
  <c r="AI141" i="1" s="1"/>
  <c r="AB208" i="1"/>
  <c r="AI208" i="1" s="1"/>
  <c r="AB59" i="1"/>
  <c r="AI59" i="1" s="1"/>
  <c r="AB288" i="1"/>
  <c r="AI288" i="1" s="1"/>
  <c r="AG370" i="1"/>
  <c r="AC370" i="1"/>
  <c r="AB177" i="1"/>
  <c r="AI177" i="1" s="1"/>
  <c r="AB76" i="1"/>
  <c r="AI76" i="1" s="1"/>
  <c r="AB14" i="1"/>
  <c r="AI14" i="1" s="1"/>
  <c r="AB349" i="1"/>
  <c r="AB227" i="1"/>
  <c r="AI227" i="1" s="1"/>
  <c r="AB399" i="1"/>
  <c r="AB321" i="1"/>
  <c r="AI321" i="1" s="1"/>
  <c r="AB152" i="1"/>
  <c r="AI152" i="1" s="1"/>
  <c r="AB350" i="1"/>
  <c r="AB369" i="1"/>
  <c r="AB220" i="1"/>
  <c r="AB252" i="1"/>
  <c r="AB121" i="1"/>
  <c r="AI121" i="1" s="1"/>
  <c r="AB27" i="1"/>
  <c r="AI27" i="1" s="1"/>
  <c r="AB313" i="1"/>
  <c r="AI313" i="1" s="1"/>
  <c r="AB412" i="1"/>
  <c r="EN178" i="1"/>
  <c r="CU408" i="1"/>
  <c r="DV408" i="1"/>
  <c r="BM408" i="1" s="1" a="1"/>
  <c r="BM408" i="1" s="1"/>
  <c r="EL408" i="1"/>
  <c r="CW243" i="1"/>
  <c r="EU21" i="1"/>
  <c r="ES21" i="1"/>
  <c r="EJ202" i="1"/>
  <c r="EJ172" i="1"/>
  <c r="EJ236" i="1"/>
  <c r="EJ106" i="1"/>
  <c r="EJ107" i="1"/>
  <c r="EJ346" i="1"/>
  <c r="EJ186" i="1"/>
  <c r="EJ344" i="1"/>
  <c r="EJ60" i="1"/>
  <c r="ED243" i="1"/>
  <c r="EN243" i="1"/>
  <c r="EN412" i="1"/>
  <c r="EO179" i="1"/>
  <c r="EN362" i="1"/>
  <c r="EO44" i="1"/>
  <c r="EN69" i="1"/>
  <c r="ED68" i="1"/>
  <c r="AT44" i="1"/>
  <c r="EO382" i="1"/>
  <c r="EN224" i="1"/>
  <c r="EN220" i="1"/>
  <c r="EO68" i="1"/>
  <c r="ED220" i="1"/>
  <c r="ED69" i="1"/>
  <c r="EN409" i="1"/>
  <c r="AT409" i="1"/>
  <c r="EN280" i="1"/>
  <c r="EN156" i="1"/>
  <c r="ED156" i="1"/>
  <c r="EN262" i="1"/>
  <c r="EN261" i="1"/>
  <c r="ED261" i="1"/>
  <c r="EO377" i="1"/>
  <c r="EN252" i="1"/>
  <c r="EN345" i="1"/>
  <c r="ED345" i="1"/>
  <c r="ED370" i="1"/>
  <c r="EN370" i="1"/>
  <c r="ED412" i="1"/>
  <c r="EN391" i="1"/>
  <c r="EN406" i="1"/>
  <c r="ED406" i="1"/>
  <c r="EN410" i="1"/>
  <c r="ED280" i="1"/>
  <c r="AT377" i="1"/>
  <c r="EN383" i="1"/>
  <c r="EO354" i="1"/>
  <c r="EO47" i="1"/>
  <c r="EN128" i="1"/>
  <c r="ED128" i="1"/>
  <c r="AT47" i="1"/>
  <c r="ED252" i="1"/>
  <c r="EN402" i="1"/>
  <c r="ED402" i="1"/>
  <c r="E13" i="1"/>
  <c r="D13" i="1"/>
  <c r="E7" i="1"/>
  <c r="D7" i="1"/>
  <c r="H13" i="1"/>
  <c r="CR13" i="1" s="1"/>
  <c r="H7" i="1"/>
  <c r="G13" i="1"/>
  <c r="CQ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BZ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CW106" i="1" l="1"/>
  <c r="EN106" i="1"/>
  <c r="ED379" i="1"/>
  <c r="CW391" i="1"/>
  <c r="CW54" i="1"/>
  <c r="ED391" i="1"/>
  <c r="ED54" i="1"/>
  <c r="EN379" i="1"/>
  <c r="EN54" i="1"/>
  <c r="ED106" i="1"/>
  <c r="CW379" i="1"/>
  <c r="CU251" i="1"/>
  <c r="DV251" i="1"/>
  <c r="BM251" i="1" s="1" a="1"/>
  <c r="BM251" i="1" s="1"/>
  <c r="EL251" i="1"/>
  <c r="EK353" i="1"/>
  <c r="EN353" i="1"/>
  <c r="DV347" i="1"/>
  <c r="BM347" i="1" s="1" a="1"/>
  <c r="BM347" i="1" s="1"/>
  <c r="EL347" i="1"/>
  <c r="CU347" i="1"/>
  <c r="CU405" i="1"/>
  <c r="EK405" i="1" s="1"/>
  <c r="DV405" i="1"/>
  <c r="BM405" i="1" s="1" a="1"/>
  <c r="BM405" i="1" s="1"/>
  <c r="EL405" i="1"/>
  <c r="EL400" i="1"/>
  <c r="CU400" i="1"/>
  <c r="DI409" i="1"/>
  <c r="DH409" i="1"/>
  <c r="DD409" i="1"/>
  <c r="AR101" i="1"/>
  <c r="BD101" i="1"/>
  <c r="DY101" i="1" s="1" a="1"/>
  <c r="DY101" i="1" s="1"/>
  <c r="EI101" i="1" s="1"/>
  <c r="AR179" i="1"/>
  <c r="BD179" i="1"/>
  <c r="AR128" i="1"/>
  <c r="BD128" i="1"/>
  <c r="DY128" i="1" s="1" a="1"/>
  <c r="DY128" i="1" s="1"/>
  <c r="EI128" i="1" s="1"/>
  <c r="AR354" i="1"/>
  <c r="BD354" i="1"/>
  <c r="DY354" i="1" s="1" a="1"/>
  <c r="DY354" i="1" s="1"/>
  <c r="EI354" i="1" s="1"/>
  <c r="CU368" i="1"/>
  <c r="EK368" i="1" s="1"/>
  <c r="AR47" i="1"/>
  <c r="BD47" i="1"/>
  <c r="DY47" i="1" s="1" a="1"/>
  <c r="DY47" i="1" s="1"/>
  <c r="EI47" i="1" s="1"/>
  <c r="EO154" i="1"/>
  <c r="BD154" i="1"/>
  <c r="DY154" i="1" s="1" a="1"/>
  <c r="DY154" i="1" s="1"/>
  <c r="EI154" i="1" s="1"/>
  <c r="AR68" i="1"/>
  <c r="BD68" i="1"/>
  <c r="AR44" i="1"/>
  <c r="BD44" i="1"/>
  <c r="AR376" i="1"/>
  <c r="BD376" i="1"/>
  <c r="DY376" i="1" s="1" a="1"/>
  <c r="DY376" i="1" s="1"/>
  <c r="EI376" i="1" s="1"/>
  <c r="DV368" i="1"/>
  <c r="BM368" i="1" s="1" a="1"/>
  <c r="BM368" i="1" s="1"/>
  <c r="BN368" i="1" s="1"/>
  <c r="AR35" i="1"/>
  <c r="BD35" i="1"/>
  <c r="AR346" i="1"/>
  <c r="BD346" i="1"/>
  <c r="AR397" i="1"/>
  <c r="BD397" i="1"/>
  <c r="DI356" i="1"/>
  <c r="DH356" i="1"/>
  <c r="DD356" i="1"/>
  <c r="AT154" i="1"/>
  <c r="AR344" i="1"/>
  <c r="BD344" i="1"/>
  <c r="DY344" i="1" s="1" a="1"/>
  <c r="DY344" i="1" s="1"/>
  <c r="EI344" i="1" s="1"/>
  <c r="AR383" i="1"/>
  <c r="BD383" i="1"/>
  <c r="DY383" i="1" s="1" a="1"/>
  <c r="DY383" i="1" s="1"/>
  <c r="EI383" i="1" s="1"/>
  <c r="AR382" i="1"/>
  <c r="BD382" i="1"/>
  <c r="AR412" i="1"/>
  <c r="BD412" i="1"/>
  <c r="DI370" i="1"/>
  <c r="DH370" i="1"/>
  <c r="DD370" i="1"/>
  <c r="AR377" i="1"/>
  <c r="BD377" i="1"/>
  <c r="DY377" i="1" s="1" a="1"/>
  <c r="DY377" i="1" s="1"/>
  <c r="EI377" i="1" s="1"/>
  <c r="EN407" i="1"/>
  <c r="EN364" i="1"/>
  <c r="CW156" i="1"/>
  <c r="CW220" i="1"/>
  <c r="EN357" i="1"/>
  <c r="CW393" i="1"/>
  <c r="EN393" i="1"/>
  <c r="ED373" i="1"/>
  <c r="CW406" i="1"/>
  <c r="CW364" i="1"/>
  <c r="ED350" i="1"/>
  <c r="CW350" i="1"/>
  <c r="EN350" i="1"/>
  <c r="EN401" i="1"/>
  <c r="EN373" i="1"/>
  <c r="CW373" i="1"/>
  <c r="ED364" i="1"/>
  <c r="CU338" i="1"/>
  <c r="CW338" i="1" s="1"/>
  <c r="DV338" i="1"/>
  <c r="BM338" i="1" s="1" a="1"/>
  <c r="BM338" i="1" s="1"/>
  <c r="BN338" i="1" s="1"/>
  <c r="EL338" i="1"/>
  <c r="DV101" i="1"/>
  <c r="BM101" i="1" s="1" a="1"/>
  <c r="BM101" i="1" s="1"/>
  <c r="EL101" i="1"/>
  <c r="CU101" i="1"/>
  <c r="EP363" i="1"/>
  <c r="EL411" i="1"/>
  <c r="CW382" i="1"/>
  <c r="AN359" i="1"/>
  <c r="BD359" i="1" s="1"/>
  <c r="CU380" i="1"/>
  <c r="EL380" i="1"/>
  <c r="DV380" i="1"/>
  <c r="BM380" i="1" s="1" a="1"/>
  <c r="BM380" i="1" s="1"/>
  <c r="BN380" i="1" s="1"/>
  <c r="CU390" i="1"/>
  <c r="DV390" i="1"/>
  <c r="BM390" i="1" s="1" a="1"/>
  <c r="BM390" i="1" s="1"/>
  <c r="EP383" i="1"/>
  <c r="EP351" i="1"/>
  <c r="EL390" i="1"/>
  <c r="AN368" i="1"/>
  <c r="BD368" i="1" s="1"/>
  <c r="AT368" i="1"/>
  <c r="AN390" i="1"/>
  <c r="CU355" i="1"/>
  <c r="EL355" i="1"/>
  <c r="CU387" i="1"/>
  <c r="ED387" i="1" s="1"/>
  <c r="EL387" i="1"/>
  <c r="DV387" i="1"/>
  <c r="BM387" i="1" s="1" a="1"/>
  <c r="BM387" i="1" s="1"/>
  <c r="BN387" i="1" s="1"/>
  <c r="EN411" i="1"/>
  <c r="BN374" i="1"/>
  <c r="CW345" i="1"/>
  <c r="CU363" i="1"/>
  <c r="DV363" i="1"/>
  <c r="BM363" i="1" s="1" a="1"/>
  <c r="BM363" i="1" s="1"/>
  <c r="BN363" i="1" s="1"/>
  <c r="EL363" i="1"/>
  <c r="CU374" i="1"/>
  <c r="CW374" i="1" s="1"/>
  <c r="EL374" i="1"/>
  <c r="CU384" i="1"/>
  <c r="EL384" i="1"/>
  <c r="CU308" i="1"/>
  <c r="CW308" i="1" s="1"/>
  <c r="EL359" i="1"/>
  <c r="AT356" i="1"/>
  <c r="EP406" i="1"/>
  <c r="DV411" i="1"/>
  <c r="BM411" i="1" s="1" a="1"/>
  <c r="BM411" i="1" s="1"/>
  <c r="DV359" i="1"/>
  <c r="BM359" i="1" s="1" a="1"/>
  <c r="BM359" i="1" s="1"/>
  <c r="DV156" i="1"/>
  <c r="BM156" i="1" s="1" a="1"/>
  <c r="BM156" i="1" s="1"/>
  <c r="BN156" i="1" s="1"/>
  <c r="AN373" i="1"/>
  <c r="AN262" i="1"/>
  <c r="EN359" i="1"/>
  <c r="EP349" i="1"/>
  <c r="EN382" i="1"/>
  <c r="CU399" i="1"/>
  <c r="CW399" i="1" s="1"/>
  <c r="EL399" i="1"/>
  <c r="BN243" i="1"/>
  <c r="CU389" i="1"/>
  <c r="EL389" i="1"/>
  <c r="EO397" i="1"/>
  <c r="EN68" i="1"/>
  <c r="ED411" i="1"/>
  <c r="AN379" i="1"/>
  <c r="BD379" i="1" s="1"/>
  <c r="CU154" i="1"/>
  <c r="EL154" i="1"/>
  <c r="EP398" i="1"/>
  <c r="EL54" i="1"/>
  <c r="BN390" i="1"/>
  <c r="AT397" i="1"/>
  <c r="BN128" i="1"/>
  <c r="CW68" i="1"/>
  <c r="ED359" i="1"/>
  <c r="BN381" i="1"/>
  <c r="EP400" i="1"/>
  <c r="CW407" i="1"/>
  <c r="ED383" i="1"/>
  <c r="CW359" i="1"/>
  <c r="DV383" i="1"/>
  <c r="BM383" i="1" s="1" a="1"/>
  <c r="BM383" i="1" s="1"/>
  <c r="BN383" i="1" s="1"/>
  <c r="DV154" i="1"/>
  <c r="BM154" i="1" s="1" a="1"/>
  <c r="BM154" i="1" s="1"/>
  <c r="BN154" i="1" s="1"/>
  <c r="ED382" i="1"/>
  <c r="DV400" i="1"/>
  <c r="BM400" i="1" s="1" a="1"/>
  <c r="BM400" i="1" s="1"/>
  <c r="BO400" i="1" s="1"/>
  <c r="CO400" i="1" s="1"/>
  <c r="CW411" i="1"/>
  <c r="EL410" i="1"/>
  <c r="BN402" i="1"/>
  <c r="BN350" i="1"/>
  <c r="BN412" i="1"/>
  <c r="ED178" i="1"/>
  <c r="BN406" i="1"/>
  <c r="BN252" i="1"/>
  <c r="CW178" i="1"/>
  <c r="BN405" i="1"/>
  <c r="BN69" i="1"/>
  <c r="CW409" i="1"/>
  <c r="EP371" i="1"/>
  <c r="EP378" i="1"/>
  <c r="BN261" i="1"/>
  <c r="BN401" i="1"/>
  <c r="ED407" i="1"/>
  <c r="DV407" i="1"/>
  <c r="BM407" i="1" s="1" a="1"/>
  <c r="BM407" i="1" s="1"/>
  <c r="BO407" i="1" s="1"/>
  <c r="CO407" i="1" s="1"/>
  <c r="EL407" i="1"/>
  <c r="AT128" i="1"/>
  <c r="EO128" i="1"/>
  <c r="BN379" i="1"/>
  <c r="CW396" i="1"/>
  <c r="EP394" i="1"/>
  <c r="EN371" i="1"/>
  <c r="EL382" i="1"/>
  <c r="AT412" i="1"/>
  <c r="AT344" i="1"/>
  <c r="CU44" i="1"/>
  <c r="DV44" i="1"/>
  <c r="EL44" i="1"/>
  <c r="EP366" i="1"/>
  <c r="DV353" i="1"/>
  <c r="AT382" i="1"/>
  <c r="CW224" i="1"/>
  <c r="EP360" i="1"/>
  <c r="EP350" i="1"/>
  <c r="DV68" i="1"/>
  <c r="BO47" i="1"/>
  <c r="CO47" i="1" s="1"/>
  <c r="BN371" i="1"/>
  <c r="EP365" i="1"/>
  <c r="EP404" i="1"/>
  <c r="EO383" i="1"/>
  <c r="BO408" i="1"/>
  <c r="CO408" i="1" s="1"/>
  <c r="EP388" i="1"/>
  <c r="EP381" i="1"/>
  <c r="BN47" i="1"/>
  <c r="EN392" i="1"/>
  <c r="DV382" i="1"/>
  <c r="EL353" i="1"/>
  <c r="AT346" i="1"/>
  <c r="ED392" i="1"/>
  <c r="EP403" i="1"/>
  <c r="EP405" i="1"/>
  <c r="EP379" i="1"/>
  <c r="AT179" i="1"/>
  <c r="EP374" i="1"/>
  <c r="CW353" i="1"/>
  <c r="BO369" i="1"/>
  <c r="CO369" i="1" s="1"/>
  <c r="EL68" i="1"/>
  <c r="EP368" i="1"/>
  <c r="BO251" i="1"/>
  <c r="CO251" i="1" s="1"/>
  <c r="DV224" i="1"/>
  <c r="ED393" i="1"/>
  <c r="EP354" i="1"/>
  <c r="BO373" i="1"/>
  <c r="CO373" i="1" s="1"/>
  <c r="EP376" i="1"/>
  <c r="EP391" i="1"/>
  <c r="CU47" i="1"/>
  <c r="CW47" i="1" s="1"/>
  <c r="EL47" i="1"/>
  <c r="CU343" i="1"/>
  <c r="ED343" i="1" s="1"/>
  <c r="DV343" i="1"/>
  <c r="BO374" i="1"/>
  <c r="CO374" i="1" s="1"/>
  <c r="EP348" i="1"/>
  <c r="AT376" i="1"/>
  <c r="BO357" i="1"/>
  <c r="CO357" i="1" s="1"/>
  <c r="ED405" i="1"/>
  <c r="EP362" i="1"/>
  <c r="AT354" i="1"/>
  <c r="BO410" i="1"/>
  <c r="CO410" i="1" s="1"/>
  <c r="BN394" i="1"/>
  <c r="CU365" i="1"/>
  <c r="DV365" i="1"/>
  <c r="EP369" i="1"/>
  <c r="AT35" i="1"/>
  <c r="AT101" i="1"/>
  <c r="ED262" i="1"/>
  <c r="ED353" i="1"/>
  <c r="EO35" i="1"/>
  <c r="BO69" i="1"/>
  <c r="CO69" i="1" s="1"/>
  <c r="CU385" i="1"/>
  <c r="DV385" i="1"/>
  <c r="EO412" i="1"/>
  <c r="BO412" i="1"/>
  <c r="CO412" i="1" s="1"/>
  <c r="EP407" i="1"/>
  <c r="BO368" i="1"/>
  <c r="CO368" i="1" s="1"/>
  <c r="EO101" i="1"/>
  <c r="BN411" i="1"/>
  <c r="EP396" i="1"/>
  <c r="CU381" i="1"/>
  <c r="CW381" i="1" s="1"/>
  <c r="EL381" i="1"/>
  <c r="BO309" i="1"/>
  <c r="CO309" i="1" s="1"/>
  <c r="EP355" i="1"/>
  <c r="AT68" i="1"/>
  <c r="EO346" i="1"/>
  <c r="EP393" i="1"/>
  <c r="ED224" i="1"/>
  <c r="EP347" i="1"/>
  <c r="EP409" i="1"/>
  <c r="EP364" i="1"/>
  <c r="EP401" i="1"/>
  <c r="EP353" i="1"/>
  <c r="EP380" i="1"/>
  <c r="EP402" i="1"/>
  <c r="EP399" i="1"/>
  <c r="EP392" i="1"/>
  <c r="EP384" i="1"/>
  <c r="EP387" i="1"/>
  <c r="EP408" i="1"/>
  <c r="EP410" i="1"/>
  <c r="ED396" i="1"/>
  <c r="EO376" i="1"/>
  <c r="BO392" i="1"/>
  <c r="CO392" i="1" s="1"/>
  <c r="EP367" i="1"/>
  <c r="BO261" i="1"/>
  <c r="CO261" i="1" s="1"/>
  <c r="BO384" i="1"/>
  <c r="CO384" i="1" s="1"/>
  <c r="BN364" i="1"/>
  <c r="BO394" i="1"/>
  <c r="CO394" i="1" s="1"/>
  <c r="BO243" i="1"/>
  <c r="CO243" i="1" s="1"/>
  <c r="EP357" i="1"/>
  <c r="AT383" i="1"/>
  <c r="BO360" i="1"/>
  <c r="CO360" i="1" s="1"/>
  <c r="EP397" i="1"/>
  <c r="BO406" i="1"/>
  <c r="CO406" i="1" s="1"/>
  <c r="BO350" i="1"/>
  <c r="CO350" i="1" s="1"/>
  <c r="BN251" i="1"/>
  <c r="CU348" i="1"/>
  <c r="DV348" i="1"/>
  <c r="EL348" i="1"/>
  <c r="BO389" i="1"/>
  <c r="CO389" i="1" s="1"/>
  <c r="CU344" i="1"/>
  <c r="CW344" i="1" s="1"/>
  <c r="DV344" i="1"/>
  <c r="EL344" i="1"/>
  <c r="BO101" i="1"/>
  <c r="CO101" i="1" s="1"/>
  <c r="EP356" i="1"/>
  <c r="CW394" i="1"/>
  <c r="BO397" i="1"/>
  <c r="CO397" i="1" s="1"/>
  <c r="ED409" i="1"/>
  <c r="EN396" i="1"/>
  <c r="EP382" i="1"/>
  <c r="BO220" i="1"/>
  <c r="CO220" i="1" s="1"/>
  <c r="CU388" i="1"/>
  <c r="CW388" i="1" s="1"/>
  <c r="DV388" i="1"/>
  <c r="EL388" i="1"/>
  <c r="BO179" i="1"/>
  <c r="CO179" i="1" s="1"/>
  <c r="CU398" i="1"/>
  <c r="CW398" i="1" s="1"/>
  <c r="DV398" i="1"/>
  <c r="EL398" i="1"/>
  <c r="EP375" i="1"/>
  <c r="AN408" i="1"/>
  <c r="BD408" i="1" s="1"/>
  <c r="AN56" i="1"/>
  <c r="AN357" i="1"/>
  <c r="BO280" i="1"/>
  <c r="CO280" i="1" s="1"/>
  <c r="AN394" i="1"/>
  <c r="BN106" i="1"/>
  <c r="BO106" i="1"/>
  <c r="CO106" i="1" s="1"/>
  <c r="EP386" i="1"/>
  <c r="AN402" i="1"/>
  <c r="BD402" i="1" s="1"/>
  <c r="AN360" i="1"/>
  <c r="AN347" i="1"/>
  <c r="BD347" i="1" s="1"/>
  <c r="AR409" i="1"/>
  <c r="EO409" i="1"/>
  <c r="CU386" i="1"/>
  <c r="DV386" i="1"/>
  <c r="EL386" i="1"/>
  <c r="AN385" i="1"/>
  <c r="BN373" i="1"/>
  <c r="BN391" i="1"/>
  <c r="BO391" i="1"/>
  <c r="CO391" i="1" s="1"/>
  <c r="CU346" i="1"/>
  <c r="EL346" i="1"/>
  <c r="DV346" i="1"/>
  <c r="AN353" i="1"/>
  <c r="BD353" i="1" s="1"/>
  <c r="AN386" i="1"/>
  <c r="AN21" i="1"/>
  <c r="AN389" i="1"/>
  <c r="BD389" i="1" s="1"/>
  <c r="CU372" i="1"/>
  <c r="DV372" i="1"/>
  <c r="EL372" i="1"/>
  <c r="AN178" i="1"/>
  <c r="BD178" i="1" s="1"/>
  <c r="AN405" i="1"/>
  <c r="BD405" i="1" s="1"/>
  <c r="AN309" i="1"/>
  <c r="AN106" i="1"/>
  <c r="BD106" i="1" s="1"/>
  <c r="AN330" i="1"/>
  <c r="EP361" i="1"/>
  <c r="BO387" i="1"/>
  <c r="CO387" i="1" s="1"/>
  <c r="CU225" i="1"/>
  <c r="EL225" i="1"/>
  <c r="DV225" i="1"/>
  <c r="AN374" i="1"/>
  <c r="BD374" i="1" s="1"/>
  <c r="AN252" i="1"/>
  <c r="AN392" i="1"/>
  <c r="AN400" i="1"/>
  <c r="BD400" i="1" s="1"/>
  <c r="AN387" i="1"/>
  <c r="AN156" i="1"/>
  <c r="AN34" i="1"/>
  <c r="BD34" i="1" s="1"/>
  <c r="CU403" i="1"/>
  <c r="CW403" i="1" s="1"/>
  <c r="DV403" i="1"/>
  <c r="EL403" i="1"/>
  <c r="AN183" i="1"/>
  <c r="BD183" i="1" s="1"/>
  <c r="CU361" i="1"/>
  <c r="ED361" i="1" s="1"/>
  <c r="DV361" i="1"/>
  <c r="EL361" i="1"/>
  <c r="AN411" i="1"/>
  <c r="BD411" i="1" s="1"/>
  <c r="AN355" i="1"/>
  <c r="BD355" i="1" s="1"/>
  <c r="AN343" i="1"/>
  <c r="AN362" i="1"/>
  <c r="BD362" i="1" s="1"/>
  <c r="AN358" i="1"/>
  <c r="CU354" i="1"/>
  <c r="DV354" i="1"/>
  <c r="EL354" i="1"/>
  <c r="ED338" i="1"/>
  <c r="CU182" i="1"/>
  <c r="DV182" i="1"/>
  <c r="EL182" i="1"/>
  <c r="AN54" i="1"/>
  <c r="BD54" i="1" s="1"/>
  <c r="CU173" i="1"/>
  <c r="EL173" i="1"/>
  <c r="DV173" i="1"/>
  <c r="CU367" i="1"/>
  <c r="CW367" i="1" s="1"/>
  <c r="EL367" i="1"/>
  <c r="DV367" i="1"/>
  <c r="CU330" i="1"/>
  <c r="DV330" i="1"/>
  <c r="EL330" i="1"/>
  <c r="CU21" i="1"/>
  <c r="ED21" i="1" s="1"/>
  <c r="EL21" i="1"/>
  <c r="DV21" i="1"/>
  <c r="AN380" i="1"/>
  <c r="BD380" i="1" s="1"/>
  <c r="CW401" i="1"/>
  <c r="ED401" i="1"/>
  <c r="AN407" i="1"/>
  <c r="BD407" i="1" s="1"/>
  <c r="AN361" i="1"/>
  <c r="BD361" i="1" s="1"/>
  <c r="CU375" i="1"/>
  <c r="EL375" i="1"/>
  <c r="DV375" i="1"/>
  <c r="AN173" i="1"/>
  <c r="CU352" i="1"/>
  <c r="CW352" i="1" s="1"/>
  <c r="DV352" i="1"/>
  <c r="EL352" i="1"/>
  <c r="AN369" i="1"/>
  <c r="BD369" i="1" s="1"/>
  <c r="AN367" i="1"/>
  <c r="BD367" i="1" s="1"/>
  <c r="CU331" i="1"/>
  <c r="CW331" i="1" s="1"/>
  <c r="DV331" i="1"/>
  <c r="EL331" i="1"/>
  <c r="AN352" i="1"/>
  <c r="AN401" i="1"/>
  <c r="AN393" i="1"/>
  <c r="AN365" i="1"/>
  <c r="BD365" i="1" s="1"/>
  <c r="AN224" i="1"/>
  <c r="BD224" i="1" s="1"/>
  <c r="AN372" i="1"/>
  <c r="BD372" i="1" s="1"/>
  <c r="AN375" i="1"/>
  <c r="AN69" i="1"/>
  <c r="AN338" i="1"/>
  <c r="BD338" i="1" s="1"/>
  <c r="CU366" i="1"/>
  <c r="DV366" i="1"/>
  <c r="EL366" i="1"/>
  <c r="AN348" i="1"/>
  <c r="BD348" i="1" s="1"/>
  <c r="AN331" i="1"/>
  <c r="BD331" i="1" s="1"/>
  <c r="AN403" i="1"/>
  <c r="BD403" i="1" s="1"/>
  <c r="AN350" i="1"/>
  <c r="AN182" i="1"/>
  <c r="AN243" i="1"/>
  <c r="BD243" i="1" s="1"/>
  <c r="AN384" i="1"/>
  <c r="AN220" i="1"/>
  <c r="BD220" i="1" s="1"/>
  <c r="AN366" i="1"/>
  <c r="CU395" i="1"/>
  <c r="CW395" i="1" s="1"/>
  <c r="EL395" i="1"/>
  <c r="DV395" i="1"/>
  <c r="CU404" i="1"/>
  <c r="DV404" i="1"/>
  <c r="EL404" i="1"/>
  <c r="AN280" i="1"/>
  <c r="AN391" i="1"/>
  <c r="EK376" i="1"/>
  <c r="CW376" i="1"/>
  <c r="ED376" i="1"/>
  <c r="EN376" i="1"/>
  <c r="CU351" i="1"/>
  <c r="CW351" i="1" s="1"/>
  <c r="EL351" i="1"/>
  <c r="DV351" i="1"/>
  <c r="DV349" i="1"/>
  <c r="EL349" i="1"/>
  <c r="CU349" i="1"/>
  <c r="AN395" i="1"/>
  <c r="BD395" i="1" s="1"/>
  <c r="AN363" i="1"/>
  <c r="AN388" i="1"/>
  <c r="BD388" i="1" s="1"/>
  <c r="CU241" i="1"/>
  <c r="EL241" i="1"/>
  <c r="DV241" i="1"/>
  <c r="ED371" i="1"/>
  <c r="CW371" i="1"/>
  <c r="CX399" i="1"/>
  <c r="AN225" i="1"/>
  <c r="BD225" i="1" s="1"/>
  <c r="CU35" i="1"/>
  <c r="EL35" i="1"/>
  <c r="DV35" i="1"/>
  <c r="DV56" i="1"/>
  <c r="CU56" i="1"/>
  <c r="EL56" i="1"/>
  <c r="AN241" i="1"/>
  <c r="BD241" i="1" s="1"/>
  <c r="AN399" i="1"/>
  <c r="BD399" i="1" s="1"/>
  <c r="CU34" i="1"/>
  <c r="ED34" i="1" s="1"/>
  <c r="DV34" i="1"/>
  <c r="EL34" i="1"/>
  <c r="CW261" i="1"/>
  <c r="AN345" i="1"/>
  <c r="BD345" i="1" s="1"/>
  <c r="AN381" i="1"/>
  <c r="AN404" i="1"/>
  <c r="AN406" i="1"/>
  <c r="AR356" i="1"/>
  <c r="EO356" i="1"/>
  <c r="AN410" i="1"/>
  <c r="BD410" i="1" s="1"/>
  <c r="CU378" i="1"/>
  <c r="DV378" i="1"/>
  <c r="EL378" i="1"/>
  <c r="AN396" i="1"/>
  <c r="BD396" i="1" s="1"/>
  <c r="AN364" i="1"/>
  <c r="BD364" i="1" s="1"/>
  <c r="CU358" i="1"/>
  <c r="DV358" i="1"/>
  <c r="EL358" i="1"/>
  <c r="AN251" i="1"/>
  <c r="AN339" i="1"/>
  <c r="DV377" i="1"/>
  <c r="CU377" i="1"/>
  <c r="EL377" i="1"/>
  <c r="AN371" i="1"/>
  <c r="AN378" i="1"/>
  <c r="BD378" i="1" s="1"/>
  <c r="AN398" i="1"/>
  <c r="BD398" i="1" s="1"/>
  <c r="AN261" i="1"/>
  <c r="BD261" i="1" s="1"/>
  <c r="AN308" i="1"/>
  <c r="AN351" i="1"/>
  <c r="AN349" i="1"/>
  <c r="BD349" i="1" s="1"/>
  <c r="BO356" i="1"/>
  <c r="CO356" i="1" s="1"/>
  <c r="BO402" i="1"/>
  <c r="CO402" i="1" s="1"/>
  <c r="BO390" i="1"/>
  <c r="CO390" i="1" s="1"/>
  <c r="BN410" i="1"/>
  <c r="EP411" i="1"/>
  <c r="BO183" i="1"/>
  <c r="CO183" i="1" s="1"/>
  <c r="BO339" i="1"/>
  <c r="CO339" i="1" s="1"/>
  <c r="BO347" i="1"/>
  <c r="CO347" i="1" s="1"/>
  <c r="BO54" i="1"/>
  <c r="CO54" i="1" s="1"/>
  <c r="BN356" i="1"/>
  <c r="BO376" i="1"/>
  <c r="CO376" i="1" s="1"/>
  <c r="BO393" i="1"/>
  <c r="CO393" i="1" s="1"/>
  <c r="BO401" i="1"/>
  <c r="CO401" i="1" s="1"/>
  <c r="CD404" i="1"/>
  <c r="CF404" i="1"/>
  <c r="CM404" i="1" s="1"/>
  <c r="CE404" i="1"/>
  <c r="CF393" i="1"/>
  <c r="CM393" i="1" s="1"/>
  <c r="CD393" i="1"/>
  <c r="CE393" i="1"/>
  <c r="CF395" i="1"/>
  <c r="CM395" i="1" s="1"/>
  <c r="CD395" i="1"/>
  <c r="CE395" i="1"/>
  <c r="BO383" i="1"/>
  <c r="CO383" i="1" s="1"/>
  <c r="CD35" i="1"/>
  <c r="CF35" i="1"/>
  <c r="CM35" i="1" s="1"/>
  <c r="CE35" i="1"/>
  <c r="CF356" i="1"/>
  <c r="CM356" i="1" s="1"/>
  <c r="CE356" i="1"/>
  <c r="CD356" i="1"/>
  <c r="CF101" i="1"/>
  <c r="CM101" i="1" s="1"/>
  <c r="CD101" i="1"/>
  <c r="CE101" i="1"/>
  <c r="BO128" i="1"/>
  <c r="CO128" i="1" s="1"/>
  <c r="CF384" i="1"/>
  <c r="CM384" i="1" s="1"/>
  <c r="CE384" i="1"/>
  <c r="CD384" i="1"/>
  <c r="CD68" i="1"/>
  <c r="CF68" i="1"/>
  <c r="CM68" i="1" s="1"/>
  <c r="CE68" i="1"/>
  <c r="CF339" i="1"/>
  <c r="CM339" i="1" s="1"/>
  <c r="CE339" i="1"/>
  <c r="CD339" i="1"/>
  <c r="CF349" i="1"/>
  <c r="CM349" i="1" s="1"/>
  <c r="CD349" i="1"/>
  <c r="CE349" i="1"/>
  <c r="CF364" i="1"/>
  <c r="CM364" i="1" s="1"/>
  <c r="CE364" i="1"/>
  <c r="CD364" i="1"/>
  <c r="BO338" i="1"/>
  <c r="CO338" i="1" s="1"/>
  <c r="BN101" i="1"/>
  <c r="CF386" i="1"/>
  <c r="CM386" i="1" s="1"/>
  <c r="CE386" i="1"/>
  <c r="CD386" i="1"/>
  <c r="CD182" i="1"/>
  <c r="CE182" i="1"/>
  <c r="CF182" i="1"/>
  <c r="CM182" i="1" s="1"/>
  <c r="BN339" i="1"/>
  <c r="CE352" i="1"/>
  <c r="CF352" i="1"/>
  <c r="CM352" i="1" s="1"/>
  <c r="CD352" i="1"/>
  <c r="CF243" i="1"/>
  <c r="CM243" i="1" s="1"/>
  <c r="CD243" i="1"/>
  <c r="CE243" i="1"/>
  <c r="BN309" i="1"/>
  <c r="CF156" i="1"/>
  <c r="CM156" i="1" s="1"/>
  <c r="CD156" i="1"/>
  <c r="CE156" i="1"/>
  <c r="CF183" i="1"/>
  <c r="CM183" i="1" s="1"/>
  <c r="CE183" i="1"/>
  <c r="CD183" i="1"/>
  <c r="BO379" i="1"/>
  <c r="CO379" i="1" s="1"/>
  <c r="CF380" i="1"/>
  <c r="CM380" i="1" s="1"/>
  <c r="CE380" i="1"/>
  <c r="CD380" i="1"/>
  <c r="CF251" i="1"/>
  <c r="CM251" i="1" s="1"/>
  <c r="CE251" i="1"/>
  <c r="CD251" i="1"/>
  <c r="CF410" i="1"/>
  <c r="CM410" i="1" s="1"/>
  <c r="CE410" i="1"/>
  <c r="CD410" i="1"/>
  <c r="CE252" i="1"/>
  <c r="CD252" i="1"/>
  <c r="CF252" i="1"/>
  <c r="CM252" i="1" s="1"/>
  <c r="CF387" i="1"/>
  <c r="CM387" i="1" s="1"/>
  <c r="CE387" i="1"/>
  <c r="CD387" i="1"/>
  <c r="CF350" i="1"/>
  <c r="CM350" i="1" s="1"/>
  <c r="CE350" i="1"/>
  <c r="CD350" i="1"/>
  <c r="CF368" i="1"/>
  <c r="CM368" i="1" s="1"/>
  <c r="CE368" i="1"/>
  <c r="CD368" i="1"/>
  <c r="BO371" i="1"/>
  <c r="CO371" i="1" s="1"/>
  <c r="CF406" i="1"/>
  <c r="CM406" i="1" s="1"/>
  <c r="CE406" i="1"/>
  <c r="CD406" i="1"/>
  <c r="CF21" i="1"/>
  <c r="CM21" i="1" s="1"/>
  <c r="CE21" i="1"/>
  <c r="CD21" i="1"/>
  <c r="CD347" i="1"/>
  <c r="CF347" i="1"/>
  <c r="CM347" i="1" s="1"/>
  <c r="CE347" i="1"/>
  <c r="CF345" i="1"/>
  <c r="CM345" i="1" s="1"/>
  <c r="CE345" i="1"/>
  <c r="CD345" i="1"/>
  <c r="CF178" i="1"/>
  <c r="CM178" i="1" s="1"/>
  <c r="CE178" i="1"/>
  <c r="CD178" i="1"/>
  <c r="CD309" i="1"/>
  <c r="CF309" i="1"/>
  <c r="CM309" i="1" s="1"/>
  <c r="CE309" i="1"/>
  <c r="CF357" i="1"/>
  <c r="CM357" i="1" s="1"/>
  <c r="CE357" i="1"/>
  <c r="CD357" i="1"/>
  <c r="CD225" i="1"/>
  <c r="CF225" i="1"/>
  <c r="CM225" i="1" s="1"/>
  <c r="CE225" i="1"/>
  <c r="CF408" i="1"/>
  <c r="CM408" i="1" s="1"/>
  <c r="CE408" i="1"/>
  <c r="CD408" i="1"/>
  <c r="CE374" i="1"/>
  <c r="CD374" i="1"/>
  <c r="CF374" i="1"/>
  <c r="CM374" i="1" s="1"/>
  <c r="CF367" i="1"/>
  <c r="CM367" i="1" s="1"/>
  <c r="CE367" i="1"/>
  <c r="CD367" i="1"/>
  <c r="CE261" i="1"/>
  <c r="CD261" i="1"/>
  <c r="CF261" i="1"/>
  <c r="CM261" i="1" s="1"/>
  <c r="BN347" i="1"/>
  <c r="CD179" i="1"/>
  <c r="CF179" i="1"/>
  <c r="CM179" i="1" s="1"/>
  <c r="CE179" i="1"/>
  <c r="BN369" i="1"/>
  <c r="CE170" i="1"/>
  <c r="CF170" i="1"/>
  <c r="CM170" i="1" s="1"/>
  <c r="CD170" i="1"/>
  <c r="CF128" i="1"/>
  <c r="CM128" i="1" s="1"/>
  <c r="CD128" i="1"/>
  <c r="CE128" i="1"/>
  <c r="CF106" i="1"/>
  <c r="CM106" i="1" s="1"/>
  <c r="CE106" i="1"/>
  <c r="CD106" i="1"/>
  <c r="CF382" i="1"/>
  <c r="CM382" i="1" s="1"/>
  <c r="CE382" i="1"/>
  <c r="CD382" i="1"/>
  <c r="BN408" i="1"/>
  <c r="CE359" i="1"/>
  <c r="CD359" i="1"/>
  <c r="CF359" i="1"/>
  <c r="CM359" i="1" s="1"/>
  <c r="BN179" i="1"/>
  <c r="CD407" i="1"/>
  <c r="CF407" i="1"/>
  <c r="CM407" i="1" s="1"/>
  <c r="CE407" i="1"/>
  <c r="BO399" i="1"/>
  <c r="CO399" i="1" s="1"/>
  <c r="CF369" i="1"/>
  <c r="CM369" i="1" s="1"/>
  <c r="CE369" i="1"/>
  <c r="CD369" i="1"/>
  <c r="CF344" i="1"/>
  <c r="CM344" i="1" s="1"/>
  <c r="CE344" i="1"/>
  <c r="CD344" i="1"/>
  <c r="CE377" i="1"/>
  <c r="CD377" i="1"/>
  <c r="CF377" i="1"/>
  <c r="CM377" i="1" s="1"/>
  <c r="CD358" i="1"/>
  <c r="CF358" i="1"/>
  <c r="CM358" i="1" s="1"/>
  <c r="CE358" i="1"/>
  <c r="CF360" i="1"/>
  <c r="CM360" i="1" s="1"/>
  <c r="CE360" i="1"/>
  <c r="CD360" i="1"/>
  <c r="BN357" i="1"/>
  <c r="CE203" i="1"/>
  <c r="CF203" i="1"/>
  <c r="CM203" i="1" s="1"/>
  <c r="CD203" i="1"/>
  <c r="CF389" i="1"/>
  <c r="CM389" i="1" s="1"/>
  <c r="CE389" i="1"/>
  <c r="CD389" i="1"/>
  <c r="CF392" i="1"/>
  <c r="CM392" i="1" s="1"/>
  <c r="CE392" i="1"/>
  <c r="CD392" i="1"/>
  <c r="CF363" i="1"/>
  <c r="CM363" i="1" s="1"/>
  <c r="CE363" i="1"/>
  <c r="CD363" i="1"/>
  <c r="CF365" i="1"/>
  <c r="CM365" i="1" s="1"/>
  <c r="CE365" i="1"/>
  <c r="CD365" i="1"/>
  <c r="CF330" i="1"/>
  <c r="CM330" i="1" s="1"/>
  <c r="CE330" i="1"/>
  <c r="CD330" i="1"/>
  <c r="BN360" i="1"/>
  <c r="BO355" i="1"/>
  <c r="CO355" i="1" s="1"/>
  <c r="CF224" i="1"/>
  <c r="CM224" i="1" s="1"/>
  <c r="CE224" i="1"/>
  <c r="CD224" i="1"/>
  <c r="CE207" i="1"/>
  <c r="CD207" i="1"/>
  <c r="CF207" i="1"/>
  <c r="CM207" i="1" s="1"/>
  <c r="CF378" i="1"/>
  <c r="CM378" i="1" s="1"/>
  <c r="CE378" i="1"/>
  <c r="CD378" i="1"/>
  <c r="CF47" i="1"/>
  <c r="CM47" i="1" s="1"/>
  <c r="CE47" i="1"/>
  <c r="CD47" i="1"/>
  <c r="BO409" i="1"/>
  <c r="CO409" i="1" s="1"/>
  <c r="BO359" i="1"/>
  <c r="CO359" i="1" s="1"/>
  <c r="BN359" i="1"/>
  <c r="CF390" i="1"/>
  <c r="CM390" i="1" s="1"/>
  <c r="CE390" i="1"/>
  <c r="CD390" i="1"/>
  <c r="CF376" i="1"/>
  <c r="CM376" i="1" s="1"/>
  <c r="CE376" i="1"/>
  <c r="CD376" i="1"/>
  <c r="CF331" i="1"/>
  <c r="CM331" i="1" s="1"/>
  <c r="CE331" i="1"/>
  <c r="CD331" i="1"/>
  <c r="CF400" i="1"/>
  <c r="CM400" i="1" s="1"/>
  <c r="CE400" i="1"/>
  <c r="CD400" i="1"/>
  <c r="CF383" i="1"/>
  <c r="CM383" i="1" s="1"/>
  <c r="CE383" i="1"/>
  <c r="CD383" i="1"/>
  <c r="CF54" i="1"/>
  <c r="CM54" i="1" s="1"/>
  <c r="CE54" i="1"/>
  <c r="CD54" i="1"/>
  <c r="CF397" i="1"/>
  <c r="CM397" i="1" s="1"/>
  <c r="CE397" i="1"/>
  <c r="CD397" i="1"/>
  <c r="BO396" i="1"/>
  <c r="CO396" i="1" s="1"/>
  <c r="CD401" i="1"/>
  <c r="CE401" i="1"/>
  <c r="CF401" i="1"/>
  <c r="CM401" i="1" s="1"/>
  <c r="BO262" i="1"/>
  <c r="CO262" i="1" s="1"/>
  <c r="CF343" i="1"/>
  <c r="CM343" i="1" s="1"/>
  <c r="CE343" i="1"/>
  <c r="CD343" i="1"/>
  <c r="CD366" i="1"/>
  <c r="CF366" i="1"/>
  <c r="CM366" i="1" s="1"/>
  <c r="CE366" i="1"/>
  <c r="CF379" i="1"/>
  <c r="CM379" i="1" s="1"/>
  <c r="CD379" i="1"/>
  <c r="CE379" i="1"/>
  <c r="CF173" i="1"/>
  <c r="CM173" i="1" s="1"/>
  <c r="CD173" i="1"/>
  <c r="CE173" i="1"/>
  <c r="CF403" i="1"/>
  <c r="CM403" i="1" s="1"/>
  <c r="CE403" i="1"/>
  <c r="CD403" i="1"/>
  <c r="CF348" i="1"/>
  <c r="CM348" i="1" s="1"/>
  <c r="CE348" i="1"/>
  <c r="CD348" i="1"/>
  <c r="CE308" i="1"/>
  <c r="CF308" i="1"/>
  <c r="CM308" i="1" s="1"/>
  <c r="CD308" i="1"/>
  <c r="BO381" i="1"/>
  <c r="CO381" i="1" s="1"/>
  <c r="CE280" i="1"/>
  <c r="CD280" i="1"/>
  <c r="CF280" i="1"/>
  <c r="CM280" i="1" s="1"/>
  <c r="CD44" i="1"/>
  <c r="CF44" i="1"/>
  <c r="CM44" i="1" s="1"/>
  <c r="CE44" i="1"/>
  <c r="BN397" i="1"/>
  <c r="CF354" i="1"/>
  <c r="CM354" i="1" s="1"/>
  <c r="CE354" i="1"/>
  <c r="CD354" i="1"/>
  <c r="CF373" i="1"/>
  <c r="CM373" i="1" s="1"/>
  <c r="CE373" i="1"/>
  <c r="CD373" i="1"/>
  <c r="CF154" i="1"/>
  <c r="CM154" i="1" s="1"/>
  <c r="CE154" i="1"/>
  <c r="CD154" i="1"/>
  <c r="CF398" i="1"/>
  <c r="CM398" i="1" s="1"/>
  <c r="CE398" i="1"/>
  <c r="CD398" i="1"/>
  <c r="CF346" i="1"/>
  <c r="CM346" i="1" s="1"/>
  <c r="CE346" i="1"/>
  <c r="CD346" i="1"/>
  <c r="BO362" i="1"/>
  <c r="CO362" i="1" s="1"/>
  <c r="BO252" i="1"/>
  <c r="CO252" i="1" s="1"/>
  <c r="CF351" i="1"/>
  <c r="CM351" i="1" s="1"/>
  <c r="CE351" i="1"/>
  <c r="CD351" i="1"/>
  <c r="CD409" i="1"/>
  <c r="CF409" i="1"/>
  <c r="CM409" i="1" s="1"/>
  <c r="CE409" i="1"/>
  <c r="CF375" i="1"/>
  <c r="CM375" i="1" s="1"/>
  <c r="CE375" i="1"/>
  <c r="CD375" i="1"/>
  <c r="CF372" i="1"/>
  <c r="CM372" i="1" s="1"/>
  <c r="CE372" i="1"/>
  <c r="CD372" i="1"/>
  <c r="BO345" i="1"/>
  <c r="CO345" i="1" s="1"/>
  <c r="CD388" i="1"/>
  <c r="CF388" i="1"/>
  <c r="CM388" i="1" s="1"/>
  <c r="CE388" i="1"/>
  <c r="CD381" i="1"/>
  <c r="CE381" i="1"/>
  <c r="CF381" i="1"/>
  <c r="CM381" i="1" s="1"/>
  <c r="CF371" i="1"/>
  <c r="CM371" i="1" s="1"/>
  <c r="CE371" i="1"/>
  <c r="CD371" i="1"/>
  <c r="CF396" i="1"/>
  <c r="CM396" i="1" s="1"/>
  <c r="CE396" i="1"/>
  <c r="CD396" i="1"/>
  <c r="BO178" i="1"/>
  <c r="CO178" i="1" s="1"/>
  <c r="CE412" i="1"/>
  <c r="CF412" i="1"/>
  <c r="CM412" i="1" s="1"/>
  <c r="CD412" i="1"/>
  <c r="CD197" i="1"/>
  <c r="CF197" i="1"/>
  <c r="CM197" i="1" s="1"/>
  <c r="CE197" i="1"/>
  <c r="CF353" i="1"/>
  <c r="CM353" i="1" s="1"/>
  <c r="CE353" i="1"/>
  <c r="CD353" i="1"/>
  <c r="CF391" i="1"/>
  <c r="CM391" i="1" s="1"/>
  <c r="CE391" i="1"/>
  <c r="CD391" i="1"/>
  <c r="CF34" i="1"/>
  <c r="CM34" i="1" s="1"/>
  <c r="CE34" i="1"/>
  <c r="CD34" i="1"/>
  <c r="CF69" i="1"/>
  <c r="CM69" i="1" s="1"/>
  <c r="CE69" i="1"/>
  <c r="CD69" i="1"/>
  <c r="CD262" i="1"/>
  <c r="CF262" i="1"/>
  <c r="CM262" i="1" s="1"/>
  <c r="CE262" i="1"/>
  <c r="CF405" i="1"/>
  <c r="CM405" i="1" s="1"/>
  <c r="CE405" i="1"/>
  <c r="CD405" i="1"/>
  <c r="CF411" i="1"/>
  <c r="CM411" i="1" s="1"/>
  <c r="CE411" i="1"/>
  <c r="CD411" i="1"/>
  <c r="CE362" i="1"/>
  <c r="CF362" i="1"/>
  <c r="CM362" i="1" s="1"/>
  <c r="CD362" i="1"/>
  <c r="BO411" i="1"/>
  <c r="CO411" i="1" s="1"/>
  <c r="CE361" i="1"/>
  <c r="CF361" i="1"/>
  <c r="CM361" i="1" s="1"/>
  <c r="CD361" i="1"/>
  <c r="BO364" i="1"/>
  <c r="CO364" i="1" s="1"/>
  <c r="CF385" i="1"/>
  <c r="CM385" i="1" s="1"/>
  <c r="CD385" i="1"/>
  <c r="CE385" i="1"/>
  <c r="CF338" i="1"/>
  <c r="CM338" i="1" s="1"/>
  <c r="CE338" i="1"/>
  <c r="CD338" i="1"/>
  <c r="CE241" i="1"/>
  <c r="CF241" i="1"/>
  <c r="CM241" i="1" s="1"/>
  <c r="CD241" i="1"/>
  <c r="BO308" i="1"/>
  <c r="CO308" i="1" s="1"/>
  <c r="CF402" i="1"/>
  <c r="CM402" i="1" s="1"/>
  <c r="CE402" i="1"/>
  <c r="CD402" i="1"/>
  <c r="CW392" i="1"/>
  <c r="CE56" i="1"/>
  <c r="CD56" i="1"/>
  <c r="CF56" i="1"/>
  <c r="CM56" i="1" s="1"/>
  <c r="CE355" i="1"/>
  <c r="CD355" i="1"/>
  <c r="CF355" i="1"/>
  <c r="CM355" i="1" s="1"/>
  <c r="CF399" i="1"/>
  <c r="CM399" i="1" s="1"/>
  <c r="CE399" i="1"/>
  <c r="CD399" i="1"/>
  <c r="CF220" i="1"/>
  <c r="CM220" i="1" s="1"/>
  <c r="CD220" i="1"/>
  <c r="CE220" i="1"/>
  <c r="BO405" i="1"/>
  <c r="CO405" i="1" s="1"/>
  <c r="CF394" i="1"/>
  <c r="CM394" i="1" s="1"/>
  <c r="CE394" i="1"/>
  <c r="CD394" i="1"/>
  <c r="EK339" i="1"/>
  <c r="ED339" i="1"/>
  <c r="EN339" i="1"/>
  <c r="CW339" i="1"/>
  <c r="EP358" i="1"/>
  <c r="EP395" i="1"/>
  <c r="EK397" i="1"/>
  <c r="EN397" i="1"/>
  <c r="CW397" i="1"/>
  <c r="EK369" i="1"/>
  <c r="EN369" i="1"/>
  <c r="ED369" i="1"/>
  <c r="CW369" i="1"/>
  <c r="EK356" i="1"/>
  <c r="EN356" i="1"/>
  <c r="ED356" i="1"/>
  <c r="CW356" i="1"/>
  <c r="EP373" i="1"/>
  <c r="EK101" i="1"/>
  <c r="CW101" i="1"/>
  <c r="ED101" i="1"/>
  <c r="EN101" i="1"/>
  <c r="AG393" i="1"/>
  <c r="AC393" i="1"/>
  <c r="AC220" i="1"/>
  <c r="AG220" i="1"/>
  <c r="AG386" i="1"/>
  <c r="AC386" i="1"/>
  <c r="AC106" i="1"/>
  <c r="AG106" i="1"/>
  <c r="AG345" i="1"/>
  <c r="AC345" i="1"/>
  <c r="AG331" i="1"/>
  <c r="AC331" i="1"/>
  <c r="AG366" i="1"/>
  <c r="AC366" i="1"/>
  <c r="AG357" i="1"/>
  <c r="AC357" i="1"/>
  <c r="AC182" i="1"/>
  <c r="AG182" i="1"/>
  <c r="AG406" i="1"/>
  <c r="AC406" i="1"/>
  <c r="AG347" i="1"/>
  <c r="AC347" i="1"/>
  <c r="EP385" i="1"/>
  <c r="AC262" i="1"/>
  <c r="AG262" i="1"/>
  <c r="AG359" i="1"/>
  <c r="AC359" i="1"/>
  <c r="AG243" i="1"/>
  <c r="AC243" i="1"/>
  <c r="AG394" i="1"/>
  <c r="AC394" i="1"/>
  <c r="AG408" i="1"/>
  <c r="AC408" i="1"/>
  <c r="AG412" i="1"/>
  <c r="AC412" i="1"/>
  <c r="AC369" i="1"/>
  <c r="AG369" i="1"/>
  <c r="AG363" i="1"/>
  <c r="AC363" i="1"/>
  <c r="AG403" i="1"/>
  <c r="AC403" i="1"/>
  <c r="AG330" i="1"/>
  <c r="AC330" i="1"/>
  <c r="AG396" i="1"/>
  <c r="AC396" i="1"/>
  <c r="AC280" i="1"/>
  <c r="AG280" i="1"/>
  <c r="EK360" i="1"/>
  <c r="EN360" i="1"/>
  <c r="CW360" i="1"/>
  <c r="ED360" i="1"/>
  <c r="EP390" i="1"/>
  <c r="AG350" i="1"/>
  <c r="AC350" i="1"/>
  <c r="AG101" i="1"/>
  <c r="AC101" i="1"/>
  <c r="AG389" i="1"/>
  <c r="AC389" i="1"/>
  <c r="AC395" i="1"/>
  <c r="AG395" i="1"/>
  <c r="AG203" i="1"/>
  <c r="AC203" i="1"/>
  <c r="AG401" i="1"/>
  <c r="AC401" i="1"/>
  <c r="AC44" i="1"/>
  <c r="AG44" i="1"/>
  <c r="AG361" i="1"/>
  <c r="AC361" i="1"/>
  <c r="EK347" i="1"/>
  <c r="CW347" i="1"/>
  <c r="EN347" i="1"/>
  <c r="ED347" i="1"/>
  <c r="AG351" i="1"/>
  <c r="AC351" i="1"/>
  <c r="AG343" i="1"/>
  <c r="AC343" i="1"/>
  <c r="AG382" i="1"/>
  <c r="AC382" i="1"/>
  <c r="AC367" i="1"/>
  <c r="AG367" i="1"/>
  <c r="AG225" i="1"/>
  <c r="AC225" i="1"/>
  <c r="EP389" i="1"/>
  <c r="AG392" i="1"/>
  <c r="AC392" i="1"/>
  <c r="AG47" i="1"/>
  <c r="AC47" i="1"/>
  <c r="AG385" i="1"/>
  <c r="AC385" i="1"/>
  <c r="AG381" i="1"/>
  <c r="AC381" i="1"/>
  <c r="AC380" i="1"/>
  <c r="AG380" i="1"/>
  <c r="EO344" i="1"/>
  <c r="AG69" i="1"/>
  <c r="AC69" i="1"/>
  <c r="EP359" i="1"/>
  <c r="AG384" i="1"/>
  <c r="AC384" i="1"/>
  <c r="AG356" i="1"/>
  <c r="AC356" i="1"/>
  <c r="AG374" i="1"/>
  <c r="AC374" i="1"/>
  <c r="DY356" i="1" a="1"/>
  <c r="DY356" i="1" s="1"/>
  <c r="EI356" i="1" s="1"/>
  <c r="AG404" i="1"/>
  <c r="AC404" i="1"/>
  <c r="AC308" i="1"/>
  <c r="AG308" i="1"/>
  <c r="AG353" i="1"/>
  <c r="AC353" i="1"/>
  <c r="AG309" i="1"/>
  <c r="AC309" i="1"/>
  <c r="EP377" i="1"/>
  <c r="AG368" i="1"/>
  <c r="AC368" i="1"/>
  <c r="AG344" i="1"/>
  <c r="AC344" i="1"/>
  <c r="AC391" i="1"/>
  <c r="AG391" i="1"/>
  <c r="AG56" i="1"/>
  <c r="AC56" i="1"/>
  <c r="AC377" i="1"/>
  <c r="AG377" i="1"/>
  <c r="AG207" i="1"/>
  <c r="AC207" i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AG183" i="1"/>
  <c r="AC183" i="1"/>
  <c r="AG411" i="1"/>
  <c r="AC411" i="1"/>
  <c r="AC376" i="1"/>
  <c r="AG376" i="1"/>
  <c r="AG54" i="1"/>
  <c r="AC54" i="1"/>
  <c r="AG354" i="1"/>
  <c r="AC354" i="1"/>
  <c r="AC358" i="1"/>
  <c r="AG358" i="1"/>
  <c r="AG400" i="1"/>
  <c r="AC400" i="1"/>
  <c r="AG355" i="1"/>
  <c r="AC355" i="1"/>
  <c r="AG362" i="1"/>
  <c r="AC362" i="1"/>
  <c r="AG364" i="1"/>
  <c r="AC364" i="1"/>
  <c r="AG397" i="1"/>
  <c r="AC397" i="1"/>
  <c r="AC178" i="1"/>
  <c r="AG178" i="1"/>
  <c r="AC365" i="1"/>
  <c r="AG365" i="1"/>
  <c r="AG261" i="1"/>
  <c r="AC261" i="1"/>
  <c r="EK400" i="1"/>
  <c r="EN400" i="1"/>
  <c r="ED400" i="1"/>
  <c r="CW400" i="1"/>
  <c r="AG251" i="1"/>
  <c r="AC251" i="1"/>
  <c r="AG338" i="1"/>
  <c r="AC338" i="1"/>
  <c r="AG373" i="1"/>
  <c r="AC373" i="1"/>
  <c r="AG402" i="1"/>
  <c r="AC402" i="1"/>
  <c r="AG371" i="1"/>
  <c r="AC371" i="1"/>
  <c r="AC35" i="1"/>
  <c r="AG35" i="1"/>
  <c r="AG399" i="1"/>
  <c r="AC399" i="1"/>
  <c r="AG387" i="1"/>
  <c r="AC387" i="1"/>
  <c r="AG339" i="1"/>
  <c r="AC339" i="1"/>
  <c r="EK179" i="1"/>
  <c r="ED179" i="1"/>
  <c r="CW179" i="1"/>
  <c r="EN179" i="1"/>
  <c r="AG197" i="1"/>
  <c r="AC197" i="1"/>
  <c r="AG407" i="1"/>
  <c r="AC407" i="1"/>
  <c r="AG390" i="1"/>
  <c r="AC390" i="1"/>
  <c r="AG34" i="1"/>
  <c r="AC34" i="1"/>
  <c r="AG173" i="1"/>
  <c r="AC173" i="1"/>
  <c r="AG348" i="1"/>
  <c r="AC348" i="1"/>
  <c r="AC68" i="1"/>
  <c r="AG68" i="1"/>
  <c r="AG346" i="1"/>
  <c r="AC346" i="1"/>
  <c r="AG21" i="1"/>
  <c r="AC21" i="1"/>
  <c r="AC170" i="1"/>
  <c r="AG170" i="1"/>
  <c r="AG375" i="1"/>
  <c r="AC375" i="1"/>
  <c r="AC383" i="1"/>
  <c r="AG383" i="1"/>
  <c r="AG378" i="1"/>
  <c r="AC378" i="1"/>
  <c r="EK309" i="1"/>
  <c r="EN309" i="1"/>
  <c r="CW309" i="1"/>
  <c r="ED309" i="1"/>
  <c r="AG352" i="1"/>
  <c r="AC352" i="1"/>
  <c r="AG398" i="1"/>
  <c r="AC398" i="1"/>
  <c r="AG360" i="1"/>
  <c r="AC360" i="1"/>
  <c r="AG252" i="1"/>
  <c r="AC252" i="1"/>
  <c r="AG388" i="1"/>
  <c r="AC388" i="1"/>
  <c r="AC224" i="1"/>
  <c r="AG224" i="1"/>
  <c r="AC179" i="1"/>
  <c r="AG179" i="1"/>
  <c r="AG241" i="1"/>
  <c r="AC241" i="1"/>
  <c r="AG405" i="1"/>
  <c r="AC405" i="1"/>
  <c r="AG349" i="1"/>
  <c r="AC349" i="1"/>
  <c r="AG379" i="1"/>
  <c r="AC379" i="1"/>
  <c r="AC409" i="1"/>
  <c r="AG409" i="1"/>
  <c r="AC156" i="1"/>
  <c r="AG156" i="1"/>
  <c r="AC410" i="1"/>
  <c r="AG410" i="1"/>
  <c r="AC154" i="1"/>
  <c r="AG154" i="1"/>
  <c r="AG372" i="1"/>
  <c r="AC372" i="1"/>
  <c r="AC128" i="1"/>
  <c r="AG128" i="1"/>
  <c r="O34" i="5"/>
  <c r="W34" i="5" s="1"/>
  <c r="O42" i="5"/>
  <c r="W42" i="5" s="1"/>
  <c r="O50" i="5"/>
  <c r="W50" i="5" s="1"/>
  <c r="O51" i="5"/>
  <c r="W51" i="5" s="1"/>
  <c r="EK408" i="1"/>
  <c r="ED408" i="1"/>
  <c r="CW408" i="1"/>
  <c r="EN408" i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O32" i="5"/>
  <c r="W32" i="5" s="1"/>
  <c r="O40" i="5"/>
  <c r="W40" i="5" s="1"/>
  <c r="O48" i="5"/>
  <c r="W48" i="5" s="1"/>
  <c r="O56" i="5"/>
  <c r="W56" i="5" s="1"/>
  <c r="CT13" i="1"/>
  <c r="CS13" i="1"/>
  <c r="DY44" i="1" a="1"/>
  <c r="DY44" i="1" s="1"/>
  <c r="EI44" i="1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K19" i="15"/>
  <c r="N20" i="15"/>
  <c r="ED368" i="1" l="1"/>
  <c r="CW368" i="1"/>
  <c r="EN405" i="1"/>
  <c r="EN368" i="1"/>
  <c r="CW405" i="1"/>
  <c r="Q56" i="5"/>
  <c r="R56" i="5" s="1"/>
  <c r="Q35" i="5"/>
  <c r="R35" i="5" s="1"/>
  <c r="S35" i="5"/>
  <c r="Q33" i="5"/>
  <c r="R33" i="5" s="1"/>
  <c r="DK409" i="1"/>
  <c r="EW409" i="1" s="1"/>
  <c r="DK356" i="1"/>
  <c r="EW356" i="1" s="1"/>
  <c r="BO363" i="1"/>
  <c r="CO363" i="1" s="1"/>
  <c r="BO154" i="1"/>
  <c r="CO154" i="1" s="1"/>
  <c r="EK251" i="1"/>
  <c r="EN251" i="1"/>
  <c r="CW251" i="1"/>
  <c r="ED251" i="1"/>
  <c r="AT371" i="1"/>
  <c r="BD371" i="1"/>
  <c r="DI243" i="1"/>
  <c r="DH243" i="1"/>
  <c r="DD243" i="1"/>
  <c r="AT401" i="1"/>
  <c r="BD401" i="1"/>
  <c r="AT330" i="1"/>
  <c r="BD330" i="1"/>
  <c r="AT357" i="1"/>
  <c r="BD357" i="1"/>
  <c r="DH354" i="1"/>
  <c r="DD354" i="1"/>
  <c r="DI354" i="1"/>
  <c r="AT406" i="1"/>
  <c r="BD406" i="1"/>
  <c r="DI225" i="1"/>
  <c r="DH225" i="1"/>
  <c r="DD225" i="1"/>
  <c r="AT182" i="1"/>
  <c r="BD182" i="1"/>
  <c r="AT352" i="1"/>
  <c r="BD352" i="1"/>
  <c r="DI106" i="1"/>
  <c r="DH106" i="1"/>
  <c r="DD106" i="1"/>
  <c r="AT56" i="1"/>
  <c r="BD56" i="1"/>
  <c r="AT390" i="1"/>
  <c r="BD390" i="1"/>
  <c r="DI412" i="1"/>
  <c r="DH412" i="1"/>
  <c r="DD412" i="1"/>
  <c r="DD35" i="1"/>
  <c r="DI35" i="1"/>
  <c r="DH35" i="1"/>
  <c r="AT404" i="1"/>
  <c r="BD404" i="1"/>
  <c r="AT350" i="1"/>
  <c r="BD350" i="1"/>
  <c r="DI380" i="1"/>
  <c r="DH380" i="1"/>
  <c r="DD380" i="1"/>
  <c r="AT309" i="1"/>
  <c r="BD309" i="1"/>
  <c r="DY309" i="1" s="1" a="1"/>
  <c r="DY309" i="1" s="1"/>
  <c r="EI309" i="1" s="1"/>
  <c r="BD385" i="1"/>
  <c r="DI408" i="1"/>
  <c r="DH408" i="1"/>
  <c r="DD408" i="1"/>
  <c r="DI128" i="1"/>
  <c r="DH128" i="1"/>
  <c r="DD128" i="1"/>
  <c r="AT381" i="1"/>
  <c r="BD381" i="1"/>
  <c r="DI403" i="1"/>
  <c r="DH403" i="1"/>
  <c r="DD403" i="1"/>
  <c r="DI34" i="1"/>
  <c r="DH34" i="1"/>
  <c r="DD34" i="1"/>
  <c r="DI405" i="1"/>
  <c r="DH405" i="1"/>
  <c r="DD405" i="1"/>
  <c r="DI368" i="1"/>
  <c r="DH368" i="1"/>
  <c r="DD368" i="1"/>
  <c r="DD382" i="1"/>
  <c r="DI382" i="1"/>
  <c r="DH382" i="1"/>
  <c r="AT339" i="1"/>
  <c r="BD339" i="1"/>
  <c r="DH331" i="1"/>
  <c r="DD331" i="1"/>
  <c r="DI331" i="1"/>
  <c r="AT156" i="1"/>
  <c r="BD156" i="1"/>
  <c r="DI178" i="1"/>
  <c r="DH178" i="1"/>
  <c r="DD178" i="1"/>
  <c r="DH179" i="1"/>
  <c r="DD179" i="1"/>
  <c r="DI179" i="1"/>
  <c r="DD345" i="1"/>
  <c r="DH345" i="1"/>
  <c r="DI345" i="1"/>
  <c r="AT251" i="1"/>
  <c r="BD251" i="1"/>
  <c r="AT391" i="1"/>
  <c r="BD391" i="1"/>
  <c r="DD348" i="1"/>
  <c r="DH348" i="1"/>
  <c r="DI348" i="1"/>
  <c r="DH367" i="1"/>
  <c r="DD367" i="1"/>
  <c r="DI367" i="1"/>
  <c r="AT387" i="1"/>
  <c r="BD387" i="1"/>
  <c r="DI383" i="1"/>
  <c r="DH383" i="1"/>
  <c r="DD383" i="1"/>
  <c r="DI376" i="1"/>
  <c r="DH376" i="1"/>
  <c r="DD376" i="1"/>
  <c r="AT280" i="1"/>
  <c r="BD280" i="1"/>
  <c r="DH369" i="1"/>
  <c r="DD369" i="1"/>
  <c r="DI369" i="1"/>
  <c r="DH400" i="1"/>
  <c r="DD400" i="1"/>
  <c r="DI400" i="1"/>
  <c r="DH101" i="1"/>
  <c r="DD101" i="1"/>
  <c r="DI101" i="1"/>
  <c r="AT358" i="1"/>
  <c r="BD358" i="1"/>
  <c r="AT392" i="1"/>
  <c r="BD392" i="1"/>
  <c r="DI344" i="1"/>
  <c r="DH344" i="1"/>
  <c r="DD344" i="1"/>
  <c r="DI44" i="1"/>
  <c r="DH44" i="1"/>
  <c r="DD44" i="1"/>
  <c r="DD388" i="1"/>
  <c r="DI388" i="1"/>
  <c r="DH388" i="1"/>
  <c r="DI362" i="1"/>
  <c r="DH362" i="1"/>
  <c r="DD362" i="1"/>
  <c r="AT252" i="1"/>
  <c r="BD252" i="1"/>
  <c r="DI389" i="1"/>
  <c r="DH389" i="1"/>
  <c r="DD389" i="1"/>
  <c r="DI347" i="1"/>
  <c r="DH347" i="1"/>
  <c r="DD347" i="1"/>
  <c r="AT262" i="1"/>
  <c r="BD262" i="1"/>
  <c r="DI364" i="1"/>
  <c r="DH364" i="1"/>
  <c r="DD364" i="1"/>
  <c r="DI399" i="1"/>
  <c r="DH399" i="1"/>
  <c r="DD399" i="1"/>
  <c r="AT363" i="1"/>
  <c r="BD363" i="1"/>
  <c r="DI338" i="1"/>
  <c r="DH338" i="1"/>
  <c r="DD338" i="1"/>
  <c r="AT343" i="1"/>
  <c r="BD343" i="1"/>
  <c r="DI374" i="1"/>
  <c r="DH374" i="1"/>
  <c r="DD374" i="1"/>
  <c r="AT21" i="1"/>
  <c r="BD21" i="1"/>
  <c r="AT360" i="1"/>
  <c r="BD360" i="1"/>
  <c r="AT373" i="1"/>
  <c r="BD373" i="1"/>
  <c r="DD68" i="1"/>
  <c r="DI68" i="1"/>
  <c r="DH68" i="1"/>
  <c r="DI349" i="1"/>
  <c r="DH349" i="1"/>
  <c r="DD349" i="1"/>
  <c r="DI396" i="1"/>
  <c r="DH396" i="1"/>
  <c r="DD396" i="1"/>
  <c r="DI241" i="1"/>
  <c r="DH241" i="1"/>
  <c r="DD241" i="1"/>
  <c r="DI395" i="1"/>
  <c r="DH395" i="1"/>
  <c r="DD395" i="1"/>
  <c r="AT69" i="1"/>
  <c r="BD69" i="1"/>
  <c r="AT173" i="1"/>
  <c r="BD173" i="1"/>
  <c r="DI355" i="1"/>
  <c r="DH355" i="1"/>
  <c r="DD355" i="1"/>
  <c r="AT386" i="1"/>
  <c r="BD386" i="1"/>
  <c r="DY386" i="1" s="1" a="1"/>
  <c r="DY386" i="1" s="1"/>
  <c r="EI386" i="1" s="1"/>
  <c r="DI402" i="1"/>
  <c r="DH402" i="1"/>
  <c r="DD402" i="1"/>
  <c r="AT351" i="1"/>
  <c r="BD351" i="1"/>
  <c r="AT375" i="1"/>
  <c r="BD375" i="1"/>
  <c r="DD411" i="1"/>
  <c r="DI411" i="1"/>
  <c r="DH411" i="1"/>
  <c r="DI353" i="1"/>
  <c r="DH353" i="1"/>
  <c r="DD353" i="1"/>
  <c r="BN407" i="1"/>
  <c r="DH154" i="1"/>
  <c r="DD154" i="1"/>
  <c r="DI154" i="1"/>
  <c r="AT308" i="1"/>
  <c r="BD308" i="1"/>
  <c r="DI372" i="1"/>
  <c r="DH372" i="1"/>
  <c r="DD372" i="1"/>
  <c r="DD379" i="1"/>
  <c r="DI379" i="1"/>
  <c r="DH379" i="1"/>
  <c r="DI377" i="1"/>
  <c r="DH377" i="1"/>
  <c r="DD377" i="1"/>
  <c r="DD261" i="1"/>
  <c r="DI261" i="1"/>
  <c r="DH261" i="1"/>
  <c r="AT366" i="1"/>
  <c r="BD366" i="1"/>
  <c r="DI224" i="1"/>
  <c r="DH224" i="1"/>
  <c r="DD224" i="1"/>
  <c r="AT359" i="1"/>
  <c r="DH397" i="1"/>
  <c r="DD397" i="1"/>
  <c r="DI397" i="1"/>
  <c r="DI47" i="1"/>
  <c r="DH47" i="1"/>
  <c r="DD47" i="1"/>
  <c r="DI398" i="1"/>
  <c r="DH398" i="1"/>
  <c r="DD398" i="1"/>
  <c r="DI410" i="1"/>
  <c r="DH410" i="1"/>
  <c r="DD410" i="1"/>
  <c r="DH220" i="1"/>
  <c r="DD220" i="1"/>
  <c r="DI220" i="1"/>
  <c r="DI365" i="1"/>
  <c r="DH365" i="1"/>
  <c r="DD365" i="1"/>
  <c r="DH361" i="1"/>
  <c r="DD361" i="1"/>
  <c r="DI361" i="1"/>
  <c r="AT394" i="1"/>
  <c r="BD394" i="1"/>
  <c r="DI359" i="1"/>
  <c r="DH359" i="1"/>
  <c r="DD359" i="1"/>
  <c r="DI378" i="1"/>
  <c r="DH378" i="1"/>
  <c r="DD378" i="1"/>
  <c r="AT384" i="1"/>
  <c r="BD384" i="1"/>
  <c r="AT393" i="1"/>
  <c r="BD393" i="1"/>
  <c r="DI407" i="1"/>
  <c r="DH407" i="1"/>
  <c r="DD407" i="1"/>
  <c r="DD54" i="1"/>
  <c r="DI54" i="1"/>
  <c r="DH54" i="1"/>
  <c r="DI183" i="1"/>
  <c r="DH183" i="1"/>
  <c r="DD183" i="1"/>
  <c r="ED374" i="1"/>
  <c r="DK370" i="1"/>
  <c r="EW370" i="1" s="1"/>
  <c r="DI346" i="1"/>
  <c r="DH346" i="1"/>
  <c r="DD346" i="1"/>
  <c r="T41" i="5"/>
  <c r="Q34" i="5"/>
  <c r="R34" i="5" s="1"/>
  <c r="CW387" i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DY397" i="1" a="1"/>
  <c r="DY397" i="1" s="1"/>
  <c r="EI397" i="1" s="1"/>
  <c r="DY379" i="1" a="1"/>
  <c r="DY379" i="1" s="1"/>
  <c r="EI379" i="1" s="1"/>
  <c r="DY359" i="1" a="1"/>
  <c r="DY359" i="1" s="1"/>
  <c r="EI359" i="1" s="1"/>
  <c r="DY368" i="1" a="1"/>
  <c r="DY368" i="1" s="1"/>
  <c r="EI368" i="1" s="1"/>
  <c r="BO156" i="1"/>
  <c r="CO156" i="1" s="1"/>
  <c r="ED308" i="1"/>
  <c r="EK308" i="1"/>
  <c r="EN308" i="1"/>
  <c r="EK387" i="1"/>
  <c r="EN387" i="1"/>
  <c r="EK380" i="1"/>
  <c r="ED380" i="1"/>
  <c r="EN380" i="1"/>
  <c r="CW380" i="1"/>
  <c r="EK384" i="1"/>
  <c r="CW384" i="1"/>
  <c r="ED384" i="1"/>
  <c r="EN384" i="1"/>
  <c r="EK355" i="1"/>
  <c r="CW355" i="1"/>
  <c r="EN355" i="1"/>
  <c r="ED355" i="1"/>
  <c r="EK154" i="1"/>
  <c r="ED154" i="1"/>
  <c r="EN154" i="1"/>
  <c r="CW154" i="1"/>
  <c r="BO380" i="1"/>
  <c r="CO380" i="1" s="1"/>
  <c r="EK374" i="1"/>
  <c r="EN374" i="1"/>
  <c r="AR390" i="1"/>
  <c r="EO390" i="1"/>
  <c r="EO359" i="1"/>
  <c r="AR359" i="1"/>
  <c r="AR379" i="1"/>
  <c r="AT379" i="1"/>
  <c r="EO379" i="1"/>
  <c r="EO262" i="1"/>
  <c r="AR262" i="1"/>
  <c r="AR373" i="1"/>
  <c r="EO373" i="1"/>
  <c r="EK363" i="1"/>
  <c r="CW363" i="1"/>
  <c r="ED363" i="1"/>
  <c r="EN363" i="1"/>
  <c r="AR368" i="1"/>
  <c r="EO368" i="1"/>
  <c r="BN400" i="1"/>
  <c r="EK389" i="1"/>
  <c r="CW389" i="1"/>
  <c r="EN389" i="1"/>
  <c r="ED389" i="1"/>
  <c r="EK399" i="1"/>
  <c r="ED399" i="1"/>
  <c r="EN399" i="1"/>
  <c r="EK390" i="1"/>
  <c r="CW390" i="1"/>
  <c r="ED390" i="1"/>
  <c r="EN390" i="1"/>
  <c r="EK338" i="1"/>
  <c r="EN338" i="1"/>
  <c r="DY35" i="1" a="1"/>
  <c r="DY35" i="1" s="1"/>
  <c r="EI35" i="1" s="1"/>
  <c r="DY346" i="1" a="1"/>
  <c r="DY346" i="1" s="1"/>
  <c r="EI346" i="1" s="1"/>
  <c r="DY409" i="1" a="1"/>
  <c r="DY409" i="1" s="1"/>
  <c r="EI409" i="1" s="1"/>
  <c r="T31" i="5"/>
  <c r="DY412" i="1" a="1"/>
  <c r="DY412" i="1" s="1"/>
  <c r="EI412" i="1" s="1"/>
  <c r="BM331" i="1" a="1"/>
  <c r="BM331" i="1" s="1"/>
  <c r="BO331" i="1" s="1"/>
  <c r="CO331" i="1" s="1"/>
  <c r="BM398" i="1" a="1"/>
  <c r="BM398" i="1" s="1"/>
  <c r="BO398" i="1" s="1"/>
  <c r="CO398" i="1" s="1"/>
  <c r="BM241" i="1" a="1"/>
  <c r="BM241" i="1" s="1"/>
  <c r="BO241" i="1" s="1"/>
  <c r="CO241" i="1" s="1"/>
  <c r="BM343" i="1" a="1"/>
  <c r="BM343" i="1" s="1"/>
  <c r="BN343" i="1" s="1"/>
  <c r="BM68" i="1" a="1"/>
  <c r="BM68" i="1" s="1"/>
  <c r="BO68" i="1" s="1"/>
  <c r="CO68" i="1" s="1"/>
  <c r="BM377" i="1" a="1"/>
  <c r="BM377" i="1" s="1"/>
  <c r="BN377" i="1" s="1"/>
  <c r="BM34" i="1" a="1"/>
  <c r="BM34" i="1" s="1"/>
  <c r="BO34" i="1" s="1"/>
  <c r="CO34" i="1" s="1"/>
  <c r="BM361" i="1" a="1"/>
  <c r="BM361" i="1" s="1"/>
  <c r="BO361" i="1" s="1"/>
  <c r="CO361" i="1" s="1"/>
  <c r="BM224" i="1" a="1"/>
  <c r="BM224" i="1" s="1"/>
  <c r="BN224" i="1" s="1"/>
  <c r="BM375" i="1" a="1"/>
  <c r="BM375" i="1" s="1"/>
  <c r="BO375" i="1" s="1"/>
  <c r="CO375" i="1" s="1"/>
  <c r="BM35" i="1" a="1"/>
  <c r="BM35" i="1" s="1"/>
  <c r="BN35" i="1" s="1"/>
  <c r="ED47" i="1"/>
  <c r="BM354" i="1" a="1"/>
  <c r="BM354" i="1" s="1"/>
  <c r="BO354" i="1" s="1"/>
  <c r="CO354" i="1" s="1"/>
  <c r="BM365" i="1" a="1"/>
  <c r="BM365" i="1" s="1"/>
  <c r="BN365" i="1" s="1"/>
  <c r="BM44" i="1" a="1"/>
  <c r="BM44" i="1" s="1"/>
  <c r="BO44" i="1" s="1"/>
  <c r="CO44" i="1" s="1"/>
  <c r="BM367" i="1" a="1"/>
  <c r="BM367" i="1" s="1"/>
  <c r="BO367" i="1" s="1"/>
  <c r="CO367" i="1" s="1"/>
  <c r="BM21" i="1" a="1"/>
  <c r="BM21" i="1" s="1"/>
  <c r="BO21" i="1" s="1"/>
  <c r="CO21" i="1" s="1"/>
  <c r="BM182" i="1" a="1"/>
  <c r="BM182" i="1" s="1"/>
  <c r="BN182" i="1" s="1"/>
  <c r="BM388" i="1" a="1"/>
  <c r="BM388" i="1" s="1"/>
  <c r="BO388" i="1" s="1"/>
  <c r="CO388" i="1" s="1"/>
  <c r="BM344" i="1" a="1"/>
  <c r="BM344" i="1" s="1"/>
  <c r="BO344" i="1" s="1"/>
  <c r="CO344" i="1" s="1"/>
  <c r="BM349" i="1" a="1"/>
  <c r="BM349" i="1" s="1"/>
  <c r="BO349" i="1" s="1"/>
  <c r="CO349" i="1" s="1"/>
  <c r="BM404" i="1" a="1"/>
  <c r="BM404" i="1" s="1"/>
  <c r="BN404" i="1" s="1"/>
  <c r="BM403" i="1" a="1"/>
  <c r="BM403" i="1" s="1"/>
  <c r="BO403" i="1" s="1"/>
  <c r="CO403" i="1" s="1"/>
  <c r="BM385" i="1" a="1"/>
  <c r="BM385" i="1" s="1"/>
  <c r="BO385" i="1" s="1"/>
  <c r="CO385" i="1" s="1"/>
  <c r="BM378" i="1" a="1"/>
  <c r="BM378" i="1" s="1"/>
  <c r="BO378" i="1" s="1"/>
  <c r="CO378" i="1" s="1"/>
  <c r="BM351" i="1" a="1"/>
  <c r="BM351" i="1" s="1"/>
  <c r="BN351" i="1" s="1"/>
  <c r="BM225" i="1" a="1"/>
  <c r="BM225" i="1" s="1"/>
  <c r="BO225" i="1" s="1"/>
  <c r="CO225" i="1" s="1"/>
  <c r="BM353" i="1" a="1"/>
  <c r="BM353" i="1" s="1"/>
  <c r="BN353" i="1" s="1"/>
  <c r="BM56" i="1" a="1"/>
  <c r="BM56" i="1" s="1"/>
  <c r="BN56" i="1" s="1"/>
  <c r="BM395" i="1" a="1"/>
  <c r="BM395" i="1" s="1"/>
  <c r="BO395" i="1" s="1"/>
  <c r="CO395" i="1" s="1"/>
  <c r="BM366" i="1" a="1"/>
  <c r="BM366" i="1" s="1"/>
  <c r="BO366" i="1" s="1"/>
  <c r="CO366" i="1" s="1"/>
  <c r="BM352" i="1" a="1"/>
  <c r="BM352" i="1" s="1"/>
  <c r="BO352" i="1" s="1"/>
  <c r="CO352" i="1" s="1"/>
  <c r="BM372" i="1" a="1"/>
  <c r="BM372" i="1" s="1"/>
  <c r="BO372" i="1" s="1"/>
  <c r="CO372" i="1" s="1"/>
  <c r="BM358" i="1" a="1"/>
  <c r="BM358" i="1" s="1"/>
  <c r="BN358" i="1" s="1"/>
  <c r="DY179" i="1" a="1"/>
  <c r="DY179" i="1" s="1"/>
  <c r="EI179" i="1" s="1"/>
  <c r="BM330" i="1" a="1"/>
  <c r="BM330" i="1" s="1"/>
  <c r="BO330" i="1" s="1"/>
  <c r="CO330" i="1" s="1"/>
  <c r="BM173" i="1" a="1"/>
  <c r="BM173" i="1" s="1"/>
  <c r="BN173" i="1" s="1"/>
  <c r="BM346" i="1" a="1"/>
  <c r="BM346" i="1" s="1"/>
  <c r="BO346" i="1" s="1"/>
  <c r="CO346" i="1" s="1"/>
  <c r="BM386" i="1" a="1"/>
  <c r="BM386" i="1" s="1"/>
  <c r="BO386" i="1" s="1"/>
  <c r="CO386" i="1" s="1"/>
  <c r="BM348" i="1" a="1"/>
  <c r="BM348" i="1" s="1"/>
  <c r="BO348" i="1" s="1"/>
  <c r="CO348" i="1" s="1"/>
  <c r="BM382" i="1" a="1"/>
  <c r="BM382" i="1" s="1"/>
  <c r="BO382" i="1" s="1"/>
  <c r="CO382" i="1" s="1"/>
  <c r="DY382" i="1" a="1"/>
  <c r="DY382" i="1" s="1"/>
  <c r="EI382" i="1" s="1"/>
  <c r="DY68" i="1" a="1"/>
  <c r="DY68" i="1" s="1"/>
  <c r="EI68" i="1" s="1"/>
  <c r="BO351" i="1"/>
  <c r="CO351" i="1" s="1"/>
  <c r="BO343" i="1"/>
  <c r="CO343" i="1" s="1"/>
  <c r="ED331" i="1"/>
  <c r="EK44" i="1"/>
  <c r="ED44" i="1"/>
  <c r="EN44" i="1"/>
  <c r="CW44" i="1"/>
  <c r="AT243" i="1"/>
  <c r="ED403" i="1"/>
  <c r="AT408" i="1"/>
  <c r="AT385" i="1"/>
  <c r="EK365" i="1"/>
  <c r="ED365" i="1"/>
  <c r="EN365" i="1"/>
  <c r="CW343" i="1"/>
  <c r="EK385" i="1"/>
  <c r="ED385" i="1"/>
  <c r="CW385" i="1"/>
  <c r="EN385" i="1"/>
  <c r="BO35" i="1"/>
  <c r="CO35" i="1" s="1"/>
  <c r="EK381" i="1"/>
  <c r="ED381" i="1"/>
  <c r="EN381" i="1"/>
  <c r="CW365" i="1"/>
  <c r="AT365" i="1"/>
  <c r="EK343" i="1"/>
  <c r="EN343" i="1"/>
  <c r="EK47" i="1"/>
  <c r="EN47" i="1"/>
  <c r="EK344" i="1"/>
  <c r="EN344" i="1"/>
  <c r="ED344" i="1"/>
  <c r="EK398" i="1"/>
  <c r="EN398" i="1"/>
  <c r="ED398" i="1"/>
  <c r="EK348" i="1"/>
  <c r="CW348" i="1"/>
  <c r="EN348" i="1"/>
  <c r="ED348" i="1"/>
  <c r="AT362" i="1"/>
  <c r="CW361" i="1"/>
  <c r="EK388" i="1"/>
  <c r="EN388" i="1"/>
  <c r="ED388" i="1"/>
  <c r="DY183" i="1" a="1"/>
  <c r="DY183" i="1" s="1"/>
  <c r="EI183" i="1" s="1"/>
  <c r="DY364" i="1" a="1"/>
  <c r="DY364" i="1" s="1"/>
  <c r="EI364" i="1" s="1"/>
  <c r="DY403" i="1" a="1"/>
  <c r="DY403" i="1" s="1"/>
  <c r="EI403" i="1" s="1"/>
  <c r="DY365" i="1" a="1"/>
  <c r="DY365" i="1" s="1"/>
  <c r="EI365" i="1" s="1"/>
  <c r="DY261" i="1" a="1"/>
  <c r="DY261" i="1" s="1"/>
  <c r="EI261" i="1" s="1"/>
  <c r="DY396" i="1" a="1"/>
  <c r="DY396" i="1" s="1"/>
  <c r="EI396" i="1" s="1"/>
  <c r="DY399" i="1" a="1"/>
  <c r="DY399" i="1" s="1"/>
  <c r="EI399" i="1" s="1"/>
  <c r="DY353" i="1" a="1"/>
  <c r="DY353" i="1" s="1"/>
  <c r="EI353" i="1" s="1"/>
  <c r="DY395" i="1" a="1"/>
  <c r="DY395" i="1" s="1"/>
  <c r="EI395" i="1" s="1"/>
  <c r="DY378" i="1" a="1"/>
  <c r="DY378" i="1" s="1"/>
  <c r="EI378" i="1" s="1"/>
  <c r="DY388" i="1" a="1"/>
  <c r="DY388" i="1" s="1"/>
  <c r="EI388" i="1" s="1"/>
  <c r="DY367" i="1" a="1"/>
  <c r="DY367" i="1" s="1"/>
  <c r="EI367" i="1" s="1"/>
  <c r="DY380" i="1" a="1"/>
  <c r="DY380" i="1" s="1"/>
  <c r="EI380" i="1" s="1"/>
  <c r="DY405" i="1" a="1"/>
  <c r="DY405" i="1" s="1"/>
  <c r="EI405" i="1" s="1"/>
  <c r="DY348" i="1" a="1"/>
  <c r="DY348" i="1" s="1"/>
  <c r="EI348" i="1" s="1"/>
  <c r="DY369" i="1" a="1"/>
  <c r="DY369" i="1" s="1"/>
  <c r="EI369" i="1" s="1"/>
  <c r="DY345" i="1" a="1"/>
  <c r="DY345" i="1" s="1"/>
  <c r="EI345" i="1" s="1"/>
  <c r="DY225" i="1" a="1"/>
  <c r="DY225" i="1" s="1"/>
  <c r="EI225" i="1" s="1"/>
  <c r="DY34" i="1" a="1"/>
  <c r="DY34" i="1" s="1"/>
  <c r="EI34" i="1" s="1"/>
  <c r="DY362" i="1" a="1"/>
  <c r="DY362" i="1" s="1"/>
  <c r="EI362" i="1" s="1"/>
  <c r="DY408" i="1" a="1"/>
  <c r="DY408" i="1" s="1"/>
  <c r="EI408" i="1" s="1"/>
  <c r="DY349" i="1" a="1"/>
  <c r="DY349" i="1" s="1"/>
  <c r="EI349" i="1" s="1"/>
  <c r="DY178" i="1" a="1"/>
  <c r="DY178" i="1" s="1"/>
  <c r="EI178" i="1" s="1"/>
  <c r="AL13" i="1"/>
  <c r="AK13" i="1"/>
  <c r="DY338" i="1" a="1"/>
  <c r="DY338" i="1" s="1"/>
  <c r="EI338" i="1" s="1"/>
  <c r="DY361" i="1" a="1"/>
  <c r="DY361" i="1" s="1"/>
  <c r="EI361" i="1" s="1"/>
  <c r="DY54" i="1" a="1"/>
  <c r="DY54" i="1" s="1"/>
  <c r="EI54" i="1" s="1"/>
  <c r="DY407" i="1" a="1"/>
  <c r="DY407" i="1" s="1"/>
  <c r="EI407" i="1" s="1"/>
  <c r="DY402" i="1" a="1"/>
  <c r="DY402" i="1" s="1"/>
  <c r="EI402" i="1" s="1"/>
  <c r="DY243" i="1" a="1"/>
  <c r="DY243" i="1" s="1"/>
  <c r="EI243" i="1" s="1"/>
  <c r="EK377" i="1"/>
  <c r="ED377" i="1"/>
  <c r="CW377" i="1"/>
  <c r="EN377" i="1"/>
  <c r="AR241" i="1"/>
  <c r="AT241" i="1"/>
  <c r="EO241" i="1"/>
  <c r="EK366" i="1"/>
  <c r="EN366" i="1"/>
  <c r="ED366" i="1"/>
  <c r="CW366" i="1"/>
  <c r="EK403" i="1"/>
  <c r="EN403" i="1"/>
  <c r="AR387" i="1"/>
  <c r="EO387" i="1"/>
  <c r="AR339" i="1"/>
  <c r="EO339" i="1"/>
  <c r="AR345" i="1"/>
  <c r="EO345" i="1"/>
  <c r="AT345" i="1"/>
  <c r="AR362" i="1"/>
  <c r="EO362" i="1"/>
  <c r="DY355" i="1" a="1"/>
  <c r="DY355" i="1" s="1"/>
  <c r="EI355" i="1" s="1"/>
  <c r="DY400" i="1" a="1"/>
  <c r="DY400" i="1" s="1"/>
  <c r="EI400" i="1" s="1"/>
  <c r="AR178" i="1"/>
  <c r="AT178" i="1"/>
  <c r="EO178" i="1"/>
  <c r="AR402" i="1"/>
  <c r="EO402" i="1"/>
  <c r="AT402" i="1"/>
  <c r="AR357" i="1"/>
  <c r="EO357" i="1"/>
  <c r="CW35" i="1"/>
  <c r="ED35" i="1"/>
  <c r="EK35" i="1"/>
  <c r="EN35" i="1"/>
  <c r="EK395" i="1"/>
  <c r="EN395" i="1"/>
  <c r="AR243" i="1"/>
  <c r="EO243" i="1"/>
  <c r="AR393" i="1"/>
  <c r="EO393" i="1"/>
  <c r="EK331" i="1"/>
  <c r="EN331" i="1"/>
  <c r="AR173" i="1"/>
  <c r="EO173" i="1"/>
  <c r="EK367" i="1"/>
  <c r="ED367" i="1"/>
  <c r="EN367" i="1"/>
  <c r="AR54" i="1"/>
  <c r="AT54" i="1"/>
  <c r="EO54" i="1"/>
  <c r="AR355" i="1"/>
  <c r="EO355" i="1"/>
  <c r="AT355" i="1"/>
  <c r="AR400" i="1"/>
  <c r="EO400" i="1"/>
  <c r="AT400" i="1"/>
  <c r="DY389" i="1" a="1"/>
  <c r="DY389" i="1" s="1"/>
  <c r="EI389" i="1" s="1"/>
  <c r="AR251" i="1"/>
  <c r="EO251" i="1"/>
  <c r="AT225" i="1"/>
  <c r="EK241" i="1"/>
  <c r="CW241" i="1"/>
  <c r="EN241" i="1"/>
  <c r="ED241" i="1"/>
  <c r="AR280" i="1"/>
  <c r="EO280" i="1"/>
  <c r="DY224" i="1" a="1"/>
  <c r="DY224" i="1" s="1"/>
  <c r="EI224" i="1" s="1"/>
  <c r="CW21" i="1"/>
  <c r="EK21" i="1"/>
  <c r="EN21" i="1"/>
  <c r="EK354" i="1"/>
  <c r="ED354" i="1"/>
  <c r="CW354" i="1"/>
  <c r="EN354" i="1"/>
  <c r="DY411" i="1" a="1"/>
  <c r="DY411" i="1" s="1"/>
  <c r="EI411" i="1" s="1"/>
  <c r="AR392" i="1"/>
  <c r="EO392" i="1"/>
  <c r="AR389" i="1"/>
  <c r="EO389" i="1"/>
  <c r="AT389" i="1"/>
  <c r="EK346" i="1"/>
  <c r="CW346" i="1"/>
  <c r="EN346" i="1"/>
  <c r="ED346" i="1"/>
  <c r="EK56" i="1"/>
  <c r="CW56" i="1"/>
  <c r="ED56" i="1"/>
  <c r="EN56" i="1"/>
  <c r="AR224" i="1"/>
  <c r="EO224" i="1"/>
  <c r="AT224" i="1"/>
  <c r="AR367" i="1"/>
  <c r="EO367" i="1"/>
  <c r="AT367" i="1"/>
  <c r="AR411" i="1"/>
  <c r="EO411" i="1"/>
  <c r="AT411" i="1"/>
  <c r="AT34" i="1"/>
  <c r="BN372" i="1"/>
  <c r="BN378" i="1"/>
  <c r="AR394" i="1"/>
  <c r="EO394" i="1"/>
  <c r="AR56" i="1"/>
  <c r="EO56" i="1"/>
  <c r="AR261" i="1"/>
  <c r="AT261" i="1"/>
  <c r="EO261" i="1"/>
  <c r="EO225" i="1"/>
  <c r="AR225" i="1"/>
  <c r="AR388" i="1"/>
  <c r="EO388" i="1"/>
  <c r="AT388" i="1"/>
  <c r="AR395" i="1"/>
  <c r="EO395" i="1"/>
  <c r="AT395" i="1"/>
  <c r="AR350" i="1"/>
  <c r="EO350" i="1"/>
  <c r="AR338" i="1"/>
  <c r="EO338" i="1"/>
  <c r="AT338" i="1"/>
  <c r="EK182" i="1"/>
  <c r="EN182" i="1"/>
  <c r="ED182" i="1"/>
  <c r="CW182" i="1"/>
  <c r="BN354" i="1"/>
  <c r="DY398" i="1" a="1"/>
  <c r="DY398" i="1" s="1"/>
  <c r="EI398" i="1" s="1"/>
  <c r="EK358" i="1"/>
  <c r="EN358" i="1"/>
  <c r="AR406" i="1"/>
  <c r="EO406" i="1"/>
  <c r="AR369" i="1"/>
  <c r="EO369" i="1"/>
  <c r="AT369" i="1"/>
  <c r="EK330" i="1"/>
  <c r="CW330" i="1"/>
  <c r="ED330" i="1"/>
  <c r="EN330" i="1"/>
  <c r="EO34" i="1"/>
  <c r="AR34" i="1"/>
  <c r="AR398" i="1"/>
  <c r="EO398" i="1"/>
  <c r="AT398" i="1"/>
  <c r="AR404" i="1"/>
  <c r="EO404" i="1"/>
  <c r="AR363" i="1"/>
  <c r="EO363" i="1"/>
  <c r="AR391" i="1"/>
  <c r="EO391" i="1"/>
  <c r="ED395" i="1"/>
  <c r="AR343" i="1"/>
  <c r="EO343" i="1"/>
  <c r="EK361" i="1"/>
  <c r="EN361" i="1"/>
  <c r="BN21" i="1"/>
  <c r="AR408" i="1"/>
  <c r="EO408" i="1"/>
  <c r="AR364" i="1"/>
  <c r="EO364" i="1"/>
  <c r="AT364" i="1"/>
  <c r="AR366" i="1"/>
  <c r="EO366" i="1"/>
  <c r="AT380" i="1"/>
  <c r="EK173" i="1"/>
  <c r="CW173" i="1"/>
  <c r="ED173" i="1"/>
  <c r="EN173" i="1"/>
  <c r="AR309" i="1"/>
  <c r="EO309" i="1"/>
  <c r="BN331" i="1"/>
  <c r="AR21" i="1"/>
  <c r="EO21" i="1"/>
  <c r="EK386" i="1"/>
  <c r="CW386" i="1"/>
  <c r="ED386" i="1"/>
  <c r="EN386" i="1"/>
  <c r="AR360" i="1"/>
  <c r="EO360" i="1"/>
  <c r="AR378" i="1"/>
  <c r="AT378" i="1"/>
  <c r="EO378" i="1"/>
  <c r="CW349" i="1"/>
  <c r="EN349" i="1"/>
  <c r="ED349" i="1"/>
  <c r="EK349" i="1"/>
  <c r="DY220" i="1" a="1"/>
  <c r="DY220" i="1" s="1"/>
  <c r="EI220" i="1" s="1"/>
  <c r="AR403" i="1"/>
  <c r="EO403" i="1"/>
  <c r="AT403" i="1"/>
  <c r="BN241" i="1"/>
  <c r="AR349" i="1"/>
  <c r="EO349" i="1"/>
  <c r="AT349" i="1"/>
  <c r="AR396" i="1"/>
  <c r="AT396" i="1"/>
  <c r="EO396" i="1"/>
  <c r="AR220" i="1"/>
  <c r="AT220" i="1"/>
  <c r="EO220" i="1"/>
  <c r="DY331" i="1" a="1"/>
  <c r="DY331" i="1" s="1"/>
  <c r="EI331" i="1" s="1"/>
  <c r="AR380" i="1"/>
  <c r="EO380" i="1"/>
  <c r="CW358" i="1"/>
  <c r="AR405" i="1"/>
  <c r="EO405" i="1"/>
  <c r="AT405" i="1"/>
  <c r="CW34" i="1"/>
  <c r="EK34" i="1"/>
  <c r="EN34" i="1"/>
  <c r="AR331" i="1"/>
  <c r="EO331" i="1"/>
  <c r="AT331" i="1"/>
  <c r="AR69" i="1"/>
  <c r="EO69" i="1"/>
  <c r="EK375" i="1"/>
  <c r="CW375" i="1"/>
  <c r="EN375" i="1"/>
  <c r="ED375" i="1"/>
  <c r="ED358" i="1"/>
  <c r="AR156" i="1"/>
  <c r="EO156" i="1"/>
  <c r="AR252" i="1"/>
  <c r="EO252" i="1"/>
  <c r="DY374" i="1" a="1"/>
  <c r="DY374" i="1" s="1"/>
  <c r="EI374" i="1" s="1"/>
  <c r="EK372" i="1"/>
  <c r="CW372" i="1"/>
  <c r="EN372" i="1"/>
  <c r="ED372" i="1"/>
  <c r="AR386" i="1"/>
  <c r="EO386" i="1"/>
  <c r="AR381" i="1"/>
  <c r="EO381" i="1"/>
  <c r="AT399" i="1"/>
  <c r="AR384" i="1"/>
  <c r="EO384" i="1"/>
  <c r="AR374" i="1"/>
  <c r="AT374" i="1"/>
  <c r="EO374" i="1"/>
  <c r="AR351" i="1"/>
  <c r="EO351" i="1"/>
  <c r="EK378" i="1"/>
  <c r="ED378" i="1"/>
  <c r="EN378" i="1"/>
  <c r="CW378" i="1"/>
  <c r="AR182" i="1"/>
  <c r="EO182" i="1"/>
  <c r="AR375" i="1"/>
  <c r="EO375" i="1"/>
  <c r="AR365" i="1"/>
  <c r="EO365" i="1"/>
  <c r="AR361" i="1"/>
  <c r="EO361" i="1"/>
  <c r="AT361" i="1"/>
  <c r="AR183" i="1"/>
  <c r="EO183" i="1"/>
  <c r="AT183" i="1"/>
  <c r="AR330" i="1"/>
  <c r="EO330" i="1"/>
  <c r="AR353" i="1"/>
  <c r="EO353" i="1"/>
  <c r="AT353" i="1"/>
  <c r="AR371" i="1"/>
  <c r="EO371" i="1"/>
  <c r="DY410" i="1" a="1"/>
  <c r="DY410" i="1" s="1"/>
  <c r="EI410" i="1" s="1"/>
  <c r="AR399" i="1"/>
  <c r="EO399" i="1"/>
  <c r="EK351" i="1"/>
  <c r="EN351" i="1"/>
  <c r="ED351" i="1"/>
  <c r="DY372" i="1" a="1"/>
  <c r="DY372" i="1" s="1"/>
  <c r="EI372" i="1" s="1"/>
  <c r="AR401" i="1"/>
  <c r="EO401" i="1"/>
  <c r="AR358" i="1"/>
  <c r="EO358" i="1"/>
  <c r="DY106" i="1" a="1"/>
  <c r="DY106" i="1" s="1"/>
  <c r="EI106" i="1" s="1"/>
  <c r="DY347" i="1" a="1"/>
  <c r="DY347" i="1" s="1"/>
  <c r="EI347" i="1" s="1"/>
  <c r="AR308" i="1"/>
  <c r="EO308" i="1"/>
  <c r="AR410" i="1"/>
  <c r="EO410" i="1"/>
  <c r="AT410" i="1"/>
  <c r="DY241" i="1" a="1"/>
  <c r="DY241" i="1" s="1"/>
  <c r="EI241" i="1" s="1"/>
  <c r="EK404" i="1"/>
  <c r="CW404" i="1"/>
  <c r="EN404" i="1"/>
  <c r="ED404" i="1"/>
  <c r="AR348" i="1"/>
  <c r="EO348" i="1"/>
  <c r="AT348" i="1"/>
  <c r="AR372" i="1"/>
  <c r="EO372" i="1"/>
  <c r="AT372" i="1"/>
  <c r="AR352" i="1"/>
  <c r="EO352" i="1"/>
  <c r="EK352" i="1"/>
  <c r="ED352" i="1"/>
  <c r="EN352" i="1"/>
  <c r="AR407" i="1"/>
  <c r="EO407" i="1"/>
  <c r="AT407" i="1"/>
  <c r="EK225" i="1"/>
  <c r="CW225" i="1"/>
  <c r="ED225" i="1"/>
  <c r="EN225" i="1"/>
  <c r="AR106" i="1"/>
  <c r="AT106" i="1"/>
  <c r="EO106" i="1"/>
  <c r="AR385" i="1"/>
  <c r="EO385" i="1"/>
  <c r="AR347" i="1"/>
  <c r="EO347" i="1"/>
  <c r="AT347" i="1"/>
  <c r="T34" i="5"/>
  <c r="BJ13" i="1"/>
  <c r="Z13" i="1"/>
  <c r="AA13" i="1" s="1"/>
  <c r="BI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CS7" i="1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DK225" i="1" l="1"/>
  <c r="DK412" i="1"/>
  <c r="EW412" i="1" s="1"/>
  <c r="DK364" i="1"/>
  <c r="EW364" i="1" s="1"/>
  <c r="DK178" i="1"/>
  <c r="DK54" i="1"/>
  <c r="DK353" i="1"/>
  <c r="EW353" i="1" s="1"/>
  <c r="DK338" i="1"/>
  <c r="DK389" i="1"/>
  <c r="EW389" i="1" s="1"/>
  <c r="DK47" i="1"/>
  <c r="DK411" i="1"/>
  <c r="EW411" i="1" s="1"/>
  <c r="DK243" i="1"/>
  <c r="DK407" i="1"/>
  <c r="EW407" i="1" s="1"/>
  <c r="DK378" i="1"/>
  <c r="EW378" i="1" s="1"/>
  <c r="DK374" i="1"/>
  <c r="EW374" i="1" s="1"/>
  <c r="DK44" i="1"/>
  <c r="DK34" i="1"/>
  <c r="DK377" i="1"/>
  <c r="EW377" i="1" s="1"/>
  <c r="DK68" i="1"/>
  <c r="DK382" i="1"/>
  <c r="EW382" i="1" s="1"/>
  <c r="DK399" i="1"/>
  <c r="EW399" i="1" s="1"/>
  <c r="DK362" i="1"/>
  <c r="EW362" i="1" s="1"/>
  <c r="DK183" i="1"/>
  <c r="DK359" i="1"/>
  <c r="EW359" i="1" s="1"/>
  <c r="DK344" i="1"/>
  <c r="DK403" i="1"/>
  <c r="EW403" i="1" s="1"/>
  <c r="DK376" i="1"/>
  <c r="EW376" i="1" s="1"/>
  <c r="DK379" i="1"/>
  <c r="EW379" i="1" s="1"/>
  <c r="DK405" i="1"/>
  <c r="EW405" i="1" s="1"/>
  <c r="DK261" i="1"/>
  <c r="DK106" i="1"/>
  <c r="DK383" i="1"/>
  <c r="EW383" i="1" s="1"/>
  <c r="DK128" i="1"/>
  <c r="DK368" i="1"/>
  <c r="EW368" i="1" s="1"/>
  <c r="BN395" i="1"/>
  <c r="DK348" i="1"/>
  <c r="EW348" i="1" s="1"/>
  <c r="DK380" i="1"/>
  <c r="EW380" i="1" s="1"/>
  <c r="DK372" i="1"/>
  <c r="EW372" i="1" s="1"/>
  <c r="DH351" i="1"/>
  <c r="DD351" i="1"/>
  <c r="DI351" i="1"/>
  <c r="DK388" i="1"/>
  <c r="EW388" i="1" s="1"/>
  <c r="DI406" i="1"/>
  <c r="DH406" i="1"/>
  <c r="DD406" i="1"/>
  <c r="DI384" i="1"/>
  <c r="DH384" i="1"/>
  <c r="DD384" i="1"/>
  <c r="DI21" i="1"/>
  <c r="DH21" i="1"/>
  <c r="DD21" i="1"/>
  <c r="DD385" i="1"/>
  <c r="DI385" i="1"/>
  <c r="DH385" i="1"/>
  <c r="DK346" i="1"/>
  <c r="DK224" i="1"/>
  <c r="DI308" i="1"/>
  <c r="DD308" i="1"/>
  <c r="DH308" i="1"/>
  <c r="DK241" i="1"/>
  <c r="DK400" i="1"/>
  <c r="EW400" i="1" s="1"/>
  <c r="DK367" i="1"/>
  <c r="EW367" i="1" s="1"/>
  <c r="DY385" i="1" a="1"/>
  <c r="DY385" i="1" s="1"/>
  <c r="EI385" i="1" s="1"/>
  <c r="DI390" i="1"/>
  <c r="DH390" i="1"/>
  <c r="DD390" i="1"/>
  <c r="DK220" i="1"/>
  <c r="DK402" i="1"/>
  <c r="EW402" i="1" s="1"/>
  <c r="DI262" i="1"/>
  <c r="DH262" i="1"/>
  <c r="DD262" i="1"/>
  <c r="DI156" i="1"/>
  <c r="DH156" i="1"/>
  <c r="DD156" i="1"/>
  <c r="DI309" i="1"/>
  <c r="DH309" i="1"/>
  <c r="DD309" i="1"/>
  <c r="DI366" i="1"/>
  <c r="DH366" i="1"/>
  <c r="DD366" i="1"/>
  <c r="DI56" i="1"/>
  <c r="DH56" i="1"/>
  <c r="DD56" i="1"/>
  <c r="DK354" i="1"/>
  <c r="EW354" i="1" s="1"/>
  <c r="DK410" i="1"/>
  <c r="EW410" i="1" s="1"/>
  <c r="DI386" i="1"/>
  <c r="DH386" i="1"/>
  <c r="DD386" i="1"/>
  <c r="DK396" i="1"/>
  <c r="EW396" i="1" s="1"/>
  <c r="DK369" i="1"/>
  <c r="EW369" i="1" s="1"/>
  <c r="DH357" i="1"/>
  <c r="DD357" i="1"/>
  <c r="DI357" i="1"/>
  <c r="DK154" i="1"/>
  <c r="DI343" i="1"/>
  <c r="DH343" i="1"/>
  <c r="DD343" i="1"/>
  <c r="DK347" i="1"/>
  <c r="EW347" i="1" s="1"/>
  <c r="DI280" i="1"/>
  <c r="DH280" i="1"/>
  <c r="DD280" i="1"/>
  <c r="DD391" i="1"/>
  <c r="DI391" i="1"/>
  <c r="DH391" i="1"/>
  <c r="DK331" i="1"/>
  <c r="DI330" i="1"/>
  <c r="DH330" i="1"/>
  <c r="DD330" i="1"/>
  <c r="DK398" i="1"/>
  <c r="EW398" i="1" s="1"/>
  <c r="DK355" i="1"/>
  <c r="EW355" i="1" s="1"/>
  <c r="DK349" i="1"/>
  <c r="EW349" i="1" s="1"/>
  <c r="DI251" i="1"/>
  <c r="DH251" i="1"/>
  <c r="DD251" i="1"/>
  <c r="DD339" i="1"/>
  <c r="DI339" i="1"/>
  <c r="DH339" i="1"/>
  <c r="DI350" i="1"/>
  <c r="DH350" i="1"/>
  <c r="DD350" i="1"/>
  <c r="DD394" i="1"/>
  <c r="DH394" i="1"/>
  <c r="DI394" i="1"/>
  <c r="DI392" i="1"/>
  <c r="DH392" i="1"/>
  <c r="DD392" i="1"/>
  <c r="DD381" i="1"/>
  <c r="DI381" i="1"/>
  <c r="DH381" i="1"/>
  <c r="DI352" i="1"/>
  <c r="DH352" i="1"/>
  <c r="DD352" i="1"/>
  <c r="DI401" i="1"/>
  <c r="DH401" i="1"/>
  <c r="DD401" i="1"/>
  <c r="DD173" i="1"/>
  <c r="DI173" i="1"/>
  <c r="DH173" i="1"/>
  <c r="DI404" i="1"/>
  <c r="DH404" i="1"/>
  <c r="DD404" i="1"/>
  <c r="DI363" i="1"/>
  <c r="DH363" i="1"/>
  <c r="DD363" i="1"/>
  <c r="DI252" i="1"/>
  <c r="DH252" i="1"/>
  <c r="DD252" i="1"/>
  <c r="DI358" i="1"/>
  <c r="DH358" i="1"/>
  <c r="DD358" i="1"/>
  <c r="DK345" i="1"/>
  <c r="DD182" i="1"/>
  <c r="DI182" i="1"/>
  <c r="DH182" i="1"/>
  <c r="DI69" i="1"/>
  <c r="DH69" i="1"/>
  <c r="DD69" i="1"/>
  <c r="DK361" i="1"/>
  <c r="EW361" i="1" s="1"/>
  <c r="DH373" i="1"/>
  <c r="DD373" i="1"/>
  <c r="DI373" i="1"/>
  <c r="DK35" i="1"/>
  <c r="DH375" i="1"/>
  <c r="DD375" i="1"/>
  <c r="DI375" i="1"/>
  <c r="DI387" i="1"/>
  <c r="DH387" i="1"/>
  <c r="DD387" i="1"/>
  <c r="DH371" i="1"/>
  <c r="DD371" i="1"/>
  <c r="DI371" i="1"/>
  <c r="DI393" i="1"/>
  <c r="DH393" i="1"/>
  <c r="DD393" i="1"/>
  <c r="DK365" i="1"/>
  <c r="EW365" i="1" s="1"/>
  <c r="DK397" i="1"/>
  <c r="EW397" i="1" s="1"/>
  <c r="DK395" i="1"/>
  <c r="EW395" i="1" s="1"/>
  <c r="DH360" i="1"/>
  <c r="DD360" i="1"/>
  <c r="DI360" i="1"/>
  <c r="DK101" i="1"/>
  <c r="DK179" i="1"/>
  <c r="DK408" i="1"/>
  <c r="EW408" i="1" s="1"/>
  <c r="DY280" i="1" a="1"/>
  <c r="DY280" i="1" s="1"/>
  <c r="EI280" i="1" s="1"/>
  <c r="DY390" i="1" a="1"/>
  <c r="DY390" i="1" s="1"/>
  <c r="EI390" i="1" s="1"/>
  <c r="BN34" i="1"/>
  <c r="BO365" i="1"/>
  <c r="CO365" i="1" s="1"/>
  <c r="BO404" i="1"/>
  <c r="CO404" i="1" s="1"/>
  <c r="DY373" i="1" a="1"/>
  <c r="DY373" i="1" s="1"/>
  <c r="EI373" i="1" s="1"/>
  <c r="DY262" i="1" a="1"/>
  <c r="DY262" i="1" s="1"/>
  <c r="EI262" i="1" s="1"/>
  <c r="BO173" i="1"/>
  <c r="CO173" i="1" s="1"/>
  <c r="BN375" i="1"/>
  <c r="DY394" i="1" a="1"/>
  <c r="DY394" i="1" s="1"/>
  <c r="EI394" i="1" s="1"/>
  <c r="DY173" i="1" a="1"/>
  <c r="DY173" i="1" s="1"/>
  <c r="EI173" i="1" s="1"/>
  <c r="BN348" i="1"/>
  <c r="BN225" i="1"/>
  <c r="BN330" i="1"/>
  <c r="BN344" i="1"/>
  <c r="BO182" i="1"/>
  <c r="CO182" i="1" s="1"/>
  <c r="DY69" i="1" a="1"/>
  <c r="DY69" i="1" s="1"/>
  <c r="EI69" i="1" s="1"/>
  <c r="BN382" i="1"/>
  <c r="BO224" i="1"/>
  <c r="CO224" i="1" s="1"/>
  <c r="BN367" i="1"/>
  <c r="BN346" i="1"/>
  <c r="BN349" i="1"/>
  <c r="BO353" i="1"/>
  <c r="CO353" i="1" s="1"/>
  <c r="BN388" i="1"/>
  <c r="DY351" i="1" a="1"/>
  <c r="DY351" i="1" s="1"/>
  <c r="EI351" i="1" s="1"/>
  <c r="BO56" i="1"/>
  <c r="CO56" i="1" s="1"/>
  <c r="BO377" i="1"/>
  <c r="CO377" i="1" s="1"/>
  <c r="BN385" i="1"/>
  <c r="BN366" i="1"/>
  <c r="BN361" i="1"/>
  <c r="BN386" i="1"/>
  <c r="BN403" i="1"/>
  <c r="BN44" i="1"/>
  <c r="BO358" i="1"/>
  <c r="CO358" i="1" s="1"/>
  <c r="BN68" i="1"/>
  <c r="BN398" i="1"/>
  <c r="BN352" i="1"/>
  <c r="DY360" i="1" a="1"/>
  <c r="DY360" i="1" s="1"/>
  <c r="EI360" i="1" s="1"/>
  <c r="DY366" i="1" a="1"/>
  <c r="DY366" i="1" s="1"/>
  <c r="EI366" i="1" s="1"/>
  <c r="BX275" i="1"/>
  <c r="CC275" i="1" s="1"/>
  <c r="BX287" i="1"/>
  <c r="CC287" i="1" s="1"/>
  <c r="BX176" i="1"/>
  <c r="CC176" i="1" s="1"/>
  <c r="BX30" i="1"/>
  <c r="CC30" i="1" s="1"/>
  <c r="BX174" i="1"/>
  <c r="CC174" i="1" s="1"/>
  <c r="BX109" i="1"/>
  <c r="CC109" i="1" s="1"/>
  <c r="BX115" i="1"/>
  <c r="CC115" i="1" s="1"/>
  <c r="BX320" i="1"/>
  <c r="CC320" i="1" s="1"/>
  <c r="BX95" i="1"/>
  <c r="CC95" i="1" s="1"/>
  <c r="BX72" i="1"/>
  <c r="CC72" i="1" s="1"/>
  <c r="BX341" i="1"/>
  <c r="CC341" i="1" s="1"/>
  <c r="BX45" i="1"/>
  <c r="CC45" i="1" s="1"/>
  <c r="BX143" i="1"/>
  <c r="CC143" i="1" s="1"/>
  <c r="BX231" i="1"/>
  <c r="CC231" i="1" s="1"/>
  <c r="BX271" i="1"/>
  <c r="CC271" i="1" s="1"/>
  <c r="BX265" i="1"/>
  <c r="CC265" i="1" s="1"/>
  <c r="BX227" i="1"/>
  <c r="CC227" i="1" s="1"/>
  <c r="BX89" i="1"/>
  <c r="CC89" i="1" s="1"/>
  <c r="BX91" i="1"/>
  <c r="CC91" i="1" s="1"/>
  <c r="BX79" i="1"/>
  <c r="CC79" i="1" s="1"/>
  <c r="BX186" i="1"/>
  <c r="CC186" i="1" s="1"/>
  <c r="BX292" i="1"/>
  <c r="CC292" i="1" s="1"/>
  <c r="BX329" i="1"/>
  <c r="CC329" i="1" s="1"/>
  <c r="BX76" i="1"/>
  <c r="CC76" i="1" s="1"/>
  <c r="BX238" i="1"/>
  <c r="CC238" i="1" s="1"/>
  <c r="BX50" i="1"/>
  <c r="CC50" i="1" s="1"/>
  <c r="BX113" i="1"/>
  <c r="CC113" i="1" s="1"/>
  <c r="BX26" i="1"/>
  <c r="CC26" i="1" s="1"/>
  <c r="BX326" i="1"/>
  <c r="CC326" i="1" s="1"/>
  <c r="BX27" i="1"/>
  <c r="CC27" i="1" s="1"/>
  <c r="BX324" i="1"/>
  <c r="CC324" i="1" s="1"/>
  <c r="BX151" i="1"/>
  <c r="CC151" i="1" s="1"/>
  <c r="BX120" i="1"/>
  <c r="CC120" i="1" s="1"/>
  <c r="BX161" i="1"/>
  <c r="CC161" i="1" s="1"/>
  <c r="BX162" i="1"/>
  <c r="CC162" i="1" s="1"/>
  <c r="BX296" i="1"/>
  <c r="CC296" i="1" s="1"/>
  <c r="BX334" i="1"/>
  <c r="CC334" i="1" s="1"/>
  <c r="BX149" i="1"/>
  <c r="CC149" i="1" s="1"/>
  <c r="BX237" i="1"/>
  <c r="CC237" i="1" s="1"/>
  <c r="BX31" i="1"/>
  <c r="CC31" i="1" s="1"/>
  <c r="BX293" i="1"/>
  <c r="CC293" i="1" s="1"/>
  <c r="BX18" i="1"/>
  <c r="CC18" i="1" s="1"/>
  <c r="BX315" i="1"/>
  <c r="CC315" i="1" s="1"/>
  <c r="BX163" i="1"/>
  <c r="CC163" i="1" s="1"/>
  <c r="BX295" i="1"/>
  <c r="CC295" i="1" s="1"/>
  <c r="BX67" i="1"/>
  <c r="CC67" i="1" s="1"/>
  <c r="BX111" i="1"/>
  <c r="CC111" i="1" s="1"/>
  <c r="BX230" i="1"/>
  <c r="CC230" i="1" s="1"/>
  <c r="BX288" i="1"/>
  <c r="CC288" i="1" s="1"/>
  <c r="BX42" i="1"/>
  <c r="CC42" i="1" s="1"/>
  <c r="BX322" i="1"/>
  <c r="CC322" i="1" s="1"/>
  <c r="BX148" i="1"/>
  <c r="CC148" i="1" s="1"/>
  <c r="BX250" i="1"/>
  <c r="CC250" i="1" s="1"/>
  <c r="BX281" i="1"/>
  <c r="CC281" i="1" s="1"/>
  <c r="BX75" i="1"/>
  <c r="CC75" i="1" s="1"/>
  <c r="BX290" i="1"/>
  <c r="CC290" i="1" s="1"/>
  <c r="BX291" i="1"/>
  <c r="CC291" i="1" s="1"/>
  <c r="BX168" i="1"/>
  <c r="CC168" i="1" s="1"/>
  <c r="BX63" i="1"/>
  <c r="CC63" i="1" s="1"/>
  <c r="BX116" i="1"/>
  <c r="CC116" i="1" s="1"/>
  <c r="BX25" i="1"/>
  <c r="CC25" i="1" s="1"/>
  <c r="BX41" i="1"/>
  <c r="CC41" i="1" s="1"/>
  <c r="BX191" i="1"/>
  <c r="CC191" i="1" s="1"/>
  <c r="BX59" i="1"/>
  <c r="CC59" i="1" s="1"/>
  <c r="BX196" i="1"/>
  <c r="CC196" i="1" s="1"/>
  <c r="BX226" i="1"/>
  <c r="CC226" i="1" s="1"/>
  <c r="BX253" i="1"/>
  <c r="CC253" i="1" s="1"/>
  <c r="BX99" i="1"/>
  <c r="CC99" i="1" s="1"/>
  <c r="BX93" i="1"/>
  <c r="CC93" i="1" s="1"/>
  <c r="BX70" i="1"/>
  <c r="CC70" i="1" s="1"/>
  <c r="BX216" i="1"/>
  <c r="CC216" i="1" s="1"/>
  <c r="BX90" i="1"/>
  <c r="CC90" i="1" s="1"/>
  <c r="BX38" i="1"/>
  <c r="CC38" i="1" s="1"/>
  <c r="BX307" i="1"/>
  <c r="CC307" i="1" s="1"/>
  <c r="BX305" i="1"/>
  <c r="CC305" i="1" s="1"/>
  <c r="BX147" i="1"/>
  <c r="CC147" i="1" s="1"/>
  <c r="BX159" i="1"/>
  <c r="CC159" i="1" s="1"/>
  <c r="BX221" i="1"/>
  <c r="CC221" i="1" s="1"/>
  <c r="BX284" i="1"/>
  <c r="CC284" i="1" s="1"/>
  <c r="BX71" i="1"/>
  <c r="CC71" i="1" s="1"/>
  <c r="BX158" i="1"/>
  <c r="CC158" i="1" s="1"/>
  <c r="BX289" i="1"/>
  <c r="CC289" i="1" s="1"/>
  <c r="BX323" i="1"/>
  <c r="CC323" i="1" s="1"/>
  <c r="BX87" i="1"/>
  <c r="CC87" i="1" s="1"/>
  <c r="BX98" i="1"/>
  <c r="CC98" i="1" s="1"/>
  <c r="BX189" i="1"/>
  <c r="CC189" i="1" s="1"/>
  <c r="BX193" i="1"/>
  <c r="CC193" i="1" s="1"/>
  <c r="BX33" i="1"/>
  <c r="CC33" i="1" s="1"/>
  <c r="BX184" i="1"/>
  <c r="CC184" i="1" s="1"/>
  <c r="BX139" i="1"/>
  <c r="CC139" i="1" s="1"/>
  <c r="BX123" i="1"/>
  <c r="CC123" i="1" s="1"/>
  <c r="BX240" i="1"/>
  <c r="CC240" i="1" s="1"/>
  <c r="BX108" i="1"/>
  <c r="CC108" i="1" s="1"/>
  <c r="BX213" i="1"/>
  <c r="CC213" i="1" s="1"/>
  <c r="BX104" i="1"/>
  <c r="CC104" i="1" s="1"/>
  <c r="BX155" i="1"/>
  <c r="CC155" i="1" s="1"/>
  <c r="BX167" i="1"/>
  <c r="CC167" i="1" s="1"/>
  <c r="BX201" i="1"/>
  <c r="CC201" i="1" s="1"/>
  <c r="BX32" i="1"/>
  <c r="CC32" i="1" s="1"/>
  <c r="BX145" i="1"/>
  <c r="CC145" i="1" s="1"/>
  <c r="BX61" i="1"/>
  <c r="CC61" i="1" s="1"/>
  <c r="BX112" i="1"/>
  <c r="CC112" i="1" s="1"/>
  <c r="BX270" i="1"/>
  <c r="CC270" i="1" s="1"/>
  <c r="BX100" i="1"/>
  <c r="CC100" i="1" s="1"/>
  <c r="BX325" i="1"/>
  <c r="CC325" i="1" s="1"/>
  <c r="BX36" i="1"/>
  <c r="CC36" i="1" s="1"/>
  <c r="BX82" i="1"/>
  <c r="CC82" i="1" s="1"/>
  <c r="BX110" i="1"/>
  <c r="CC110" i="1" s="1"/>
  <c r="BX28" i="1"/>
  <c r="CC28" i="1" s="1"/>
  <c r="BX60" i="1"/>
  <c r="CC60" i="1" s="1"/>
  <c r="BX314" i="1"/>
  <c r="CC314" i="1" s="1"/>
  <c r="BX248" i="1"/>
  <c r="CC248" i="1" s="1"/>
  <c r="BX332" i="1"/>
  <c r="CC332" i="1" s="1"/>
  <c r="BX279" i="1"/>
  <c r="CC279" i="1" s="1"/>
  <c r="BX214" i="1"/>
  <c r="CC214" i="1" s="1"/>
  <c r="BX200" i="1"/>
  <c r="CC200" i="1" s="1"/>
  <c r="BX316" i="1"/>
  <c r="CC316" i="1" s="1"/>
  <c r="BX313" i="1"/>
  <c r="CC313" i="1" s="1"/>
  <c r="BX340" i="1"/>
  <c r="CC340" i="1" s="1"/>
  <c r="BX127" i="1"/>
  <c r="CC127" i="1" s="1"/>
  <c r="BX46" i="1"/>
  <c r="CC46" i="1" s="1"/>
  <c r="BX204" i="1"/>
  <c r="CC204" i="1" s="1"/>
  <c r="BX85" i="1"/>
  <c r="CC85" i="1" s="1"/>
  <c r="BX333" i="1"/>
  <c r="CC333" i="1" s="1"/>
  <c r="BX135" i="1"/>
  <c r="CC135" i="1" s="1"/>
  <c r="BX165" i="1"/>
  <c r="CC165" i="1" s="1"/>
  <c r="BX15" i="1"/>
  <c r="CC15" i="1" s="1"/>
  <c r="BX66" i="1"/>
  <c r="CC66" i="1" s="1"/>
  <c r="BX244" i="1"/>
  <c r="CC244" i="1" s="1"/>
  <c r="BX73" i="1"/>
  <c r="CC73" i="1" s="1"/>
  <c r="BX263" i="1"/>
  <c r="CC263" i="1" s="1"/>
  <c r="BX247" i="1"/>
  <c r="CC247" i="1" s="1"/>
  <c r="BX267" i="1"/>
  <c r="CC267" i="1" s="1"/>
  <c r="BX29" i="1"/>
  <c r="CC29" i="1" s="1"/>
  <c r="BX285" i="1"/>
  <c r="CC285" i="1" s="1"/>
  <c r="BX199" i="1"/>
  <c r="CC199" i="1" s="1"/>
  <c r="BX171" i="1"/>
  <c r="CC171" i="1" s="1"/>
  <c r="BX242" i="1"/>
  <c r="CC242" i="1" s="1"/>
  <c r="BX172" i="1"/>
  <c r="CC172" i="1" s="1"/>
  <c r="BX134" i="1"/>
  <c r="CC134" i="1" s="1"/>
  <c r="BX83" i="1"/>
  <c r="CC83" i="1" s="1"/>
  <c r="BX146" i="1"/>
  <c r="CC146" i="1" s="1"/>
  <c r="BX274" i="1"/>
  <c r="CC274" i="1" s="1"/>
  <c r="BX223" i="1"/>
  <c r="CC223" i="1" s="1"/>
  <c r="BX169" i="1"/>
  <c r="CC169" i="1" s="1"/>
  <c r="BX336" i="1"/>
  <c r="CC336" i="1" s="1"/>
  <c r="BX114" i="1"/>
  <c r="CC114" i="1" s="1"/>
  <c r="BX298" i="1"/>
  <c r="CC298" i="1" s="1"/>
  <c r="BX246" i="1"/>
  <c r="CC246" i="1" s="1"/>
  <c r="BX273" i="1"/>
  <c r="CC273" i="1" s="1"/>
  <c r="BX131" i="1"/>
  <c r="CC131" i="1" s="1"/>
  <c r="BX327" i="1"/>
  <c r="CC327" i="1" s="1"/>
  <c r="BX40" i="1"/>
  <c r="CC40" i="1" s="1"/>
  <c r="BX211" i="1"/>
  <c r="CC211" i="1" s="1"/>
  <c r="BX260" i="1"/>
  <c r="CC260" i="1" s="1"/>
  <c r="BX245" i="1"/>
  <c r="CC245" i="1" s="1"/>
  <c r="BX133" i="1"/>
  <c r="CC133" i="1" s="1"/>
  <c r="BX20" i="1"/>
  <c r="CC20" i="1" s="1"/>
  <c r="BX140" i="1"/>
  <c r="CC140" i="1" s="1"/>
  <c r="BX49" i="1"/>
  <c r="CC49" i="1" s="1"/>
  <c r="BX219" i="1"/>
  <c r="CC219" i="1" s="1"/>
  <c r="BX232" i="1"/>
  <c r="CC232" i="1" s="1"/>
  <c r="BX138" i="1"/>
  <c r="CC138" i="1" s="1"/>
  <c r="BX118" i="1"/>
  <c r="CC118" i="1" s="1"/>
  <c r="BX206" i="1"/>
  <c r="CC206" i="1" s="1"/>
  <c r="BX229" i="1"/>
  <c r="CC229" i="1" s="1"/>
  <c r="BX22" i="1"/>
  <c r="CC22" i="1" s="1"/>
  <c r="BX130" i="1"/>
  <c r="CC130" i="1" s="1"/>
  <c r="BX92" i="1"/>
  <c r="CC92" i="1" s="1"/>
  <c r="BX103" i="1"/>
  <c r="CC103" i="1" s="1"/>
  <c r="BX39" i="1"/>
  <c r="CC39" i="1" s="1"/>
  <c r="BX235" i="1"/>
  <c r="CC235" i="1" s="1"/>
  <c r="BX302" i="1"/>
  <c r="CC302" i="1" s="1"/>
  <c r="BX233" i="1"/>
  <c r="CC233" i="1" s="1"/>
  <c r="BX255" i="1"/>
  <c r="CC255" i="1" s="1"/>
  <c r="BX58" i="1"/>
  <c r="CC58" i="1" s="1"/>
  <c r="BX337" i="1"/>
  <c r="CC337" i="1" s="1"/>
  <c r="BX62" i="1"/>
  <c r="CC62" i="1" s="1"/>
  <c r="BX278" i="1"/>
  <c r="CC278" i="1" s="1"/>
  <c r="BX312" i="1"/>
  <c r="CC312" i="1" s="1"/>
  <c r="BX210" i="1"/>
  <c r="CC210" i="1" s="1"/>
  <c r="BX65" i="1"/>
  <c r="CC65" i="1" s="1"/>
  <c r="BX299" i="1"/>
  <c r="CC299" i="1" s="1"/>
  <c r="BX286" i="1"/>
  <c r="CC286" i="1" s="1"/>
  <c r="BX300" i="1"/>
  <c r="CC300" i="1" s="1"/>
  <c r="BX48" i="1"/>
  <c r="CC48" i="1" s="1"/>
  <c r="BX277" i="1"/>
  <c r="CC277" i="1" s="1"/>
  <c r="BX328" i="1"/>
  <c r="CC328" i="1" s="1"/>
  <c r="BX192" i="1"/>
  <c r="CC192" i="1" s="1"/>
  <c r="BX150" i="1"/>
  <c r="CC150" i="1" s="1"/>
  <c r="BX342" i="1"/>
  <c r="CC342" i="1" s="1"/>
  <c r="BX117" i="1"/>
  <c r="CC117" i="1" s="1"/>
  <c r="BX37" i="1"/>
  <c r="CC37" i="1" s="1"/>
  <c r="BX272" i="1"/>
  <c r="CC272" i="1" s="1"/>
  <c r="BX102" i="1"/>
  <c r="CC102" i="1" s="1"/>
  <c r="BX52" i="1"/>
  <c r="CC52" i="1" s="1"/>
  <c r="BX190" i="1"/>
  <c r="CC190" i="1" s="1"/>
  <c r="BX283" i="1"/>
  <c r="CC283" i="1" s="1"/>
  <c r="BX17" i="1"/>
  <c r="CC17" i="1" s="1"/>
  <c r="BX215" i="1"/>
  <c r="CC215" i="1" s="1"/>
  <c r="BX180" i="1"/>
  <c r="CC180" i="1" s="1"/>
  <c r="BX202" i="1"/>
  <c r="CC202" i="1" s="1"/>
  <c r="BX198" i="1"/>
  <c r="CC198" i="1" s="1"/>
  <c r="BX142" i="1"/>
  <c r="CC142" i="1" s="1"/>
  <c r="BX188" i="1"/>
  <c r="CC188" i="1" s="1"/>
  <c r="BX177" i="1"/>
  <c r="CC177" i="1" s="1"/>
  <c r="BX218" i="1"/>
  <c r="CC218" i="1" s="1"/>
  <c r="BX124" i="1"/>
  <c r="CC124" i="1" s="1"/>
  <c r="BX282" i="1"/>
  <c r="CC282" i="1" s="1"/>
  <c r="BX57" i="1"/>
  <c r="CC57" i="1" s="1"/>
  <c r="BX276" i="1"/>
  <c r="CC276" i="1" s="1"/>
  <c r="BX53" i="1"/>
  <c r="CC53" i="1" s="1"/>
  <c r="BX137" i="1"/>
  <c r="CC137" i="1" s="1"/>
  <c r="BX175" i="1"/>
  <c r="CC175" i="1" s="1"/>
  <c r="BX107" i="1"/>
  <c r="CC107" i="1" s="1"/>
  <c r="BX212" i="1"/>
  <c r="CC212" i="1" s="1"/>
  <c r="BX294" i="1"/>
  <c r="CC294" i="1" s="1"/>
  <c r="BX228" i="1"/>
  <c r="CC228" i="1" s="1"/>
  <c r="BX259" i="1"/>
  <c r="CC259" i="1" s="1"/>
  <c r="BX74" i="1"/>
  <c r="CC74" i="1" s="1"/>
  <c r="BX297" i="1"/>
  <c r="CC297" i="1" s="1"/>
  <c r="BX239" i="1"/>
  <c r="CC239" i="1" s="1"/>
  <c r="BX264" i="1"/>
  <c r="CC264" i="1" s="1"/>
  <c r="BX43" i="1"/>
  <c r="CC43" i="1" s="1"/>
  <c r="BX94" i="1"/>
  <c r="CC94" i="1" s="1"/>
  <c r="BX23" i="1"/>
  <c r="CC23" i="1" s="1"/>
  <c r="BX16" i="1"/>
  <c r="CC16" i="1" s="1"/>
  <c r="BX268" i="1"/>
  <c r="CC268" i="1" s="1"/>
  <c r="BX141" i="1"/>
  <c r="CC141" i="1" s="1"/>
  <c r="BX321" i="1"/>
  <c r="CC321" i="1" s="1"/>
  <c r="BX195" i="1"/>
  <c r="CC195" i="1" s="1"/>
  <c r="BX24" i="1"/>
  <c r="CC24" i="1" s="1"/>
  <c r="BX55" i="1"/>
  <c r="CC55" i="1" s="1"/>
  <c r="BX217" i="1"/>
  <c r="CC217" i="1" s="1"/>
  <c r="BX136" i="1"/>
  <c r="CC136" i="1" s="1"/>
  <c r="BX96" i="1"/>
  <c r="CC96" i="1" s="1"/>
  <c r="BX144" i="1"/>
  <c r="CC144" i="1" s="1"/>
  <c r="BX205" i="1"/>
  <c r="CC205" i="1" s="1"/>
  <c r="BX78" i="1"/>
  <c r="CC78" i="1" s="1"/>
  <c r="BX160" i="1"/>
  <c r="CC160" i="1" s="1"/>
  <c r="BX335" i="1"/>
  <c r="CC335" i="1" s="1"/>
  <c r="BX209" i="1"/>
  <c r="CC209" i="1" s="1"/>
  <c r="BX303" i="1"/>
  <c r="CC303" i="1" s="1"/>
  <c r="BX256" i="1"/>
  <c r="CC256" i="1" s="1"/>
  <c r="BX88" i="1"/>
  <c r="CC88" i="1" s="1"/>
  <c r="BX208" i="1"/>
  <c r="CC208" i="1" s="1"/>
  <c r="BX51" i="1"/>
  <c r="CC51" i="1" s="1"/>
  <c r="BX164" i="1"/>
  <c r="CC164" i="1" s="1"/>
  <c r="BX222" i="1"/>
  <c r="CC222" i="1" s="1"/>
  <c r="BX166" i="1"/>
  <c r="CC166" i="1" s="1"/>
  <c r="BX304" i="1"/>
  <c r="CC304" i="1" s="1"/>
  <c r="BX185" i="1"/>
  <c r="CC185" i="1" s="1"/>
  <c r="BX14" i="1"/>
  <c r="CC14" i="1" s="1"/>
  <c r="BX64" i="1"/>
  <c r="CC64" i="1" s="1"/>
  <c r="BX306" i="1"/>
  <c r="CC306" i="1" s="1"/>
  <c r="BX181" i="1"/>
  <c r="CC181" i="1" s="1"/>
  <c r="BX119" i="1"/>
  <c r="CC119" i="1" s="1"/>
  <c r="BX269" i="1"/>
  <c r="CC269" i="1" s="1"/>
  <c r="BX257" i="1"/>
  <c r="CC257" i="1" s="1"/>
  <c r="BX319" i="1"/>
  <c r="CC319" i="1" s="1"/>
  <c r="BX258" i="1"/>
  <c r="CC258" i="1" s="1"/>
  <c r="BX122" i="1"/>
  <c r="CC122" i="1" s="1"/>
  <c r="BX77" i="1"/>
  <c r="CC77" i="1" s="1"/>
  <c r="BX129" i="1"/>
  <c r="CC129" i="1" s="1"/>
  <c r="BX97" i="1"/>
  <c r="CC97" i="1" s="1"/>
  <c r="BX249" i="1"/>
  <c r="CC249" i="1" s="1"/>
  <c r="BX194" i="1"/>
  <c r="CC194" i="1" s="1"/>
  <c r="BX81" i="1"/>
  <c r="CC81" i="1" s="1"/>
  <c r="BX318" i="1"/>
  <c r="CC318" i="1" s="1"/>
  <c r="BX80" i="1"/>
  <c r="CC80" i="1" s="1"/>
  <c r="BX301" i="1"/>
  <c r="CC301" i="1" s="1"/>
  <c r="BX234" i="1"/>
  <c r="CC234" i="1" s="1"/>
  <c r="BX266" i="1"/>
  <c r="CC266" i="1" s="1"/>
  <c r="BX187" i="1"/>
  <c r="CC187" i="1" s="1"/>
  <c r="BX310" i="1"/>
  <c r="CC310" i="1" s="1"/>
  <c r="BX19" i="1"/>
  <c r="CC19" i="1" s="1"/>
  <c r="BX311" i="1"/>
  <c r="CC311" i="1" s="1"/>
  <c r="BX84" i="1"/>
  <c r="CC84" i="1" s="1"/>
  <c r="BX236" i="1"/>
  <c r="CC236" i="1" s="1"/>
  <c r="BX121" i="1"/>
  <c r="CC121" i="1" s="1"/>
  <c r="BX126" i="1"/>
  <c r="CC126" i="1" s="1"/>
  <c r="BX152" i="1"/>
  <c r="CC152" i="1" s="1"/>
  <c r="BX254" i="1"/>
  <c r="CC254" i="1" s="1"/>
  <c r="BX125" i="1"/>
  <c r="CC125" i="1" s="1"/>
  <c r="BX153" i="1"/>
  <c r="CC153" i="1" s="1"/>
  <c r="BX317" i="1"/>
  <c r="CC317" i="1" s="1"/>
  <c r="BX157" i="1"/>
  <c r="CC157" i="1" s="1"/>
  <c r="BX86" i="1"/>
  <c r="CC86" i="1" s="1"/>
  <c r="DY330" i="1" a="1"/>
  <c r="DY330" i="1" s="1"/>
  <c r="EI330" i="1" s="1"/>
  <c r="DY381" i="1" a="1"/>
  <c r="DY381" i="1" s="1"/>
  <c r="EI381" i="1" s="1"/>
  <c r="DY156" i="1" a="1"/>
  <c r="DY156" i="1" s="1"/>
  <c r="EI156" i="1" s="1"/>
  <c r="DY251" i="1" a="1"/>
  <c r="DY251" i="1" s="1"/>
  <c r="EI251" i="1" s="1"/>
  <c r="DY363" i="1" a="1"/>
  <c r="DY363" i="1" s="1"/>
  <c r="EI363" i="1" s="1"/>
  <c r="DY404" i="1" a="1"/>
  <c r="DY404" i="1" s="1"/>
  <c r="EI404" i="1" s="1"/>
  <c r="DY21" i="1" a="1"/>
  <c r="DY21" i="1" s="1"/>
  <c r="EI21" i="1" s="1"/>
  <c r="DY339" i="1" a="1"/>
  <c r="DY339" i="1" s="1"/>
  <c r="EI339" i="1" s="1"/>
  <c r="DY392" i="1" a="1"/>
  <c r="DY392" i="1" s="1"/>
  <c r="EI392" i="1" s="1"/>
  <c r="DY357" i="1" a="1"/>
  <c r="DY357" i="1" s="1"/>
  <c r="EI357" i="1" s="1"/>
  <c r="DY352" i="1" a="1"/>
  <c r="DY352" i="1" s="1"/>
  <c r="EI352" i="1" s="1"/>
  <c r="DY358" i="1" a="1"/>
  <c r="DY358" i="1" s="1"/>
  <c r="EI358" i="1" s="1"/>
  <c r="DY387" i="1" a="1"/>
  <c r="DY387" i="1" s="1"/>
  <c r="EI387" i="1" s="1"/>
  <c r="DY343" i="1" a="1"/>
  <c r="DY343" i="1" s="1"/>
  <c r="EI343" i="1" s="1"/>
  <c r="DY371" i="1" a="1"/>
  <c r="DY371" i="1" s="1"/>
  <c r="EI371" i="1" s="1"/>
  <c r="DY401" i="1" a="1"/>
  <c r="DY401" i="1" s="1"/>
  <c r="EI401" i="1" s="1"/>
  <c r="DY406" i="1" a="1"/>
  <c r="DY406" i="1" s="1"/>
  <c r="EI406" i="1" s="1"/>
  <c r="DY56" i="1" a="1"/>
  <c r="DY56" i="1" s="1"/>
  <c r="EI56" i="1" s="1"/>
  <c r="DY375" i="1" a="1"/>
  <c r="DY375" i="1" s="1"/>
  <c r="EI375" i="1" s="1"/>
  <c r="DY384" i="1" a="1"/>
  <c r="DY384" i="1" s="1"/>
  <c r="EI384" i="1" s="1"/>
  <c r="DY308" i="1" a="1"/>
  <c r="DY308" i="1" s="1"/>
  <c r="EI308" i="1" s="1"/>
  <c r="DY350" i="1" a="1"/>
  <c r="DY350" i="1" s="1"/>
  <c r="EI350" i="1" s="1"/>
  <c r="DY393" i="1" a="1"/>
  <c r="DY393" i="1" s="1"/>
  <c r="EI393" i="1" s="1"/>
  <c r="DY252" i="1" a="1"/>
  <c r="DY252" i="1" s="1"/>
  <c r="EI252" i="1" s="1"/>
  <c r="DY391" i="1" a="1"/>
  <c r="DY391" i="1" s="1"/>
  <c r="EI391" i="1" s="1"/>
  <c r="DY182" i="1" a="1"/>
  <c r="DY182" i="1" s="1"/>
  <c r="EI182" i="1" s="1"/>
  <c r="BX132" i="1"/>
  <c r="CC132" i="1" s="1"/>
  <c r="BX105" i="1"/>
  <c r="CC105" i="1" s="1"/>
  <c r="AB13" i="1"/>
  <c r="AI13" i="1"/>
  <c r="BK13" i="1"/>
  <c r="BB12" i="1"/>
  <c r="BC12" i="1"/>
  <c r="CE12" i="1"/>
  <c r="AC12" i="1"/>
  <c r="CD12" i="1"/>
  <c r="DK280" i="1" l="1"/>
  <c r="DK330" i="1"/>
  <c r="DK371" i="1"/>
  <c r="EW371" i="1" s="1"/>
  <c r="DK391" i="1"/>
  <c r="EW391" i="1" s="1"/>
  <c r="DK363" i="1"/>
  <c r="EW363" i="1" s="1"/>
  <c r="DK366" i="1"/>
  <c r="EW366" i="1" s="1"/>
  <c r="DK69" i="1"/>
  <c r="DK404" i="1"/>
  <c r="EW404" i="1" s="1"/>
  <c r="DK309" i="1"/>
  <c r="DK381" i="1"/>
  <c r="EW381" i="1" s="1"/>
  <c r="DK251" i="1"/>
  <c r="DK390" i="1"/>
  <c r="EW390" i="1" s="1"/>
  <c r="DK406" i="1"/>
  <c r="EW406" i="1" s="1"/>
  <c r="DK156" i="1"/>
  <c r="DK387" i="1"/>
  <c r="EW387" i="1" s="1"/>
  <c r="DK350" i="1"/>
  <c r="EW350" i="1" s="1"/>
  <c r="DK386" i="1"/>
  <c r="EW386" i="1" s="1"/>
  <c r="DK392" i="1"/>
  <c r="EW392" i="1" s="1"/>
  <c r="DK375" i="1"/>
  <c r="EW375" i="1" s="1"/>
  <c r="DK358" i="1"/>
  <c r="EW358" i="1" s="1"/>
  <c r="DK339" i="1"/>
  <c r="DK352" i="1"/>
  <c r="EW352" i="1" s="1"/>
  <c r="DK360" i="1"/>
  <c r="EW360" i="1" s="1"/>
  <c r="DK252" i="1"/>
  <c r="DK56" i="1"/>
  <c r="DK21" i="1"/>
  <c r="DK343" i="1"/>
  <c r="DK373" i="1"/>
  <c r="EW373" i="1" s="1"/>
  <c r="DK384" i="1"/>
  <c r="EW384" i="1" s="1"/>
  <c r="DK393" i="1"/>
  <c r="EW393" i="1" s="1"/>
  <c r="DK357" i="1"/>
  <c r="EW357" i="1" s="1"/>
  <c r="DK308" i="1"/>
  <c r="DK182" i="1"/>
  <c r="DK173" i="1"/>
  <c r="DK394" i="1"/>
  <c r="EW394" i="1" s="1"/>
  <c r="DK351" i="1"/>
  <c r="EW351" i="1" s="1"/>
  <c r="DK401" i="1"/>
  <c r="EW401" i="1" s="1"/>
  <c r="DK262" i="1"/>
  <c r="DK385" i="1"/>
  <c r="EW385" i="1" s="1"/>
  <c r="BB20" i="1"/>
  <c r="CF266" i="1"/>
  <c r="CM266" i="1" s="1"/>
  <c r="CE266" i="1"/>
  <c r="CD266" i="1"/>
  <c r="CF318" i="1"/>
  <c r="CM318" i="1" s="1"/>
  <c r="CE318" i="1"/>
  <c r="CD318" i="1"/>
  <c r="CD125" i="1"/>
  <c r="CE125" i="1"/>
  <c r="CF125" i="1"/>
  <c r="CM125" i="1" s="1"/>
  <c r="CF81" i="1"/>
  <c r="CM81" i="1" s="1"/>
  <c r="CE81" i="1"/>
  <c r="CD81" i="1"/>
  <c r="CF185" i="1"/>
  <c r="CM185" i="1" s="1"/>
  <c r="CD185" i="1"/>
  <c r="CE185" i="1"/>
  <c r="CD96" i="1"/>
  <c r="CE96" i="1"/>
  <c r="CF96" i="1"/>
  <c r="CM96" i="1" s="1"/>
  <c r="CF74" i="1"/>
  <c r="CM74" i="1" s="1"/>
  <c r="CD74" i="1"/>
  <c r="CE74" i="1"/>
  <c r="CF142" i="1"/>
  <c r="CM142" i="1" s="1"/>
  <c r="CE142" i="1"/>
  <c r="CD142" i="1"/>
  <c r="CE328" i="1"/>
  <c r="CD328" i="1"/>
  <c r="CF328" i="1"/>
  <c r="CM328" i="1" s="1"/>
  <c r="CF235" i="1"/>
  <c r="CM235" i="1" s="1"/>
  <c r="CE235" i="1"/>
  <c r="CD235" i="1"/>
  <c r="CD245" i="1"/>
  <c r="CE245" i="1"/>
  <c r="CF245" i="1"/>
  <c r="CM245" i="1" s="1"/>
  <c r="CF134" i="1"/>
  <c r="CM134" i="1" s="1"/>
  <c r="CE134" i="1"/>
  <c r="CD134" i="1"/>
  <c r="CF333" i="1"/>
  <c r="CM333" i="1" s="1"/>
  <c r="CE333" i="1"/>
  <c r="CD333" i="1"/>
  <c r="CD110" i="1"/>
  <c r="CF110" i="1"/>
  <c r="CM110" i="1" s="1"/>
  <c r="CE110" i="1"/>
  <c r="CD240" i="1"/>
  <c r="CE240" i="1"/>
  <c r="CF240" i="1"/>
  <c r="CM240" i="1" s="1"/>
  <c r="CD147" i="1"/>
  <c r="CE147" i="1"/>
  <c r="CF147" i="1"/>
  <c r="CM147" i="1" s="1"/>
  <c r="CE116" i="1"/>
  <c r="CD116" i="1"/>
  <c r="CF116" i="1"/>
  <c r="CM116" i="1" s="1"/>
  <c r="CF163" i="1"/>
  <c r="CM163" i="1" s="1"/>
  <c r="CD163" i="1"/>
  <c r="CE163" i="1"/>
  <c r="CF45" i="1"/>
  <c r="CM45" i="1" s="1"/>
  <c r="CE45" i="1"/>
  <c r="CD45" i="1"/>
  <c r="CF254" i="1"/>
  <c r="CM254" i="1" s="1"/>
  <c r="CE254" i="1"/>
  <c r="CD254" i="1"/>
  <c r="CD194" i="1"/>
  <c r="CE194" i="1"/>
  <c r="CF194" i="1"/>
  <c r="CM194" i="1" s="1"/>
  <c r="CF304" i="1"/>
  <c r="CM304" i="1" s="1"/>
  <c r="CD304" i="1"/>
  <c r="CE304" i="1"/>
  <c r="CE136" i="1"/>
  <c r="CF136" i="1"/>
  <c r="CM136" i="1" s="1"/>
  <c r="CD136" i="1"/>
  <c r="CF259" i="1"/>
  <c r="CM259" i="1" s="1"/>
  <c r="CD259" i="1"/>
  <c r="CE259" i="1"/>
  <c r="CF198" i="1"/>
  <c r="CM198" i="1" s="1"/>
  <c r="CD198" i="1"/>
  <c r="CE198" i="1"/>
  <c r="CD277" i="1"/>
  <c r="CF277" i="1"/>
  <c r="CM277" i="1" s="1"/>
  <c r="CE277" i="1"/>
  <c r="CE39" i="1"/>
  <c r="CF39" i="1"/>
  <c r="CM39" i="1" s="1"/>
  <c r="CD39" i="1"/>
  <c r="CE260" i="1"/>
  <c r="CD260" i="1"/>
  <c r="CF260" i="1"/>
  <c r="CM260" i="1" s="1"/>
  <c r="CD172" i="1"/>
  <c r="CF172" i="1"/>
  <c r="CM172" i="1" s="1"/>
  <c r="CE172" i="1"/>
  <c r="CE85" i="1"/>
  <c r="CF85" i="1"/>
  <c r="CM85" i="1" s="1"/>
  <c r="CD85" i="1"/>
  <c r="CE82" i="1"/>
  <c r="CD82" i="1"/>
  <c r="CF82" i="1"/>
  <c r="CM82" i="1" s="1"/>
  <c r="CF123" i="1"/>
  <c r="CM123" i="1" s="1"/>
  <c r="CD123" i="1"/>
  <c r="CE123" i="1"/>
  <c r="CF305" i="1"/>
  <c r="CM305" i="1" s="1"/>
  <c r="CE305" i="1"/>
  <c r="CD305" i="1"/>
  <c r="CE63" i="1"/>
  <c r="CD63" i="1"/>
  <c r="CF63" i="1"/>
  <c r="CM63" i="1" s="1"/>
  <c r="CF315" i="1"/>
  <c r="CM315" i="1" s="1"/>
  <c r="CD315" i="1"/>
  <c r="CE315" i="1"/>
  <c r="CF113" i="1"/>
  <c r="CM113" i="1" s="1"/>
  <c r="CE113" i="1"/>
  <c r="CD113" i="1"/>
  <c r="CF341" i="1"/>
  <c r="CM341" i="1" s="1"/>
  <c r="CE341" i="1"/>
  <c r="CD341" i="1"/>
  <c r="CF249" i="1"/>
  <c r="CM249" i="1" s="1"/>
  <c r="CD249" i="1"/>
  <c r="CE249" i="1"/>
  <c r="CD217" i="1"/>
  <c r="CE217" i="1"/>
  <c r="CF217" i="1"/>
  <c r="CM217" i="1" s="1"/>
  <c r="CF202" i="1"/>
  <c r="CM202" i="1" s="1"/>
  <c r="CE202" i="1"/>
  <c r="CD202" i="1"/>
  <c r="CF211" i="1"/>
  <c r="CM211" i="1" s="1"/>
  <c r="CE211" i="1"/>
  <c r="CD211" i="1"/>
  <c r="CE242" i="1"/>
  <c r="CD242" i="1"/>
  <c r="CF242" i="1"/>
  <c r="CM242" i="1" s="1"/>
  <c r="CD204" i="1"/>
  <c r="CF204" i="1"/>
  <c r="CM204" i="1" s="1"/>
  <c r="CE204" i="1"/>
  <c r="CD36" i="1"/>
  <c r="CF36" i="1"/>
  <c r="CM36" i="1" s="1"/>
  <c r="CE36" i="1"/>
  <c r="CF307" i="1"/>
  <c r="CM307" i="1" s="1"/>
  <c r="CE307" i="1"/>
  <c r="CD307" i="1"/>
  <c r="CE168" i="1"/>
  <c r="CD168" i="1"/>
  <c r="CF168" i="1"/>
  <c r="CM168" i="1" s="1"/>
  <c r="CD50" i="1"/>
  <c r="CF50" i="1"/>
  <c r="CM50" i="1" s="1"/>
  <c r="CE50" i="1"/>
  <c r="CF72" i="1"/>
  <c r="CM72" i="1" s="1"/>
  <c r="CD72" i="1"/>
  <c r="CE72" i="1"/>
  <c r="CE152" i="1"/>
  <c r="CD152" i="1"/>
  <c r="CF152" i="1"/>
  <c r="CM152" i="1" s="1"/>
  <c r="CE228" i="1"/>
  <c r="CD228" i="1"/>
  <c r="CF228" i="1"/>
  <c r="CM228" i="1" s="1"/>
  <c r="CD48" i="1"/>
  <c r="CE48" i="1"/>
  <c r="CF48" i="1"/>
  <c r="CM48" i="1" s="1"/>
  <c r="CF126" i="1"/>
  <c r="CM126" i="1" s="1"/>
  <c r="CE126" i="1"/>
  <c r="CD126" i="1"/>
  <c r="CF97" i="1"/>
  <c r="CM97" i="1" s="1"/>
  <c r="CE97" i="1"/>
  <c r="CD97" i="1"/>
  <c r="CD222" i="1"/>
  <c r="CE222" i="1"/>
  <c r="CF222" i="1"/>
  <c r="CM222" i="1" s="1"/>
  <c r="CD55" i="1"/>
  <c r="CF55" i="1"/>
  <c r="CM55" i="1" s="1"/>
  <c r="CE55" i="1"/>
  <c r="CD294" i="1"/>
  <c r="CE294" i="1"/>
  <c r="CF294" i="1"/>
  <c r="CM294" i="1" s="1"/>
  <c r="CF180" i="1"/>
  <c r="CM180" i="1" s="1"/>
  <c r="CD180" i="1"/>
  <c r="CE180" i="1"/>
  <c r="CF300" i="1"/>
  <c r="CM300" i="1" s="1"/>
  <c r="CD300" i="1"/>
  <c r="CE300" i="1"/>
  <c r="CF92" i="1"/>
  <c r="CM92" i="1" s="1"/>
  <c r="CE92" i="1"/>
  <c r="CD92" i="1"/>
  <c r="CF40" i="1"/>
  <c r="CM40" i="1" s="1"/>
  <c r="CE40" i="1"/>
  <c r="CD40" i="1"/>
  <c r="CF171" i="1"/>
  <c r="CM171" i="1" s="1"/>
  <c r="CE171" i="1"/>
  <c r="CD171" i="1"/>
  <c r="CD46" i="1"/>
  <c r="CF46" i="1"/>
  <c r="CM46" i="1" s="1"/>
  <c r="CE46" i="1"/>
  <c r="CE325" i="1"/>
  <c r="CF325" i="1"/>
  <c r="CM325" i="1" s="1"/>
  <c r="CD325" i="1"/>
  <c r="CF184" i="1"/>
  <c r="CM184" i="1" s="1"/>
  <c r="CE184" i="1"/>
  <c r="CD184" i="1"/>
  <c r="CF38" i="1"/>
  <c r="CM38" i="1" s="1"/>
  <c r="CE38" i="1"/>
  <c r="CD38" i="1"/>
  <c r="CF291" i="1"/>
  <c r="CM291" i="1" s="1"/>
  <c r="CE291" i="1"/>
  <c r="CD291" i="1"/>
  <c r="CF293" i="1"/>
  <c r="CM293" i="1" s="1"/>
  <c r="CD293" i="1"/>
  <c r="CE293" i="1"/>
  <c r="CD238" i="1"/>
  <c r="CE238" i="1"/>
  <c r="CF238" i="1"/>
  <c r="CM238" i="1" s="1"/>
  <c r="CE95" i="1"/>
  <c r="CF95" i="1"/>
  <c r="CM95" i="1" s="1"/>
  <c r="CD95" i="1"/>
  <c r="CF166" i="1"/>
  <c r="CM166" i="1" s="1"/>
  <c r="CE166" i="1"/>
  <c r="CD166" i="1"/>
  <c r="CD103" i="1"/>
  <c r="CF103" i="1"/>
  <c r="CM103" i="1" s="1"/>
  <c r="CE103" i="1"/>
  <c r="CE121" i="1"/>
  <c r="CD121" i="1"/>
  <c r="CF121" i="1"/>
  <c r="CM121" i="1" s="1"/>
  <c r="CE129" i="1"/>
  <c r="CF129" i="1"/>
  <c r="CM129" i="1" s="1"/>
  <c r="CD129" i="1"/>
  <c r="CE164" i="1"/>
  <c r="CD164" i="1"/>
  <c r="CF164" i="1"/>
  <c r="CM164" i="1" s="1"/>
  <c r="CF24" i="1"/>
  <c r="CM24" i="1" s="1"/>
  <c r="CE24" i="1"/>
  <c r="CD24" i="1"/>
  <c r="CF212" i="1"/>
  <c r="CM212" i="1" s="1"/>
  <c r="CD212" i="1"/>
  <c r="CE212" i="1"/>
  <c r="CD215" i="1"/>
  <c r="CF215" i="1"/>
  <c r="CM215" i="1" s="1"/>
  <c r="CE215" i="1"/>
  <c r="CD286" i="1"/>
  <c r="CE286" i="1"/>
  <c r="CF286" i="1"/>
  <c r="CM286" i="1" s="1"/>
  <c r="CE130" i="1"/>
  <c r="CF130" i="1"/>
  <c r="CM130" i="1" s="1"/>
  <c r="CD130" i="1"/>
  <c r="CF327" i="1"/>
  <c r="CM327" i="1" s="1"/>
  <c r="CE327" i="1"/>
  <c r="CD327" i="1"/>
  <c r="CF199" i="1"/>
  <c r="CM199" i="1" s="1"/>
  <c r="CD199" i="1"/>
  <c r="CE199" i="1"/>
  <c r="CE127" i="1"/>
  <c r="CD127" i="1"/>
  <c r="CF127" i="1"/>
  <c r="CM127" i="1" s="1"/>
  <c r="CF100" i="1"/>
  <c r="CM100" i="1" s="1"/>
  <c r="CE100" i="1"/>
  <c r="CD100" i="1"/>
  <c r="CE33" i="1"/>
  <c r="CF33" i="1"/>
  <c r="CM33" i="1" s="1"/>
  <c r="CD33" i="1"/>
  <c r="CD90" i="1"/>
  <c r="CF90" i="1"/>
  <c r="CM90" i="1" s="1"/>
  <c r="CE90" i="1"/>
  <c r="CF290" i="1"/>
  <c r="CM290" i="1" s="1"/>
  <c r="CD290" i="1"/>
  <c r="CE290" i="1"/>
  <c r="CF31" i="1"/>
  <c r="CM31" i="1" s="1"/>
  <c r="CE31" i="1"/>
  <c r="CD31" i="1"/>
  <c r="CF76" i="1"/>
  <c r="CM76" i="1" s="1"/>
  <c r="CE76" i="1"/>
  <c r="CD76" i="1"/>
  <c r="CF320" i="1"/>
  <c r="CM320" i="1" s="1"/>
  <c r="CE320" i="1"/>
  <c r="CD320" i="1"/>
  <c r="CD236" i="1"/>
  <c r="CF236" i="1"/>
  <c r="CM236" i="1" s="1"/>
  <c r="CE236" i="1"/>
  <c r="CE77" i="1"/>
  <c r="CD77" i="1"/>
  <c r="CF77" i="1"/>
  <c r="CM77" i="1" s="1"/>
  <c r="CE51" i="1"/>
  <c r="CF51" i="1"/>
  <c r="CM51" i="1" s="1"/>
  <c r="CD51" i="1"/>
  <c r="CF195" i="1"/>
  <c r="CM195" i="1" s="1"/>
  <c r="CE195" i="1"/>
  <c r="CD195" i="1"/>
  <c r="CD107" i="1"/>
  <c r="CE107" i="1"/>
  <c r="CF107" i="1"/>
  <c r="CM107" i="1" s="1"/>
  <c r="CF17" i="1"/>
  <c r="CM17" i="1" s="1"/>
  <c r="CD17" i="1"/>
  <c r="CE17" i="1"/>
  <c r="CD299" i="1"/>
  <c r="CF299" i="1"/>
  <c r="CM299" i="1" s="1"/>
  <c r="CE299" i="1"/>
  <c r="CF22" i="1"/>
  <c r="CM22" i="1" s="1"/>
  <c r="CE22" i="1"/>
  <c r="CD22" i="1"/>
  <c r="CE285" i="1"/>
  <c r="CF285" i="1"/>
  <c r="CM285" i="1" s="1"/>
  <c r="CD285" i="1"/>
  <c r="CD340" i="1"/>
  <c r="CF340" i="1"/>
  <c r="CM340" i="1" s="1"/>
  <c r="CE340" i="1"/>
  <c r="CD270" i="1"/>
  <c r="CF270" i="1"/>
  <c r="CM270" i="1" s="1"/>
  <c r="CE270" i="1"/>
  <c r="CF193" i="1"/>
  <c r="CM193" i="1" s="1"/>
  <c r="CE193" i="1"/>
  <c r="CD193" i="1"/>
  <c r="CE216" i="1"/>
  <c r="CF216" i="1"/>
  <c r="CM216" i="1" s="1"/>
  <c r="CD216" i="1"/>
  <c r="CE75" i="1"/>
  <c r="CF75" i="1"/>
  <c r="CM75" i="1" s="1"/>
  <c r="CD75" i="1"/>
  <c r="CE237" i="1"/>
  <c r="CF237" i="1"/>
  <c r="CM237" i="1" s="1"/>
  <c r="CD237" i="1"/>
  <c r="CF329" i="1"/>
  <c r="CM329" i="1" s="1"/>
  <c r="CE329" i="1"/>
  <c r="CD329" i="1"/>
  <c r="CD115" i="1"/>
  <c r="CF115" i="1"/>
  <c r="CM115" i="1" s="1"/>
  <c r="CE115" i="1"/>
  <c r="CD84" i="1"/>
  <c r="CF84" i="1"/>
  <c r="CM84" i="1" s="1"/>
  <c r="CE84" i="1"/>
  <c r="CF122" i="1"/>
  <c r="CM122" i="1" s="1"/>
  <c r="CE122" i="1"/>
  <c r="CD122" i="1"/>
  <c r="CD208" i="1"/>
  <c r="CF208" i="1"/>
  <c r="CM208" i="1" s="1"/>
  <c r="CE208" i="1"/>
  <c r="CF321" i="1"/>
  <c r="CM321" i="1" s="1"/>
  <c r="CE321" i="1"/>
  <c r="CD321" i="1"/>
  <c r="CE175" i="1"/>
  <c r="CF175" i="1"/>
  <c r="CM175" i="1" s="1"/>
  <c r="CD175" i="1"/>
  <c r="CF283" i="1"/>
  <c r="CM283" i="1" s="1"/>
  <c r="CD283" i="1"/>
  <c r="CE283" i="1"/>
  <c r="CD65" i="1"/>
  <c r="CF65" i="1"/>
  <c r="CM65" i="1" s="1"/>
  <c r="CE65" i="1"/>
  <c r="CD229" i="1"/>
  <c r="CF229" i="1"/>
  <c r="CM229" i="1" s="1"/>
  <c r="CE229" i="1"/>
  <c r="CF273" i="1"/>
  <c r="CM273" i="1" s="1"/>
  <c r="CE273" i="1"/>
  <c r="CD273" i="1"/>
  <c r="CE29" i="1"/>
  <c r="CD29" i="1"/>
  <c r="CF29" i="1"/>
  <c r="CM29" i="1" s="1"/>
  <c r="CF313" i="1"/>
  <c r="CM313" i="1" s="1"/>
  <c r="CE313" i="1"/>
  <c r="CD313" i="1"/>
  <c r="CD189" i="1"/>
  <c r="CE189" i="1"/>
  <c r="CF189" i="1"/>
  <c r="CM189" i="1" s="1"/>
  <c r="CF70" i="1"/>
  <c r="CM70" i="1" s="1"/>
  <c r="CE70" i="1"/>
  <c r="CD70" i="1"/>
  <c r="CD281" i="1"/>
  <c r="CE281" i="1"/>
  <c r="CF281" i="1"/>
  <c r="CM281" i="1" s="1"/>
  <c r="CF149" i="1"/>
  <c r="CM149" i="1" s="1"/>
  <c r="CE149" i="1"/>
  <c r="CD149" i="1"/>
  <c r="CD292" i="1"/>
  <c r="CE292" i="1"/>
  <c r="CF292" i="1"/>
  <c r="CM292" i="1" s="1"/>
  <c r="CF109" i="1"/>
  <c r="CM109" i="1" s="1"/>
  <c r="CE109" i="1"/>
  <c r="CD109" i="1"/>
  <c r="CE311" i="1"/>
  <c r="CF311" i="1"/>
  <c r="CM311" i="1" s="1"/>
  <c r="CD311" i="1"/>
  <c r="CE258" i="1"/>
  <c r="CD258" i="1"/>
  <c r="CF258" i="1"/>
  <c r="CM258" i="1" s="1"/>
  <c r="CF88" i="1"/>
  <c r="CM88" i="1" s="1"/>
  <c r="CE88" i="1"/>
  <c r="CD88" i="1"/>
  <c r="CE141" i="1"/>
  <c r="CF141" i="1"/>
  <c r="CM141" i="1" s="1"/>
  <c r="CD141" i="1"/>
  <c r="CF137" i="1"/>
  <c r="CM137" i="1" s="1"/>
  <c r="CE137" i="1"/>
  <c r="CD137" i="1"/>
  <c r="CF190" i="1"/>
  <c r="CM190" i="1" s="1"/>
  <c r="CE190" i="1"/>
  <c r="CD190" i="1"/>
  <c r="CE210" i="1"/>
  <c r="CF210" i="1"/>
  <c r="CM210" i="1" s="1"/>
  <c r="CD210" i="1"/>
  <c r="CE206" i="1"/>
  <c r="CD206" i="1"/>
  <c r="CF206" i="1"/>
  <c r="CM206" i="1" s="1"/>
  <c r="CE246" i="1"/>
  <c r="CF246" i="1"/>
  <c r="CM246" i="1" s="1"/>
  <c r="CD246" i="1"/>
  <c r="CF267" i="1"/>
  <c r="CM267" i="1" s="1"/>
  <c r="CE267" i="1"/>
  <c r="CD267" i="1"/>
  <c r="CF316" i="1"/>
  <c r="CM316" i="1" s="1"/>
  <c r="CD316" i="1"/>
  <c r="CE316" i="1"/>
  <c r="CE61" i="1"/>
  <c r="CD61" i="1"/>
  <c r="CF61" i="1"/>
  <c r="CM61" i="1" s="1"/>
  <c r="CF98" i="1"/>
  <c r="CM98" i="1" s="1"/>
  <c r="CE98" i="1"/>
  <c r="CD98" i="1"/>
  <c r="CF93" i="1"/>
  <c r="CM93" i="1" s="1"/>
  <c r="CE93" i="1"/>
  <c r="CD93" i="1"/>
  <c r="CF250" i="1"/>
  <c r="CM250" i="1" s="1"/>
  <c r="CE250" i="1"/>
  <c r="CD250" i="1"/>
  <c r="CF334" i="1"/>
  <c r="CM334" i="1" s="1"/>
  <c r="CD334" i="1"/>
  <c r="CE334" i="1"/>
  <c r="CD186" i="1"/>
  <c r="CF186" i="1"/>
  <c r="CM186" i="1" s="1"/>
  <c r="CE186" i="1"/>
  <c r="CE174" i="1"/>
  <c r="CD174" i="1"/>
  <c r="CF174" i="1"/>
  <c r="CM174" i="1" s="1"/>
  <c r="CE19" i="1"/>
  <c r="CF19" i="1"/>
  <c r="CM19" i="1" s="1"/>
  <c r="CD19" i="1"/>
  <c r="CD319" i="1"/>
  <c r="CF319" i="1"/>
  <c r="CM319" i="1" s="1"/>
  <c r="CE319" i="1"/>
  <c r="CD256" i="1"/>
  <c r="CF256" i="1"/>
  <c r="CM256" i="1" s="1"/>
  <c r="CE256" i="1"/>
  <c r="CD268" i="1"/>
  <c r="CE268" i="1"/>
  <c r="CF268" i="1"/>
  <c r="CM268" i="1" s="1"/>
  <c r="CF53" i="1"/>
  <c r="CM53" i="1" s="1"/>
  <c r="CE53" i="1"/>
  <c r="CD53" i="1"/>
  <c r="CE52" i="1"/>
  <c r="CF52" i="1"/>
  <c r="CM52" i="1" s="1"/>
  <c r="CD52" i="1"/>
  <c r="CE312" i="1"/>
  <c r="CF312" i="1"/>
  <c r="CM312" i="1" s="1"/>
  <c r="CD312" i="1"/>
  <c r="CD118" i="1"/>
  <c r="CF118" i="1"/>
  <c r="CM118" i="1" s="1"/>
  <c r="CE118" i="1"/>
  <c r="CE298" i="1"/>
  <c r="CD298" i="1"/>
  <c r="CF298" i="1"/>
  <c r="CM298" i="1" s="1"/>
  <c r="CD247" i="1"/>
  <c r="CE247" i="1"/>
  <c r="CF247" i="1"/>
  <c r="CM247" i="1" s="1"/>
  <c r="CD200" i="1"/>
  <c r="CF200" i="1"/>
  <c r="CM200" i="1" s="1"/>
  <c r="CE200" i="1"/>
  <c r="CD145" i="1"/>
  <c r="CE145" i="1"/>
  <c r="CF145" i="1"/>
  <c r="CM145" i="1" s="1"/>
  <c r="CE87" i="1"/>
  <c r="CD87" i="1"/>
  <c r="CF87" i="1"/>
  <c r="CM87" i="1" s="1"/>
  <c r="CE99" i="1"/>
  <c r="CD99" i="1"/>
  <c r="CF99" i="1"/>
  <c r="CM99" i="1" s="1"/>
  <c r="CF148" i="1"/>
  <c r="CM148" i="1" s="1"/>
  <c r="CE148" i="1"/>
  <c r="CD148" i="1"/>
  <c r="CD296" i="1"/>
  <c r="CE296" i="1"/>
  <c r="CF296" i="1"/>
  <c r="CM296" i="1" s="1"/>
  <c r="CF79" i="1"/>
  <c r="CM79" i="1" s="1"/>
  <c r="CD79" i="1"/>
  <c r="CE79" i="1"/>
  <c r="CF30" i="1"/>
  <c r="CM30" i="1" s="1"/>
  <c r="CE30" i="1"/>
  <c r="CD30" i="1"/>
  <c r="CF257" i="1"/>
  <c r="CM257" i="1" s="1"/>
  <c r="CD257" i="1"/>
  <c r="CE257" i="1"/>
  <c r="CE303" i="1"/>
  <c r="CD303" i="1"/>
  <c r="CF303" i="1"/>
  <c r="CM303" i="1" s="1"/>
  <c r="CE276" i="1"/>
  <c r="CF276" i="1"/>
  <c r="CM276" i="1" s="1"/>
  <c r="CD276" i="1"/>
  <c r="CF102" i="1"/>
  <c r="CM102" i="1" s="1"/>
  <c r="CE102" i="1"/>
  <c r="CD102" i="1"/>
  <c r="CD278" i="1"/>
  <c r="CE278" i="1"/>
  <c r="CF278" i="1"/>
  <c r="CM278" i="1" s="1"/>
  <c r="CF138" i="1"/>
  <c r="CM138" i="1" s="1"/>
  <c r="CE138" i="1"/>
  <c r="CD138" i="1"/>
  <c r="CF114" i="1"/>
  <c r="CM114" i="1" s="1"/>
  <c r="CE114" i="1"/>
  <c r="CD114" i="1"/>
  <c r="CE263" i="1"/>
  <c r="CD263" i="1"/>
  <c r="CF263" i="1"/>
  <c r="CM263" i="1" s="1"/>
  <c r="CD214" i="1"/>
  <c r="CF214" i="1"/>
  <c r="CM214" i="1" s="1"/>
  <c r="CE214" i="1"/>
  <c r="CE32" i="1"/>
  <c r="CD32" i="1"/>
  <c r="CF32" i="1"/>
  <c r="CM32" i="1" s="1"/>
  <c r="CD323" i="1"/>
  <c r="CF323" i="1"/>
  <c r="CM323" i="1" s="1"/>
  <c r="CE323" i="1"/>
  <c r="CF253" i="1"/>
  <c r="CM253" i="1" s="1"/>
  <c r="CE253" i="1"/>
  <c r="CD253" i="1"/>
  <c r="CF322" i="1"/>
  <c r="CM322" i="1" s="1"/>
  <c r="CE322" i="1"/>
  <c r="CD322" i="1"/>
  <c r="CF162" i="1"/>
  <c r="CM162" i="1" s="1"/>
  <c r="CE162" i="1"/>
  <c r="CD162" i="1"/>
  <c r="CE91" i="1"/>
  <c r="CD91" i="1"/>
  <c r="CF91" i="1"/>
  <c r="CM91" i="1" s="1"/>
  <c r="CF176" i="1"/>
  <c r="CM176" i="1" s="1"/>
  <c r="CD176" i="1"/>
  <c r="CE176" i="1"/>
  <c r="CE310" i="1"/>
  <c r="CD310" i="1"/>
  <c r="CF310" i="1"/>
  <c r="CM310" i="1" s="1"/>
  <c r="AC13" i="1"/>
  <c r="AC14" i="1" s="1"/>
  <c r="CE187" i="1"/>
  <c r="CD187" i="1"/>
  <c r="CF187" i="1"/>
  <c r="CM187" i="1" s="1"/>
  <c r="CF269" i="1"/>
  <c r="CM269" i="1" s="1"/>
  <c r="CD269" i="1"/>
  <c r="CE269" i="1"/>
  <c r="CD209" i="1"/>
  <c r="CF209" i="1"/>
  <c r="CM209" i="1" s="1"/>
  <c r="CE209" i="1"/>
  <c r="CE57" i="1"/>
  <c r="CD57" i="1"/>
  <c r="CF57" i="1"/>
  <c r="CM57" i="1" s="1"/>
  <c r="CD272" i="1"/>
  <c r="CE272" i="1"/>
  <c r="CF272" i="1"/>
  <c r="CM272" i="1" s="1"/>
  <c r="CF62" i="1"/>
  <c r="CM62" i="1" s="1"/>
  <c r="CE62" i="1"/>
  <c r="CD62" i="1"/>
  <c r="CE232" i="1"/>
  <c r="CD232" i="1"/>
  <c r="CF232" i="1"/>
  <c r="CM232" i="1" s="1"/>
  <c r="CF336" i="1"/>
  <c r="CM336" i="1" s="1"/>
  <c r="CE336" i="1"/>
  <c r="CD336" i="1"/>
  <c r="CD73" i="1"/>
  <c r="CF73" i="1"/>
  <c r="CM73" i="1" s="1"/>
  <c r="CE73" i="1"/>
  <c r="CF279" i="1"/>
  <c r="CM279" i="1" s="1"/>
  <c r="CD279" i="1"/>
  <c r="CE279" i="1"/>
  <c r="CF201" i="1"/>
  <c r="CM201" i="1" s="1"/>
  <c r="CE201" i="1"/>
  <c r="CD201" i="1"/>
  <c r="CE289" i="1"/>
  <c r="CD289" i="1"/>
  <c r="CF289" i="1"/>
  <c r="CM289" i="1" s="1"/>
  <c r="CD226" i="1"/>
  <c r="CF226" i="1"/>
  <c r="CM226" i="1" s="1"/>
  <c r="CE226" i="1"/>
  <c r="CE42" i="1"/>
  <c r="CF42" i="1"/>
  <c r="CM42" i="1" s="1"/>
  <c r="CD42" i="1"/>
  <c r="CF161" i="1"/>
  <c r="CM161" i="1" s="1"/>
  <c r="CE161" i="1"/>
  <c r="CD161" i="1"/>
  <c r="CE89" i="1"/>
  <c r="CF89" i="1"/>
  <c r="CM89" i="1" s="1"/>
  <c r="CD89" i="1"/>
  <c r="CE287" i="1"/>
  <c r="CD287" i="1"/>
  <c r="CF287" i="1"/>
  <c r="CM287" i="1" s="1"/>
  <c r="CF335" i="1"/>
  <c r="CM335" i="1" s="1"/>
  <c r="CE335" i="1"/>
  <c r="CD335" i="1"/>
  <c r="CD94" i="1"/>
  <c r="CF94" i="1"/>
  <c r="CM94" i="1" s="1"/>
  <c r="CE94" i="1"/>
  <c r="CE282" i="1"/>
  <c r="CF282" i="1"/>
  <c r="CM282" i="1" s="1"/>
  <c r="CD282" i="1"/>
  <c r="CE37" i="1"/>
  <c r="CF37" i="1"/>
  <c r="CM37" i="1" s="1"/>
  <c r="CD37" i="1"/>
  <c r="CF337" i="1"/>
  <c r="CM337" i="1" s="1"/>
  <c r="CE337" i="1"/>
  <c r="CD337" i="1"/>
  <c r="CD219" i="1"/>
  <c r="CE219" i="1"/>
  <c r="CF219" i="1"/>
  <c r="CM219" i="1" s="1"/>
  <c r="CF169" i="1"/>
  <c r="CM169" i="1" s="1"/>
  <c r="CD169" i="1"/>
  <c r="CE169" i="1"/>
  <c r="CF244" i="1"/>
  <c r="CM244" i="1" s="1"/>
  <c r="CD244" i="1"/>
  <c r="CE244" i="1"/>
  <c r="CE332" i="1"/>
  <c r="CD332" i="1"/>
  <c r="CF332" i="1"/>
  <c r="CM332" i="1" s="1"/>
  <c r="CE167" i="1"/>
  <c r="CD167" i="1"/>
  <c r="CF167" i="1"/>
  <c r="CM167" i="1" s="1"/>
  <c r="CF158" i="1"/>
  <c r="CM158" i="1" s="1"/>
  <c r="CE158" i="1"/>
  <c r="CD158" i="1"/>
  <c r="CD196" i="1"/>
  <c r="CF196" i="1"/>
  <c r="CM196" i="1" s="1"/>
  <c r="CE196" i="1"/>
  <c r="CD288" i="1"/>
  <c r="CF288" i="1"/>
  <c r="CM288" i="1" s="1"/>
  <c r="CE288" i="1"/>
  <c r="CF120" i="1"/>
  <c r="CM120" i="1" s="1"/>
  <c r="CE120" i="1"/>
  <c r="CD120" i="1"/>
  <c r="CD227" i="1"/>
  <c r="CF227" i="1"/>
  <c r="CM227" i="1" s="1"/>
  <c r="CE227" i="1"/>
  <c r="CE275" i="1"/>
  <c r="CD275" i="1"/>
  <c r="CF275" i="1"/>
  <c r="CM275" i="1" s="1"/>
  <c r="CD86" i="1"/>
  <c r="CF86" i="1"/>
  <c r="CM86" i="1" s="1"/>
  <c r="CE86" i="1"/>
  <c r="CE234" i="1"/>
  <c r="CF234" i="1"/>
  <c r="CM234" i="1" s="1"/>
  <c r="CD234" i="1"/>
  <c r="CF181" i="1"/>
  <c r="CM181" i="1" s="1"/>
  <c r="CD181" i="1"/>
  <c r="CE181" i="1"/>
  <c r="CD160" i="1"/>
  <c r="CE160" i="1"/>
  <c r="CF160" i="1"/>
  <c r="CM160" i="1" s="1"/>
  <c r="CD43" i="1"/>
  <c r="CE43" i="1"/>
  <c r="CF43" i="1"/>
  <c r="CM43" i="1" s="1"/>
  <c r="CE124" i="1"/>
  <c r="CD124" i="1"/>
  <c r="CF124" i="1"/>
  <c r="CM124" i="1" s="1"/>
  <c r="CF117" i="1"/>
  <c r="CM117" i="1" s="1"/>
  <c r="CE117" i="1"/>
  <c r="CD117" i="1"/>
  <c r="CF58" i="1"/>
  <c r="CM58" i="1" s="1"/>
  <c r="CE58" i="1"/>
  <c r="CD58" i="1"/>
  <c r="CD49" i="1"/>
  <c r="CF49" i="1"/>
  <c r="CM49" i="1" s="1"/>
  <c r="CE49" i="1"/>
  <c r="CF223" i="1"/>
  <c r="CM223" i="1" s="1"/>
  <c r="CE223" i="1"/>
  <c r="CD223" i="1"/>
  <c r="CF66" i="1"/>
  <c r="CM66" i="1" s="1"/>
  <c r="CE66" i="1"/>
  <c r="CD66" i="1"/>
  <c r="CE248" i="1"/>
  <c r="CF248" i="1"/>
  <c r="CM248" i="1" s="1"/>
  <c r="CD248" i="1"/>
  <c r="CE155" i="1"/>
  <c r="CD155" i="1"/>
  <c r="CF155" i="1"/>
  <c r="CM155" i="1" s="1"/>
  <c r="CF71" i="1"/>
  <c r="CM71" i="1" s="1"/>
  <c r="CE71" i="1"/>
  <c r="CD71" i="1"/>
  <c r="CD59" i="1"/>
  <c r="CF59" i="1"/>
  <c r="CM59" i="1" s="1"/>
  <c r="CE59" i="1"/>
  <c r="CD230" i="1"/>
  <c r="CF230" i="1"/>
  <c r="CM230" i="1" s="1"/>
  <c r="CE230" i="1"/>
  <c r="CF151" i="1"/>
  <c r="CM151" i="1" s="1"/>
  <c r="CE151" i="1"/>
  <c r="CD151" i="1"/>
  <c r="CF265" i="1"/>
  <c r="CM265" i="1" s="1"/>
  <c r="CE265" i="1"/>
  <c r="CD265" i="1"/>
  <c r="CD157" i="1"/>
  <c r="CE157" i="1"/>
  <c r="CF157" i="1"/>
  <c r="CM157" i="1" s="1"/>
  <c r="CF301" i="1"/>
  <c r="CM301" i="1" s="1"/>
  <c r="CD301" i="1"/>
  <c r="CE301" i="1"/>
  <c r="CF306" i="1"/>
  <c r="CM306" i="1" s="1"/>
  <c r="CE306" i="1"/>
  <c r="CD306" i="1"/>
  <c r="CE78" i="1"/>
  <c r="CF78" i="1"/>
  <c r="CM78" i="1" s="1"/>
  <c r="CD78" i="1"/>
  <c r="CF264" i="1"/>
  <c r="CM264" i="1" s="1"/>
  <c r="CE264" i="1"/>
  <c r="CD264" i="1"/>
  <c r="CD218" i="1"/>
  <c r="CF218" i="1"/>
  <c r="CM218" i="1" s="1"/>
  <c r="CE218" i="1"/>
  <c r="CF342" i="1"/>
  <c r="CM342" i="1" s="1"/>
  <c r="CE342" i="1"/>
  <c r="CD342" i="1"/>
  <c r="CD255" i="1"/>
  <c r="CE255" i="1"/>
  <c r="CF255" i="1"/>
  <c r="CM255" i="1" s="1"/>
  <c r="CF140" i="1"/>
  <c r="CM140" i="1" s="1"/>
  <c r="CE140" i="1"/>
  <c r="CD140" i="1"/>
  <c r="CE274" i="1"/>
  <c r="CF274" i="1"/>
  <c r="CM274" i="1" s="1"/>
  <c r="CD274" i="1"/>
  <c r="CF314" i="1"/>
  <c r="CM314" i="1" s="1"/>
  <c r="CE314" i="1"/>
  <c r="CD314" i="1"/>
  <c r="CF104" i="1"/>
  <c r="CM104" i="1" s="1"/>
  <c r="CE104" i="1"/>
  <c r="CD104" i="1"/>
  <c r="CF284" i="1"/>
  <c r="CM284" i="1" s="1"/>
  <c r="CE284" i="1"/>
  <c r="CD284" i="1"/>
  <c r="CF191" i="1"/>
  <c r="CM191" i="1" s="1"/>
  <c r="CD191" i="1"/>
  <c r="CE191" i="1"/>
  <c r="CE111" i="1"/>
  <c r="CD111" i="1"/>
  <c r="CF111" i="1"/>
  <c r="CM111" i="1" s="1"/>
  <c r="CD324" i="1"/>
  <c r="CF324" i="1"/>
  <c r="CM324" i="1" s="1"/>
  <c r="CE324" i="1"/>
  <c r="CE271" i="1"/>
  <c r="CF271" i="1"/>
  <c r="CM271" i="1" s="1"/>
  <c r="CD271" i="1"/>
  <c r="CF317" i="1"/>
  <c r="CM317" i="1" s="1"/>
  <c r="CD317" i="1"/>
  <c r="CE317" i="1"/>
  <c r="CD80" i="1"/>
  <c r="CE80" i="1"/>
  <c r="CF80" i="1"/>
  <c r="CM80" i="1" s="1"/>
  <c r="CD64" i="1"/>
  <c r="CE64" i="1"/>
  <c r="CF64" i="1"/>
  <c r="CM64" i="1" s="1"/>
  <c r="CE205" i="1"/>
  <c r="CF205" i="1"/>
  <c r="CM205" i="1" s="1"/>
  <c r="CD205" i="1"/>
  <c r="CF239" i="1"/>
  <c r="CM239" i="1" s="1"/>
  <c r="CE239" i="1"/>
  <c r="CD239" i="1"/>
  <c r="CD177" i="1"/>
  <c r="CE177" i="1"/>
  <c r="CF177" i="1"/>
  <c r="CM177" i="1" s="1"/>
  <c r="CD150" i="1"/>
  <c r="CF150" i="1"/>
  <c r="CM150" i="1" s="1"/>
  <c r="CE150" i="1"/>
  <c r="CF233" i="1"/>
  <c r="CM233" i="1" s="1"/>
  <c r="CD233" i="1"/>
  <c r="CE233" i="1"/>
  <c r="CD20" i="1"/>
  <c r="CF20" i="1"/>
  <c r="CM20" i="1" s="1"/>
  <c r="CE20" i="1"/>
  <c r="CD146" i="1"/>
  <c r="CE146" i="1"/>
  <c r="CF146" i="1"/>
  <c r="CM146" i="1" s="1"/>
  <c r="CF165" i="1"/>
  <c r="CM165" i="1" s="1"/>
  <c r="CE165" i="1"/>
  <c r="CD165" i="1"/>
  <c r="CE60" i="1"/>
  <c r="CF60" i="1"/>
  <c r="CM60" i="1" s="1"/>
  <c r="CD60" i="1"/>
  <c r="CD213" i="1"/>
  <c r="CF213" i="1"/>
  <c r="CM213" i="1" s="1"/>
  <c r="CE213" i="1"/>
  <c r="CF221" i="1"/>
  <c r="CM221" i="1" s="1"/>
  <c r="CD221" i="1"/>
  <c r="CE221" i="1"/>
  <c r="CE41" i="1"/>
  <c r="CF41" i="1"/>
  <c r="CM41" i="1" s="1"/>
  <c r="CD41" i="1"/>
  <c r="CE67" i="1"/>
  <c r="CD67" i="1"/>
  <c r="CF67" i="1"/>
  <c r="CM67" i="1" s="1"/>
  <c r="CF27" i="1"/>
  <c r="CM27" i="1" s="1"/>
  <c r="CE27" i="1"/>
  <c r="CD27" i="1"/>
  <c r="CE231" i="1"/>
  <c r="CF231" i="1"/>
  <c r="CM231" i="1" s="1"/>
  <c r="CD231" i="1"/>
  <c r="CF119" i="1"/>
  <c r="CM119" i="1" s="1"/>
  <c r="CD119" i="1"/>
  <c r="CE119" i="1"/>
  <c r="CE153" i="1"/>
  <c r="CF153" i="1"/>
  <c r="CM153" i="1" s="1"/>
  <c r="CD153" i="1"/>
  <c r="CF144" i="1"/>
  <c r="CM144" i="1" s="1"/>
  <c r="CE144" i="1"/>
  <c r="CD144" i="1"/>
  <c r="CF297" i="1"/>
  <c r="CM297" i="1" s="1"/>
  <c r="CD297" i="1"/>
  <c r="CE297" i="1"/>
  <c r="CE188" i="1"/>
  <c r="CF188" i="1"/>
  <c r="CM188" i="1" s="1"/>
  <c r="CD188" i="1"/>
  <c r="CE192" i="1"/>
  <c r="CD192" i="1"/>
  <c r="CF192" i="1"/>
  <c r="CM192" i="1" s="1"/>
  <c r="CE302" i="1"/>
  <c r="CD302" i="1"/>
  <c r="CF302" i="1"/>
  <c r="CM302" i="1" s="1"/>
  <c r="CF133" i="1"/>
  <c r="CM133" i="1" s="1"/>
  <c r="CE133" i="1"/>
  <c r="CD133" i="1"/>
  <c r="CD83" i="1"/>
  <c r="CF83" i="1"/>
  <c r="CM83" i="1" s="1"/>
  <c r="CE83" i="1"/>
  <c r="CE135" i="1"/>
  <c r="CD135" i="1"/>
  <c r="CF135" i="1"/>
  <c r="CM135" i="1" s="1"/>
  <c r="CD28" i="1"/>
  <c r="CF28" i="1"/>
  <c r="CM28" i="1" s="1"/>
  <c r="CE28" i="1"/>
  <c r="CF108" i="1"/>
  <c r="CM108" i="1" s="1"/>
  <c r="CE108" i="1"/>
  <c r="CD108" i="1"/>
  <c r="CD159" i="1"/>
  <c r="CF159" i="1"/>
  <c r="CM159" i="1" s="1"/>
  <c r="CE159" i="1"/>
  <c r="CF25" i="1"/>
  <c r="CM25" i="1" s="1"/>
  <c r="CE25" i="1"/>
  <c r="CD25" i="1"/>
  <c r="CD295" i="1"/>
  <c r="CF295" i="1"/>
  <c r="CM295" i="1" s="1"/>
  <c r="CE295" i="1"/>
  <c r="CE326" i="1"/>
  <c r="CD326" i="1"/>
  <c r="CF326" i="1"/>
  <c r="CM326" i="1" s="1"/>
  <c r="CF143" i="1"/>
  <c r="CM143" i="1" s="1"/>
  <c r="CE143" i="1"/>
  <c r="CD143" i="1"/>
  <c r="CF132" i="1"/>
  <c r="CM132" i="1" s="1"/>
  <c r="CE132" i="1"/>
  <c r="CD132" i="1"/>
  <c r="EG12" i="1"/>
  <c r="EG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O6" i="7"/>
  <c r="B6" i="7"/>
  <c r="BB105" i="1" l="1"/>
  <c r="BB328" i="1" s="1"/>
  <c r="DM328" i="1" s="1"/>
  <c r="AG14" i="1"/>
  <c r="CE14" i="1"/>
  <c r="AC15" i="1"/>
  <c r="EG14" i="1"/>
  <c r="EG15" i="1" s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AM287" i="1" l="1"/>
  <c r="AN287" i="1" s="1"/>
  <c r="BD287" i="1" s="1"/>
  <c r="AM275" i="1"/>
  <c r="AN275" i="1" s="1"/>
  <c r="BD275" i="1" s="1"/>
  <c r="AM271" i="1"/>
  <c r="AN271" i="1" s="1"/>
  <c r="BD271" i="1" s="1"/>
  <c r="AM40" i="1"/>
  <c r="AN40" i="1" s="1"/>
  <c r="BD40" i="1" s="1"/>
  <c r="AM166" i="1"/>
  <c r="AN166" i="1" s="1"/>
  <c r="BD166" i="1" s="1"/>
  <c r="AM172" i="1"/>
  <c r="AN172" i="1" s="1"/>
  <c r="BD172" i="1" s="1"/>
  <c r="AM99" i="1"/>
  <c r="AN99" i="1" s="1"/>
  <c r="BD99" i="1" s="1"/>
  <c r="AM116" i="1"/>
  <c r="AN116" i="1" s="1"/>
  <c r="BD116" i="1" s="1"/>
  <c r="AM83" i="1"/>
  <c r="AN83" i="1" s="1"/>
  <c r="BD83" i="1" s="1"/>
  <c r="AM119" i="1"/>
  <c r="AN119" i="1" s="1"/>
  <c r="BD119" i="1" s="1"/>
  <c r="AM215" i="1"/>
  <c r="AN215" i="1" s="1"/>
  <c r="BD215" i="1" s="1"/>
  <c r="AM244" i="1"/>
  <c r="AN244" i="1" s="1"/>
  <c r="BD244" i="1" s="1"/>
  <c r="AM19" i="1"/>
  <c r="AN19" i="1" s="1"/>
  <c r="BD19" i="1" s="1"/>
  <c r="AM124" i="1"/>
  <c r="AN124" i="1" s="1"/>
  <c r="BD124" i="1" s="1"/>
  <c r="AM288" i="1"/>
  <c r="AN288" i="1" s="1"/>
  <c r="BD288" i="1" s="1"/>
  <c r="AM293" i="1"/>
  <c r="AN293" i="1" s="1"/>
  <c r="BD293" i="1" s="1"/>
  <c r="AM324" i="1"/>
  <c r="AN324" i="1" s="1"/>
  <c r="BD324" i="1" s="1"/>
  <c r="AM285" i="1"/>
  <c r="AN285" i="1" s="1"/>
  <c r="BD285" i="1" s="1"/>
  <c r="AM227" i="1"/>
  <c r="AN227" i="1" s="1"/>
  <c r="BD227" i="1" s="1"/>
  <c r="AM313" i="1"/>
  <c r="AN313" i="1" s="1"/>
  <c r="BD313" i="1" s="1"/>
  <c r="AM290" i="1"/>
  <c r="AN290" i="1" s="1"/>
  <c r="BD290" i="1" s="1"/>
  <c r="AM114" i="1"/>
  <c r="AN114" i="1" s="1"/>
  <c r="BD114" i="1" s="1"/>
  <c r="AM327" i="1"/>
  <c r="AN327" i="1" s="1"/>
  <c r="BD327" i="1" s="1"/>
  <c r="AM194" i="1"/>
  <c r="AN194" i="1" s="1"/>
  <c r="BD194" i="1" s="1"/>
  <c r="AM189" i="1"/>
  <c r="AN189" i="1" s="1"/>
  <c r="BD189" i="1" s="1"/>
  <c r="AM139" i="1"/>
  <c r="AN139" i="1" s="1"/>
  <c r="BD139" i="1" s="1"/>
  <c r="AM88" i="1"/>
  <c r="AN88" i="1" s="1"/>
  <c r="BD88" i="1" s="1"/>
  <c r="AM177" i="1"/>
  <c r="AN177" i="1" s="1"/>
  <c r="BD177" i="1" s="1"/>
  <c r="AM239" i="1"/>
  <c r="AN239" i="1" s="1"/>
  <c r="BD239" i="1" s="1"/>
  <c r="AM141" i="1"/>
  <c r="AN141" i="1" s="1"/>
  <c r="BD141" i="1" s="1"/>
  <c r="AM75" i="1"/>
  <c r="AN75" i="1" s="1"/>
  <c r="BD75" i="1" s="1"/>
  <c r="AM76" i="1"/>
  <c r="AN76" i="1" s="1"/>
  <c r="BD76" i="1" s="1"/>
  <c r="AM18" i="1"/>
  <c r="AN18" i="1" s="1"/>
  <c r="BD18" i="1" s="1"/>
  <c r="AM110" i="1"/>
  <c r="AN110" i="1" s="1"/>
  <c r="BD110" i="1" s="1"/>
  <c r="AM163" i="1"/>
  <c r="AN163" i="1" s="1"/>
  <c r="BD163" i="1" s="1"/>
  <c r="AM50" i="1"/>
  <c r="AN50" i="1" s="1"/>
  <c r="BD50" i="1" s="1"/>
  <c r="AM326" i="1"/>
  <c r="AN326" i="1" s="1"/>
  <c r="BD326" i="1" s="1"/>
  <c r="AM209" i="1"/>
  <c r="AN209" i="1" s="1"/>
  <c r="BD209" i="1" s="1"/>
  <c r="AM157" i="1"/>
  <c r="AN157" i="1" s="1"/>
  <c r="BD157" i="1" s="1"/>
  <c r="AM211" i="1"/>
  <c r="AN211" i="1" s="1"/>
  <c r="BD211" i="1" s="1"/>
  <c r="AM258" i="1"/>
  <c r="AN258" i="1" s="1"/>
  <c r="BD258" i="1" s="1"/>
  <c r="AM57" i="1"/>
  <c r="AN57" i="1" s="1"/>
  <c r="BD57" i="1" s="1"/>
  <c r="AM129" i="1"/>
  <c r="AN129" i="1" s="1"/>
  <c r="BD129" i="1" s="1"/>
  <c r="AM210" i="1"/>
  <c r="AN210" i="1" s="1"/>
  <c r="BD210" i="1" s="1"/>
  <c r="AM117" i="1"/>
  <c r="AN117" i="1" s="1"/>
  <c r="BD117" i="1" s="1"/>
  <c r="AM77" i="1"/>
  <c r="AN77" i="1" s="1"/>
  <c r="BD77" i="1" s="1"/>
  <c r="AM135" i="1"/>
  <c r="AN135" i="1" s="1"/>
  <c r="BD135" i="1" s="1"/>
  <c r="AM137" i="1"/>
  <c r="AN137" i="1" s="1"/>
  <c r="BD137" i="1" s="1"/>
  <c r="AM249" i="1"/>
  <c r="AN249" i="1" s="1"/>
  <c r="BD249" i="1" s="1"/>
  <c r="AM332" i="1"/>
  <c r="AN332" i="1" s="1"/>
  <c r="BD332" i="1" s="1"/>
  <c r="AM302" i="1"/>
  <c r="AN302" i="1" s="1"/>
  <c r="BD302" i="1" s="1"/>
  <c r="AM86" i="1"/>
  <c r="AN86" i="1" s="1"/>
  <c r="BD86" i="1" s="1"/>
  <c r="AM131" i="1"/>
  <c r="AN131" i="1" s="1"/>
  <c r="BD131" i="1" s="1"/>
  <c r="AM257" i="1"/>
  <c r="AN257" i="1" s="1"/>
  <c r="BD257" i="1" s="1"/>
  <c r="AM159" i="1"/>
  <c r="AN159" i="1" s="1"/>
  <c r="BD159" i="1" s="1"/>
  <c r="AM341" i="1"/>
  <c r="AN341" i="1" s="1"/>
  <c r="BD341" i="1" s="1"/>
  <c r="AM165" i="1"/>
  <c r="AN165" i="1" s="1"/>
  <c r="BD165" i="1" s="1"/>
  <c r="AM250" i="1"/>
  <c r="AN250" i="1" s="1"/>
  <c r="BD250" i="1" s="1"/>
  <c r="AM132" i="1"/>
  <c r="AN132" i="1" s="1"/>
  <c r="BD132" i="1" s="1"/>
  <c r="AM90" i="1"/>
  <c r="AN90" i="1" s="1"/>
  <c r="BD90" i="1" s="1"/>
  <c r="AM276" i="1"/>
  <c r="AN276" i="1" s="1"/>
  <c r="BD276" i="1" s="1"/>
  <c r="AM20" i="1"/>
  <c r="AM84" i="1"/>
  <c r="AN84" i="1" s="1"/>
  <c r="BD84" i="1" s="1"/>
  <c r="AM248" i="1"/>
  <c r="AN248" i="1" s="1"/>
  <c r="BD248" i="1" s="1"/>
  <c r="AM55" i="1"/>
  <c r="AN55" i="1" s="1"/>
  <c r="BD55" i="1" s="1"/>
  <c r="AM61" i="1"/>
  <c r="AN61" i="1" s="1"/>
  <c r="BD61" i="1" s="1"/>
  <c r="AM264" i="1"/>
  <c r="AN264" i="1" s="1"/>
  <c r="BD264" i="1" s="1"/>
  <c r="AM218" i="1"/>
  <c r="AN218" i="1" s="1"/>
  <c r="BD218" i="1" s="1"/>
  <c r="AM107" i="1"/>
  <c r="AN107" i="1" s="1"/>
  <c r="BD107" i="1" s="1"/>
  <c r="AM193" i="1"/>
  <c r="AN193" i="1" s="1"/>
  <c r="BD193" i="1" s="1"/>
  <c r="AM25" i="1"/>
  <c r="AN25" i="1" s="1"/>
  <c r="BD25" i="1" s="1"/>
  <c r="AM184" i="1"/>
  <c r="AN184" i="1" s="1"/>
  <c r="BD184" i="1" s="1"/>
  <c r="AM112" i="1"/>
  <c r="AN112" i="1" s="1"/>
  <c r="BD112" i="1" s="1"/>
  <c r="AM196" i="1"/>
  <c r="AN196" i="1" s="1"/>
  <c r="BD196" i="1" s="1"/>
  <c r="AM311" i="1"/>
  <c r="AN311" i="1" s="1"/>
  <c r="BD311" i="1" s="1"/>
  <c r="AM127" i="1"/>
  <c r="AN127" i="1" s="1"/>
  <c r="BD127" i="1" s="1"/>
  <c r="AM152" i="1"/>
  <c r="AN152" i="1" s="1"/>
  <c r="BD152" i="1" s="1"/>
  <c r="AM147" i="1"/>
  <c r="AN147" i="1" s="1"/>
  <c r="BD147" i="1" s="1"/>
  <c r="AM125" i="1"/>
  <c r="AN125" i="1" s="1"/>
  <c r="BD125" i="1" s="1"/>
  <c r="AM200" i="1"/>
  <c r="AN200" i="1" s="1"/>
  <c r="BD200" i="1" s="1"/>
  <c r="AM100" i="1"/>
  <c r="AN100" i="1" s="1"/>
  <c r="BD100" i="1" s="1"/>
  <c r="AM24" i="1"/>
  <c r="AN24" i="1" s="1"/>
  <c r="BD24" i="1" s="1"/>
  <c r="AM187" i="1"/>
  <c r="AN187" i="1" s="1"/>
  <c r="BD187" i="1" s="1"/>
  <c r="AM190" i="1"/>
  <c r="AN190" i="1" s="1"/>
  <c r="BD190" i="1" s="1"/>
  <c r="AM181" i="1"/>
  <c r="AN181" i="1" s="1"/>
  <c r="BD181" i="1" s="1"/>
  <c r="AM234" i="1"/>
  <c r="AN234" i="1" s="1"/>
  <c r="BD234" i="1" s="1"/>
  <c r="AM320" i="1"/>
  <c r="AN320" i="1" s="1"/>
  <c r="BD320" i="1" s="1"/>
  <c r="AM314" i="1"/>
  <c r="AN314" i="1" s="1"/>
  <c r="BD314" i="1" s="1"/>
  <c r="AM213" i="1"/>
  <c r="AN213" i="1" s="1"/>
  <c r="BD213" i="1" s="1"/>
  <c r="AM201" i="1"/>
  <c r="AN201" i="1" s="1"/>
  <c r="BD201" i="1" s="1"/>
  <c r="AM286" i="1"/>
  <c r="AN286" i="1" s="1"/>
  <c r="BD286" i="1" s="1"/>
  <c r="AM240" i="1"/>
  <c r="AN240" i="1" s="1"/>
  <c r="BD240" i="1" s="1"/>
  <c r="AM149" i="1"/>
  <c r="AN149" i="1" s="1"/>
  <c r="BD149" i="1" s="1"/>
  <c r="AM272" i="1"/>
  <c r="AN272" i="1" s="1"/>
  <c r="BD272" i="1" s="1"/>
  <c r="AM281" i="1"/>
  <c r="AN281" i="1" s="1"/>
  <c r="BD281" i="1" s="1"/>
  <c r="AM38" i="1"/>
  <c r="AN38" i="1" s="1"/>
  <c r="BD38" i="1" s="1"/>
  <c r="AM174" i="1"/>
  <c r="AN174" i="1" s="1"/>
  <c r="BD174" i="1" s="1"/>
  <c r="AM167" i="1"/>
  <c r="AN167" i="1" s="1"/>
  <c r="BD167" i="1" s="1"/>
  <c r="AM301" i="1"/>
  <c r="AN301" i="1" s="1"/>
  <c r="BD301" i="1" s="1"/>
  <c r="AM230" i="1"/>
  <c r="AN230" i="1" s="1"/>
  <c r="BD230" i="1" s="1"/>
  <c r="AM31" i="1"/>
  <c r="AN31" i="1" s="1"/>
  <c r="BD31" i="1" s="1"/>
  <c r="AM223" i="1"/>
  <c r="AN223" i="1" s="1"/>
  <c r="BD223" i="1" s="1"/>
  <c r="AM48" i="1"/>
  <c r="AN48" i="1" s="1"/>
  <c r="BD48" i="1" s="1"/>
  <c r="AM328" i="1"/>
  <c r="AN328" i="1" s="1"/>
  <c r="BD328" i="1" s="1"/>
  <c r="AM235" i="1"/>
  <c r="AN235" i="1" s="1"/>
  <c r="BD235" i="1" s="1"/>
  <c r="AM342" i="1"/>
  <c r="AN342" i="1" s="1"/>
  <c r="BD342" i="1" s="1"/>
  <c r="AM32" i="1"/>
  <c r="AN32" i="1" s="1"/>
  <c r="BD32" i="1" s="1"/>
  <c r="AM255" i="1"/>
  <c r="AN255" i="1" s="1"/>
  <c r="BD255" i="1" s="1"/>
  <c r="AM214" i="1"/>
  <c r="AN214" i="1" s="1"/>
  <c r="BD214" i="1" s="1"/>
  <c r="AM185" i="1"/>
  <c r="AN185" i="1" s="1"/>
  <c r="BD185" i="1" s="1"/>
  <c r="AM279" i="1"/>
  <c r="AN279" i="1" s="1"/>
  <c r="BD279" i="1" s="1"/>
  <c r="AM336" i="1"/>
  <c r="AN336" i="1" s="1"/>
  <c r="BD336" i="1" s="1"/>
  <c r="AM321" i="1"/>
  <c r="AN321" i="1" s="1"/>
  <c r="BD321" i="1" s="1"/>
  <c r="AM305" i="1"/>
  <c r="AN305" i="1" s="1"/>
  <c r="BD305" i="1" s="1"/>
  <c r="AM115" i="1"/>
  <c r="AN115" i="1" s="1"/>
  <c r="BD115" i="1" s="1"/>
  <c r="AM160" i="1"/>
  <c r="AN160" i="1" s="1"/>
  <c r="BD160" i="1" s="1"/>
  <c r="AM43" i="1"/>
  <c r="AN43" i="1" s="1"/>
  <c r="BD43" i="1" s="1"/>
  <c r="AM98" i="1"/>
  <c r="AN98" i="1" s="1"/>
  <c r="BD98" i="1" s="1"/>
  <c r="AM145" i="1"/>
  <c r="AN145" i="1" s="1"/>
  <c r="BD145" i="1" s="1"/>
  <c r="AM122" i="1"/>
  <c r="AN122" i="1" s="1"/>
  <c r="BD122" i="1" s="1"/>
  <c r="AM291" i="1"/>
  <c r="AN291" i="1" s="1"/>
  <c r="BD291" i="1" s="1"/>
  <c r="AM246" i="1"/>
  <c r="AN246" i="1" s="1"/>
  <c r="BD246" i="1" s="1"/>
  <c r="AM229" i="1"/>
  <c r="AN229" i="1" s="1"/>
  <c r="BD229" i="1" s="1"/>
  <c r="AM142" i="1"/>
  <c r="AN142" i="1" s="1"/>
  <c r="BD142" i="1" s="1"/>
  <c r="AM41" i="1"/>
  <c r="AN41" i="1" s="1"/>
  <c r="BD41" i="1" s="1"/>
  <c r="AM97" i="1"/>
  <c r="AN97" i="1" s="1"/>
  <c r="BD97" i="1" s="1"/>
  <c r="AM228" i="1"/>
  <c r="AN228" i="1" s="1"/>
  <c r="BD228" i="1" s="1"/>
  <c r="AM270" i="1"/>
  <c r="AN270" i="1" s="1"/>
  <c r="BD270" i="1" s="1"/>
  <c r="AM146" i="1"/>
  <c r="AN146" i="1" s="1"/>
  <c r="BD146" i="1" s="1"/>
  <c r="AM89" i="1"/>
  <c r="AN89" i="1" s="1"/>
  <c r="BD89" i="1" s="1"/>
  <c r="AM72" i="1"/>
  <c r="AN72" i="1" s="1"/>
  <c r="BD72" i="1" s="1"/>
  <c r="AM199" i="1"/>
  <c r="AN199" i="1" s="1"/>
  <c r="BD199" i="1" s="1"/>
  <c r="AM148" i="1"/>
  <c r="AN148" i="1" s="1"/>
  <c r="BD148" i="1" s="1"/>
  <c r="AM103" i="1"/>
  <c r="AN103" i="1" s="1"/>
  <c r="BD103" i="1" s="1"/>
  <c r="AM14" i="1"/>
  <c r="AN14" i="1" s="1"/>
  <c r="BD14" i="1" s="1"/>
  <c r="AM340" i="1"/>
  <c r="AN340" i="1" s="1"/>
  <c r="BD340" i="1" s="1"/>
  <c r="AM221" i="1"/>
  <c r="AN221" i="1" s="1"/>
  <c r="BD221" i="1" s="1"/>
  <c r="AM27" i="1"/>
  <c r="AN27" i="1" s="1"/>
  <c r="BD27" i="1" s="1"/>
  <c r="AM105" i="1"/>
  <c r="AN105" i="1" s="1"/>
  <c r="AM325" i="1"/>
  <c r="AN325" i="1" s="1"/>
  <c r="BD325" i="1" s="1"/>
  <c r="AM242" i="1"/>
  <c r="AN242" i="1" s="1"/>
  <c r="BD242" i="1" s="1"/>
  <c r="AM204" i="1"/>
  <c r="AN204" i="1" s="1"/>
  <c r="BD204" i="1" s="1"/>
  <c r="AM109" i="1"/>
  <c r="AN109" i="1" s="1"/>
  <c r="BD109" i="1" s="1"/>
  <c r="AM70" i="1"/>
  <c r="AN70" i="1" s="1"/>
  <c r="BD70" i="1" s="1"/>
  <c r="AM151" i="1"/>
  <c r="AN151" i="1" s="1"/>
  <c r="BD151" i="1" s="1"/>
  <c r="AM318" i="1"/>
  <c r="AN318" i="1" s="1"/>
  <c r="BD318" i="1" s="1"/>
  <c r="AM133" i="1"/>
  <c r="AN133" i="1" s="1"/>
  <c r="BD133" i="1" s="1"/>
  <c r="AM203" i="1"/>
  <c r="AN203" i="1" s="1"/>
  <c r="AM247" i="1"/>
  <c r="AN247" i="1" s="1"/>
  <c r="BD247" i="1" s="1"/>
  <c r="AM186" i="1"/>
  <c r="AN186" i="1" s="1"/>
  <c r="BD186" i="1" s="1"/>
  <c r="AM155" i="1"/>
  <c r="AN155" i="1" s="1"/>
  <c r="BD155" i="1" s="1"/>
  <c r="AM282" i="1"/>
  <c r="AN282" i="1" s="1"/>
  <c r="BD282" i="1" s="1"/>
  <c r="AM144" i="1"/>
  <c r="AN144" i="1" s="1"/>
  <c r="BD144" i="1" s="1"/>
  <c r="AM82" i="1"/>
  <c r="AN82" i="1" s="1"/>
  <c r="BD82" i="1" s="1"/>
  <c r="AM216" i="1"/>
  <c r="AN216" i="1" s="1"/>
  <c r="BD216" i="1" s="1"/>
  <c r="AM256" i="1"/>
  <c r="AN256" i="1" s="1"/>
  <c r="BD256" i="1" s="1"/>
  <c r="AM267" i="1"/>
  <c r="AN267" i="1" s="1"/>
  <c r="BD267" i="1" s="1"/>
  <c r="AM195" i="1"/>
  <c r="AN195" i="1" s="1"/>
  <c r="BD195" i="1" s="1"/>
  <c r="AM95" i="1"/>
  <c r="AN95" i="1" s="1"/>
  <c r="BD95" i="1" s="1"/>
  <c r="AM16" i="1"/>
  <c r="AN16" i="1" s="1"/>
  <c r="BD16" i="1" s="1"/>
  <c r="AM259" i="1"/>
  <c r="AN259" i="1" s="1"/>
  <c r="BD259" i="1" s="1"/>
  <c r="AM158" i="1"/>
  <c r="AN158" i="1" s="1"/>
  <c r="BD158" i="1" s="1"/>
  <c r="AM333" i="1"/>
  <c r="AN333" i="1" s="1"/>
  <c r="BD333" i="1" s="1"/>
  <c r="AM45" i="1"/>
  <c r="AN45" i="1" s="1"/>
  <c r="BD45" i="1" s="1"/>
  <c r="AM63" i="1"/>
  <c r="AN63" i="1" s="1"/>
  <c r="BD63" i="1" s="1"/>
  <c r="AM108" i="1"/>
  <c r="AN108" i="1" s="1"/>
  <c r="BD108" i="1" s="1"/>
  <c r="AM62" i="1"/>
  <c r="AN62" i="1" s="1"/>
  <c r="BD62" i="1" s="1"/>
  <c r="AM335" i="1"/>
  <c r="AN335" i="1" s="1"/>
  <c r="BD335" i="1" s="1"/>
  <c r="AM263" i="1"/>
  <c r="AN263" i="1" s="1"/>
  <c r="BD263" i="1" s="1"/>
  <c r="AM233" i="1"/>
  <c r="AN233" i="1" s="1"/>
  <c r="BD233" i="1" s="1"/>
  <c r="AM42" i="1"/>
  <c r="AN42" i="1" s="1"/>
  <c r="BD42" i="1" s="1"/>
  <c r="AM15" i="1"/>
  <c r="AN15" i="1" s="1"/>
  <c r="BD15" i="1" s="1"/>
  <c r="AM87" i="1"/>
  <c r="AN87" i="1" s="1"/>
  <c r="BD87" i="1" s="1"/>
  <c r="AM140" i="1"/>
  <c r="AN140" i="1" s="1"/>
  <c r="BD140" i="1" s="1"/>
  <c r="AM58" i="1"/>
  <c r="AN58" i="1" s="1"/>
  <c r="BD58" i="1" s="1"/>
  <c r="AM33" i="1"/>
  <c r="AN33" i="1" s="1"/>
  <c r="BD33" i="1" s="1"/>
  <c r="AM123" i="1"/>
  <c r="AN123" i="1" s="1"/>
  <c r="BD123" i="1" s="1"/>
  <c r="AM323" i="1"/>
  <c r="AN323" i="1" s="1"/>
  <c r="BD323" i="1" s="1"/>
  <c r="AM59" i="1"/>
  <c r="AN59" i="1" s="1"/>
  <c r="BD59" i="1" s="1"/>
  <c r="AM289" i="1"/>
  <c r="AN289" i="1" s="1"/>
  <c r="BD289" i="1" s="1"/>
  <c r="AM91" i="1"/>
  <c r="AN91" i="1" s="1"/>
  <c r="BD91" i="1" s="1"/>
  <c r="AM52" i="1"/>
  <c r="AN52" i="1" s="1"/>
  <c r="BD52" i="1" s="1"/>
  <c r="AM67" i="1"/>
  <c r="AN67" i="1" s="1"/>
  <c r="BD67" i="1" s="1"/>
  <c r="AM253" i="1"/>
  <c r="AN253" i="1" s="1"/>
  <c r="BD253" i="1" s="1"/>
  <c r="AM80" i="1"/>
  <c r="AN80" i="1" s="1"/>
  <c r="BD80" i="1" s="1"/>
  <c r="AM171" i="1"/>
  <c r="AN171" i="1" s="1"/>
  <c r="BD171" i="1" s="1"/>
  <c r="AM206" i="1"/>
  <c r="AN206" i="1" s="1"/>
  <c r="BD206" i="1" s="1"/>
  <c r="DM206" i="1" s="1"/>
  <c r="AM85" i="1"/>
  <c r="AN85" i="1" s="1"/>
  <c r="BD85" i="1" s="1"/>
  <c r="AM238" i="1"/>
  <c r="AN238" i="1" s="1"/>
  <c r="BD238" i="1" s="1"/>
  <c r="AM102" i="1"/>
  <c r="AN102" i="1" s="1"/>
  <c r="BD102" i="1" s="1"/>
  <c r="AM294" i="1"/>
  <c r="AN294" i="1" s="1"/>
  <c r="BD294" i="1" s="1"/>
  <c r="AM93" i="1"/>
  <c r="AN93" i="1" s="1"/>
  <c r="BD93" i="1" s="1"/>
  <c r="AM65" i="1"/>
  <c r="AN65" i="1" s="1"/>
  <c r="BD65" i="1" s="1"/>
  <c r="AM81" i="1"/>
  <c r="AN81" i="1" s="1"/>
  <c r="BD81" i="1" s="1"/>
  <c r="AM191" i="1"/>
  <c r="AN191" i="1" s="1"/>
  <c r="BD191" i="1" s="1"/>
  <c r="AM136" i="1"/>
  <c r="AN136" i="1" s="1"/>
  <c r="BD136" i="1" s="1"/>
  <c r="AM130" i="1"/>
  <c r="AN130" i="1" s="1"/>
  <c r="BD130" i="1" s="1"/>
  <c r="AM176" i="1"/>
  <c r="AN176" i="1" s="1"/>
  <c r="BD176" i="1" s="1"/>
  <c r="AM66" i="1"/>
  <c r="AN66" i="1" s="1"/>
  <c r="BD66" i="1" s="1"/>
  <c r="AM337" i="1"/>
  <c r="AN337" i="1" s="1"/>
  <c r="BD337" i="1" s="1"/>
  <c r="AM273" i="1"/>
  <c r="AN273" i="1" s="1"/>
  <c r="BD273" i="1" s="1"/>
  <c r="AM317" i="1"/>
  <c r="AN317" i="1" s="1"/>
  <c r="BD317" i="1" s="1"/>
  <c r="AM26" i="1"/>
  <c r="AN26" i="1" s="1"/>
  <c r="BD26" i="1" s="1"/>
  <c r="AM36" i="1"/>
  <c r="AN36" i="1" s="1"/>
  <c r="BD36" i="1" s="1"/>
  <c r="AM39" i="1"/>
  <c r="AN39" i="1" s="1"/>
  <c r="BD39" i="1" s="1"/>
  <c r="AM46" i="1"/>
  <c r="AN46" i="1" s="1"/>
  <c r="BD46" i="1" s="1"/>
  <c r="AM74" i="1"/>
  <c r="AN74" i="1" s="1"/>
  <c r="BD74" i="1" s="1"/>
  <c r="AM322" i="1"/>
  <c r="AN322" i="1" s="1"/>
  <c r="BD322" i="1" s="1"/>
  <c r="AM334" i="1"/>
  <c r="AN334" i="1" s="1"/>
  <c r="BD334" i="1" s="1"/>
  <c r="AM37" i="1"/>
  <c r="AN37" i="1" s="1"/>
  <c r="BD37" i="1" s="1"/>
  <c r="AM217" i="1"/>
  <c r="AN217" i="1" s="1"/>
  <c r="BD217" i="1" s="1"/>
  <c r="AM265" i="1"/>
  <c r="AN265" i="1" s="1"/>
  <c r="BD265" i="1" s="1"/>
  <c r="AM71" i="1"/>
  <c r="AN71" i="1" s="1"/>
  <c r="BD71" i="1" s="1"/>
  <c r="AM138" i="1"/>
  <c r="AN138" i="1" s="1"/>
  <c r="BD138" i="1" s="1"/>
  <c r="AM121" i="1"/>
  <c r="AN121" i="1" s="1"/>
  <c r="BD121" i="1" s="1"/>
  <c r="AM212" i="1"/>
  <c r="AN212" i="1" s="1"/>
  <c r="BD212" i="1" s="1"/>
  <c r="AM161" i="1"/>
  <c r="AN161" i="1" s="1"/>
  <c r="BD161" i="1" s="1"/>
  <c r="AM113" i="1"/>
  <c r="AN113" i="1" s="1"/>
  <c r="BD113" i="1" s="1"/>
  <c r="AM299" i="1"/>
  <c r="AN299" i="1" s="1"/>
  <c r="BD299" i="1" s="1"/>
  <c r="AM192" i="1"/>
  <c r="AN192" i="1" s="1"/>
  <c r="BD192" i="1" s="1"/>
  <c r="AM188" i="1"/>
  <c r="AN188" i="1" s="1"/>
  <c r="BD188" i="1" s="1"/>
  <c r="AM73" i="1"/>
  <c r="AN73" i="1" s="1"/>
  <c r="BD73" i="1" s="1"/>
  <c r="AM316" i="1"/>
  <c r="AN316" i="1" s="1"/>
  <c r="BD316" i="1" s="1"/>
  <c r="AM268" i="1"/>
  <c r="AN268" i="1" s="1"/>
  <c r="BD268" i="1" s="1"/>
  <c r="AM237" i="1"/>
  <c r="AN237" i="1" s="1"/>
  <c r="BD237" i="1" s="1"/>
  <c r="AM126" i="1"/>
  <c r="AN126" i="1" s="1"/>
  <c r="BD126" i="1" s="1"/>
  <c r="AM310" i="1"/>
  <c r="AN310" i="1" s="1"/>
  <c r="BD310" i="1" s="1"/>
  <c r="AM277" i="1"/>
  <c r="AN277" i="1" s="1"/>
  <c r="BD277" i="1" s="1"/>
  <c r="AM164" i="1"/>
  <c r="AN164" i="1" s="1"/>
  <c r="BD164" i="1" s="1"/>
  <c r="AM162" i="1"/>
  <c r="AN162" i="1" s="1"/>
  <c r="BD162" i="1" s="1"/>
  <c r="AM329" i="1"/>
  <c r="AN329" i="1" s="1"/>
  <c r="BD329" i="1" s="1"/>
  <c r="AM143" i="1"/>
  <c r="AN143" i="1" s="1"/>
  <c r="BD143" i="1" s="1"/>
  <c r="AM197" i="1"/>
  <c r="AN197" i="1" s="1"/>
  <c r="AM64" i="1"/>
  <c r="AN64" i="1" s="1"/>
  <c r="BD64" i="1" s="1"/>
  <c r="AM118" i="1"/>
  <c r="AN118" i="1" s="1"/>
  <c r="BD118" i="1" s="1"/>
  <c r="AM283" i="1"/>
  <c r="AN283" i="1" s="1"/>
  <c r="BD283" i="1" s="1"/>
  <c r="AM312" i="1"/>
  <c r="AN312" i="1" s="1"/>
  <c r="BD312" i="1" s="1"/>
  <c r="AM296" i="1"/>
  <c r="AN296" i="1" s="1"/>
  <c r="BD296" i="1" s="1"/>
  <c r="AM92" i="1"/>
  <c r="AN92" i="1" s="1"/>
  <c r="BD92" i="1" s="1"/>
  <c r="AM169" i="1"/>
  <c r="AN169" i="1" s="1"/>
  <c r="BD169" i="1" s="1"/>
  <c r="AM315" i="1"/>
  <c r="AN315" i="1" s="1"/>
  <c r="BD315" i="1" s="1"/>
  <c r="AM60" i="1"/>
  <c r="AN60" i="1" s="1"/>
  <c r="BD60" i="1" s="1"/>
  <c r="AM29" i="1"/>
  <c r="AN29" i="1" s="1"/>
  <c r="BD29" i="1" s="1"/>
  <c r="AM120" i="1"/>
  <c r="AN120" i="1" s="1"/>
  <c r="BD120" i="1" s="1"/>
  <c r="AM168" i="1"/>
  <c r="AN168" i="1" s="1"/>
  <c r="BD168" i="1" s="1"/>
  <c r="AM292" i="1"/>
  <c r="AN292" i="1" s="1"/>
  <c r="BD292" i="1" s="1"/>
  <c r="AM219" i="1"/>
  <c r="AN219" i="1" s="1"/>
  <c r="BD219" i="1" s="1"/>
  <c r="AM180" i="1"/>
  <c r="AN180" i="1" s="1"/>
  <c r="BD180" i="1" s="1"/>
  <c r="AM236" i="1"/>
  <c r="AN236" i="1" s="1"/>
  <c r="BD236" i="1" s="1"/>
  <c r="AM96" i="1"/>
  <c r="AN96" i="1" s="1"/>
  <c r="BD96" i="1" s="1"/>
  <c r="AM30" i="1"/>
  <c r="AN30" i="1" s="1"/>
  <c r="BD30" i="1" s="1"/>
  <c r="AM17" i="1"/>
  <c r="AN17" i="1" s="1"/>
  <c r="BD17" i="1" s="1"/>
  <c r="AM153" i="1"/>
  <c r="AN153" i="1" s="1"/>
  <c r="BD153" i="1" s="1"/>
  <c r="AM28" i="1"/>
  <c r="AN28" i="1" s="1"/>
  <c r="BD28" i="1" s="1"/>
  <c r="AM231" i="1"/>
  <c r="AN231" i="1" s="1"/>
  <c r="BD231" i="1" s="1"/>
  <c r="AM94" i="1"/>
  <c r="AN94" i="1" s="1"/>
  <c r="BD94" i="1" s="1"/>
  <c r="AM266" i="1"/>
  <c r="AN266" i="1" s="1"/>
  <c r="BD266" i="1" s="1"/>
  <c r="AM78" i="1"/>
  <c r="AN78" i="1" s="1"/>
  <c r="BD78" i="1" s="1"/>
  <c r="AM79" i="1"/>
  <c r="AN79" i="1" s="1"/>
  <c r="BD79" i="1" s="1"/>
  <c r="AM297" i="1"/>
  <c r="AN297" i="1" s="1"/>
  <c r="BD297" i="1" s="1"/>
  <c r="AM232" i="1"/>
  <c r="AN232" i="1" s="1"/>
  <c r="BD232" i="1" s="1"/>
  <c r="AM53" i="1"/>
  <c r="AN53" i="1" s="1"/>
  <c r="BD53" i="1" s="1"/>
  <c r="AM111" i="1"/>
  <c r="AN111" i="1" s="1"/>
  <c r="BD111" i="1" s="1"/>
  <c r="AM208" i="1"/>
  <c r="AN208" i="1" s="1"/>
  <c r="BD208" i="1" s="1"/>
  <c r="AM207" i="1"/>
  <c r="AN207" i="1" s="1"/>
  <c r="AM303" i="1"/>
  <c r="AN303" i="1" s="1"/>
  <c r="BD303" i="1" s="1"/>
  <c r="AM23" i="1"/>
  <c r="AN23" i="1" s="1"/>
  <c r="BD23" i="1" s="1"/>
  <c r="AM104" i="1"/>
  <c r="AN104" i="1" s="1"/>
  <c r="BD104" i="1" s="1"/>
  <c r="AM49" i="1"/>
  <c r="AN49" i="1" s="1"/>
  <c r="BD49" i="1" s="1"/>
  <c r="AM319" i="1"/>
  <c r="AN319" i="1" s="1"/>
  <c r="BD319" i="1" s="1"/>
  <c r="AM260" i="1"/>
  <c r="AN260" i="1" s="1"/>
  <c r="BD260" i="1" s="1"/>
  <c r="AM245" i="1"/>
  <c r="AN245" i="1" s="1"/>
  <c r="BD245" i="1" s="1"/>
  <c r="AM222" i="1"/>
  <c r="AN222" i="1" s="1"/>
  <c r="BD222" i="1" s="1"/>
  <c r="AM205" i="1"/>
  <c r="AN205" i="1" s="1"/>
  <c r="BD205" i="1" s="1"/>
  <c r="AM269" i="1"/>
  <c r="AN269" i="1" s="1"/>
  <c r="BD269" i="1" s="1"/>
  <c r="AM298" i="1"/>
  <c r="AN298" i="1" s="1"/>
  <c r="BD298" i="1" s="1"/>
  <c r="AM175" i="1"/>
  <c r="AN175" i="1" s="1"/>
  <c r="BD175" i="1" s="1"/>
  <c r="AM304" i="1"/>
  <c r="AN304" i="1" s="1"/>
  <c r="BD304" i="1" s="1"/>
  <c r="AM170" i="1"/>
  <c r="AN170" i="1" s="1"/>
  <c r="BD170" i="1" s="1"/>
  <c r="AM295" i="1"/>
  <c r="AN295" i="1" s="1"/>
  <c r="BD295" i="1" s="1"/>
  <c r="AM22" i="1"/>
  <c r="AN22" i="1" s="1"/>
  <c r="BD22" i="1" s="1"/>
  <c r="AM274" i="1"/>
  <c r="AN274" i="1" s="1"/>
  <c r="BD274" i="1" s="1"/>
  <c r="AM150" i="1"/>
  <c r="AN150" i="1" s="1"/>
  <c r="BD150" i="1" s="1"/>
  <c r="AM306" i="1"/>
  <c r="AN306" i="1" s="1"/>
  <c r="BD306" i="1" s="1"/>
  <c r="AM226" i="1"/>
  <c r="AN226" i="1" s="1"/>
  <c r="BD226" i="1" s="1"/>
  <c r="AM51" i="1"/>
  <c r="AN51" i="1" s="1"/>
  <c r="BD51" i="1" s="1"/>
  <c r="AM278" i="1"/>
  <c r="AN278" i="1" s="1"/>
  <c r="BD278" i="1" s="1"/>
  <c r="AM134" i="1"/>
  <c r="AN134" i="1" s="1"/>
  <c r="BD134" i="1" s="1"/>
  <c r="AM300" i="1"/>
  <c r="AN300" i="1" s="1"/>
  <c r="BD300" i="1" s="1"/>
  <c r="AM307" i="1"/>
  <c r="AN307" i="1" s="1"/>
  <c r="BD307" i="1" s="1"/>
  <c r="AM202" i="1"/>
  <c r="AN202" i="1" s="1"/>
  <c r="BD202" i="1" s="1"/>
  <c r="AM198" i="1"/>
  <c r="AN198" i="1" s="1"/>
  <c r="BD198" i="1" s="1"/>
  <c r="AM284" i="1"/>
  <c r="AN284" i="1" s="1"/>
  <c r="BD284" i="1" s="1"/>
  <c r="AM254" i="1"/>
  <c r="AN254" i="1" s="1"/>
  <c r="BD254" i="1" s="1"/>
  <c r="AG15" i="1"/>
  <c r="AC16" i="1"/>
  <c r="CE15" i="1"/>
  <c r="EG16" i="1"/>
  <c r="EG17" i="1" s="1"/>
  <c r="AM13" i="1"/>
  <c r="BL13" i="1" a="1"/>
  <c r="BL13" i="1" s="1"/>
  <c r="L14" i="7"/>
  <c r="L15" i="7" s="1"/>
  <c r="L16" i="7" s="1"/>
  <c r="DI94" i="1" l="1"/>
  <c r="DH94" i="1"/>
  <c r="DD94" i="1"/>
  <c r="DI169" i="1"/>
  <c r="DH169" i="1"/>
  <c r="DD169" i="1"/>
  <c r="DD268" i="1"/>
  <c r="DI268" i="1"/>
  <c r="DH268" i="1"/>
  <c r="DD322" i="1"/>
  <c r="DI322" i="1"/>
  <c r="DH322" i="1"/>
  <c r="DI93" i="1"/>
  <c r="DH93" i="1"/>
  <c r="DD93" i="1"/>
  <c r="DI33" i="1"/>
  <c r="DH33" i="1"/>
  <c r="DD33" i="1"/>
  <c r="DI16" i="1"/>
  <c r="DH16" i="1"/>
  <c r="DD16" i="1"/>
  <c r="DI70" i="1"/>
  <c r="DH70" i="1"/>
  <c r="DD70" i="1"/>
  <c r="DH270" i="1"/>
  <c r="DD270" i="1"/>
  <c r="DI270" i="1"/>
  <c r="DD336" i="1"/>
  <c r="DI336" i="1"/>
  <c r="DH336" i="1"/>
  <c r="DI38" i="1"/>
  <c r="DH38" i="1"/>
  <c r="DD38" i="1"/>
  <c r="DI200" i="1"/>
  <c r="DH200" i="1"/>
  <c r="DD200" i="1"/>
  <c r="DD248" i="1"/>
  <c r="DI248" i="1"/>
  <c r="DH248" i="1"/>
  <c r="DI137" i="1"/>
  <c r="DH137" i="1"/>
  <c r="DD137" i="1"/>
  <c r="DI76" i="1"/>
  <c r="DH76" i="1"/>
  <c r="DD76" i="1"/>
  <c r="DI293" i="1"/>
  <c r="DH293" i="1"/>
  <c r="DD293" i="1"/>
  <c r="DI256" i="1"/>
  <c r="DH256" i="1"/>
  <c r="DD256" i="1"/>
  <c r="DD198" i="1"/>
  <c r="DI198" i="1"/>
  <c r="DH198" i="1"/>
  <c r="DI265" i="1"/>
  <c r="DH265" i="1"/>
  <c r="DD265" i="1"/>
  <c r="DH245" i="1"/>
  <c r="DD245" i="1"/>
  <c r="DI245" i="1"/>
  <c r="DI260" i="1"/>
  <c r="DH260" i="1"/>
  <c r="DD260" i="1"/>
  <c r="DI231" i="1"/>
  <c r="DH231" i="1"/>
  <c r="DD231" i="1"/>
  <c r="DI92" i="1"/>
  <c r="DH92" i="1"/>
  <c r="DD92" i="1"/>
  <c r="DI316" i="1"/>
  <c r="DH316" i="1"/>
  <c r="DD316" i="1"/>
  <c r="DI74" i="1"/>
  <c r="DH74" i="1"/>
  <c r="DD74" i="1"/>
  <c r="DI294" i="1"/>
  <c r="DH294" i="1"/>
  <c r="DD294" i="1"/>
  <c r="DI58" i="1"/>
  <c r="DH58" i="1"/>
  <c r="DD58" i="1"/>
  <c r="DI95" i="1"/>
  <c r="DH95" i="1"/>
  <c r="DD95" i="1"/>
  <c r="DI109" i="1"/>
  <c r="DH109" i="1"/>
  <c r="DD109" i="1"/>
  <c r="DI228" i="1"/>
  <c r="DH228" i="1"/>
  <c r="DD228" i="1"/>
  <c r="DI279" i="1"/>
  <c r="DH279" i="1"/>
  <c r="DD279" i="1"/>
  <c r="DI281" i="1"/>
  <c r="DH281" i="1"/>
  <c r="DD281" i="1"/>
  <c r="DI125" i="1"/>
  <c r="DH125" i="1"/>
  <c r="DD125" i="1"/>
  <c r="DI84" i="1"/>
  <c r="DH84" i="1"/>
  <c r="DD84" i="1"/>
  <c r="DI135" i="1"/>
  <c r="DH135" i="1"/>
  <c r="DD135" i="1"/>
  <c r="DI75" i="1"/>
  <c r="DH75" i="1"/>
  <c r="DD75" i="1"/>
  <c r="DI288" i="1"/>
  <c r="DH288" i="1"/>
  <c r="DD288" i="1"/>
  <c r="DI283" i="1"/>
  <c r="DH283" i="1"/>
  <c r="DD283" i="1"/>
  <c r="DH295" i="1"/>
  <c r="DD295" i="1"/>
  <c r="DI295" i="1"/>
  <c r="DI136" i="1"/>
  <c r="DH136" i="1"/>
  <c r="DD136" i="1"/>
  <c r="DI134" i="1"/>
  <c r="DH134" i="1"/>
  <c r="DD134" i="1"/>
  <c r="DI278" i="1"/>
  <c r="DH278" i="1"/>
  <c r="DD278" i="1"/>
  <c r="DI51" i="1"/>
  <c r="DH51" i="1"/>
  <c r="DD51" i="1"/>
  <c r="DI319" i="1"/>
  <c r="DH319" i="1"/>
  <c r="DD319" i="1"/>
  <c r="DI28" i="1"/>
  <c r="DH28" i="1"/>
  <c r="DD28" i="1"/>
  <c r="DI296" i="1"/>
  <c r="DH296" i="1"/>
  <c r="DD296" i="1"/>
  <c r="DI73" i="1"/>
  <c r="DH73" i="1"/>
  <c r="DD73" i="1"/>
  <c r="DI46" i="1"/>
  <c r="DH46" i="1"/>
  <c r="DD46" i="1"/>
  <c r="DI102" i="1"/>
  <c r="DH102" i="1"/>
  <c r="DD102" i="1"/>
  <c r="DI140" i="1"/>
  <c r="DH140" i="1"/>
  <c r="DD140" i="1"/>
  <c r="DD195" i="1"/>
  <c r="DI195" i="1"/>
  <c r="DH195" i="1"/>
  <c r="DI204" i="1"/>
  <c r="DH204" i="1"/>
  <c r="DD204" i="1"/>
  <c r="DI97" i="1"/>
  <c r="DH97" i="1"/>
  <c r="DD97" i="1"/>
  <c r="DH185" i="1"/>
  <c r="DD185" i="1"/>
  <c r="DI185" i="1"/>
  <c r="DI272" i="1"/>
  <c r="DH272" i="1"/>
  <c r="DD272" i="1"/>
  <c r="DI147" i="1"/>
  <c r="DH147" i="1"/>
  <c r="DD147" i="1"/>
  <c r="DI77" i="1"/>
  <c r="DH77" i="1"/>
  <c r="DD77" i="1"/>
  <c r="DI141" i="1"/>
  <c r="DH141" i="1"/>
  <c r="DD141" i="1"/>
  <c r="DI124" i="1"/>
  <c r="DH124" i="1"/>
  <c r="DD124" i="1"/>
  <c r="DI226" i="1"/>
  <c r="DH226" i="1"/>
  <c r="DD226" i="1"/>
  <c r="DI49" i="1"/>
  <c r="DH49" i="1"/>
  <c r="DD49" i="1"/>
  <c r="DI153" i="1"/>
  <c r="DH153" i="1"/>
  <c r="DD153" i="1"/>
  <c r="DI312" i="1"/>
  <c r="DH312" i="1"/>
  <c r="DD312" i="1"/>
  <c r="DD188" i="1"/>
  <c r="DI188" i="1"/>
  <c r="DH188" i="1"/>
  <c r="DI39" i="1"/>
  <c r="DH39" i="1"/>
  <c r="DD39" i="1"/>
  <c r="DI238" i="1"/>
  <c r="DH238" i="1"/>
  <c r="DD238" i="1"/>
  <c r="DI87" i="1"/>
  <c r="DH87" i="1"/>
  <c r="DD87" i="1"/>
  <c r="DD267" i="1"/>
  <c r="DI267" i="1"/>
  <c r="DH267" i="1"/>
  <c r="DI242" i="1"/>
  <c r="DH242" i="1"/>
  <c r="DD242" i="1"/>
  <c r="DD41" i="1"/>
  <c r="DI41" i="1"/>
  <c r="DH41" i="1"/>
  <c r="DD214" i="1"/>
  <c r="DI214" i="1"/>
  <c r="DH214" i="1"/>
  <c r="DI149" i="1"/>
  <c r="DH149" i="1"/>
  <c r="DD149" i="1"/>
  <c r="DD152" i="1"/>
  <c r="DI152" i="1"/>
  <c r="DH152" i="1"/>
  <c r="DI276" i="1"/>
  <c r="DH276" i="1"/>
  <c r="DD276" i="1"/>
  <c r="DD117" i="1"/>
  <c r="DI117" i="1"/>
  <c r="DH117" i="1"/>
  <c r="DD239" i="1"/>
  <c r="DI239" i="1"/>
  <c r="DH239" i="1"/>
  <c r="DI19" i="1"/>
  <c r="DH19" i="1"/>
  <c r="DD19" i="1"/>
  <c r="DI15" i="1"/>
  <c r="DH15" i="1"/>
  <c r="DD15" i="1"/>
  <c r="DH240" i="1"/>
  <c r="DD240" i="1"/>
  <c r="DI240" i="1"/>
  <c r="DI90" i="1"/>
  <c r="DH90" i="1"/>
  <c r="DD90" i="1"/>
  <c r="DI210" i="1"/>
  <c r="DH210" i="1"/>
  <c r="DD210" i="1"/>
  <c r="DI177" i="1"/>
  <c r="DH177" i="1"/>
  <c r="DD177" i="1"/>
  <c r="DH244" i="1"/>
  <c r="DD244" i="1"/>
  <c r="DI244" i="1"/>
  <c r="DD192" i="1"/>
  <c r="DI192" i="1"/>
  <c r="DH192" i="1"/>
  <c r="DI255" i="1"/>
  <c r="DH255" i="1"/>
  <c r="DD255" i="1"/>
  <c r="DI23" i="1"/>
  <c r="DH23" i="1"/>
  <c r="DD23" i="1"/>
  <c r="DI118" i="1"/>
  <c r="DH118" i="1"/>
  <c r="DD118" i="1"/>
  <c r="DI26" i="1"/>
  <c r="DH26" i="1"/>
  <c r="DD26" i="1"/>
  <c r="DI206" i="1"/>
  <c r="DH206" i="1"/>
  <c r="DD206" i="1"/>
  <c r="DI42" i="1"/>
  <c r="DH42" i="1"/>
  <c r="DD42" i="1"/>
  <c r="DI216" i="1"/>
  <c r="DH216" i="1"/>
  <c r="DD216" i="1"/>
  <c r="DI229" i="1"/>
  <c r="DH229" i="1"/>
  <c r="DD229" i="1"/>
  <c r="DD32" i="1"/>
  <c r="DI32" i="1"/>
  <c r="DH32" i="1"/>
  <c r="DD286" i="1"/>
  <c r="DI286" i="1"/>
  <c r="DH286" i="1"/>
  <c r="DD311" i="1"/>
  <c r="DI311" i="1"/>
  <c r="DH311" i="1"/>
  <c r="DI132" i="1"/>
  <c r="DH132" i="1"/>
  <c r="DD132" i="1"/>
  <c r="DH129" i="1"/>
  <c r="DD129" i="1"/>
  <c r="DI129" i="1"/>
  <c r="DD88" i="1"/>
  <c r="DI88" i="1"/>
  <c r="DH88" i="1"/>
  <c r="DI215" i="1"/>
  <c r="DH215" i="1"/>
  <c r="DD215" i="1"/>
  <c r="DD85" i="1"/>
  <c r="DI85" i="1"/>
  <c r="DH85" i="1"/>
  <c r="DI127" i="1"/>
  <c r="DH127" i="1"/>
  <c r="DD127" i="1"/>
  <c r="DI150" i="1"/>
  <c r="DH150" i="1"/>
  <c r="DD150" i="1"/>
  <c r="DI30" i="1"/>
  <c r="DH30" i="1"/>
  <c r="DD30" i="1"/>
  <c r="DI299" i="1"/>
  <c r="DH299" i="1"/>
  <c r="DD299" i="1"/>
  <c r="DI274" i="1"/>
  <c r="DH274" i="1"/>
  <c r="DD274" i="1"/>
  <c r="DI303" i="1"/>
  <c r="DH303" i="1"/>
  <c r="DD303" i="1"/>
  <c r="DI96" i="1"/>
  <c r="DH96" i="1"/>
  <c r="DD96" i="1"/>
  <c r="DD64" i="1"/>
  <c r="DI64" i="1"/>
  <c r="DH64" i="1"/>
  <c r="DI113" i="1"/>
  <c r="DH113" i="1"/>
  <c r="DD113" i="1"/>
  <c r="DD317" i="1"/>
  <c r="DH317" i="1"/>
  <c r="DI317" i="1"/>
  <c r="DH171" i="1"/>
  <c r="DD171" i="1"/>
  <c r="DI171" i="1"/>
  <c r="DI233" i="1"/>
  <c r="DH233" i="1"/>
  <c r="DD233" i="1"/>
  <c r="DD82" i="1"/>
  <c r="DI82" i="1"/>
  <c r="DH82" i="1"/>
  <c r="DI27" i="1"/>
  <c r="DH27" i="1"/>
  <c r="DD27" i="1"/>
  <c r="DH246" i="1"/>
  <c r="DD246" i="1"/>
  <c r="DI246" i="1"/>
  <c r="DD342" i="1"/>
  <c r="DH342" i="1"/>
  <c r="DI342" i="1"/>
  <c r="DD201" i="1"/>
  <c r="DI201" i="1"/>
  <c r="DH201" i="1"/>
  <c r="DD196" i="1"/>
  <c r="DI196" i="1"/>
  <c r="DH196" i="1"/>
  <c r="DI250" i="1"/>
  <c r="DH250" i="1"/>
  <c r="DD250" i="1"/>
  <c r="DD57" i="1"/>
  <c r="DI57" i="1"/>
  <c r="DH57" i="1"/>
  <c r="DI139" i="1"/>
  <c r="DH139" i="1"/>
  <c r="DD139" i="1"/>
  <c r="DI119" i="1"/>
  <c r="DH119" i="1"/>
  <c r="DD119" i="1"/>
  <c r="DI161" i="1"/>
  <c r="DH161" i="1"/>
  <c r="DD161" i="1"/>
  <c r="DH273" i="1"/>
  <c r="DD273" i="1"/>
  <c r="DI273" i="1"/>
  <c r="DI80" i="1"/>
  <c r="DH80" i="1"/>
  <c r="DD80" i="1"/>
  <c r="DI263" i="1"/>
  <c r="DH263" i="1"/>
  <c r="DD263" i="1"/>
  <c r="DI144" i="1"/>
  <c r="DH144" i="1"/>
  <c r="DD144" i="1"/>
  <c r="DI221" i="1"/>
  <c r="DH221" i="1"/>
  <c r="DD221" i="1"/>
  <c r="DI291" i="1"/>
  <c r="DH291" i="1"/>
  <c r="DD291" i="1"/>
  <c r="DI235" i="1"/>
  <c r="DH235" i="1"/>
  <c r="DD235" i="1"/>
  <c r="DI213" i="1"/>
  <c r="DH213" i="1"/>
  <c r="DD213" i="1"/>
  <c r="DH112" i="1"/>
  <c r="DD112" i="1"/>
  <c r="DI112" i="1"/>
  <c r="DI165" i="1"/>
  <c r="DH165" i="1"/>
  <c r="DD165" i="1"/>
  <c r="DI258" i="1"/>
  <c r="DH258" i="1"/>
  <c r="DD258" i="1"/>
  <c r="DI189" i="1"/>
  <c r="DH189" i="1"/>
  <c r="DD189" i="1"/>
  <c r="DI83" i="1"/>
  <c r="DH83" i="1"/>
  <c r="DD83" i="1"/>
  <c r="DD328" i="1"/>
  <c r="DI328" i="1"/>
  <c r="DH328" i="1"/>
  <c r="DD314" i="1"/>
  <c r="DI314" i="1"/>
  <c r="DH314" i="1"/>
  <c r="DI184" i="1"/>
  <c r="DH184" i="1"/>
  <c r="DD184" i="1"/>
  <c r="DI341" i="1"/>
  <c r="DH341" i="1"/>
  <c r="DD341" i="1"/>
  <c r="DD211" i="1"/>
  <c r="DI211" i="1"/>
  <c r="DH211" i="1"/>
  <c r="DD194" i="1"/>
  <c r="DI194" i="1"/>
  <c r="DH194" i="1"/>
  <c r="DH116" i="1"/>
  <c r="DD116" i="1"/>
  <c r="DI116" i="1"/>
  <c r="DI306" i="1"/>
  <c r="DH306" i="1"/>
  <c r="DD306" i="1"/>
  <c r="DI22" i="1"/>
  <c r="DH22" i="1"/>
  <c r="DD22" i="1"/>
  <c r="DI143" i="1"/>
  <c r="DH143" i="1"/>
  <c r="DD143" i="1"/>
  <c r="DI253" i="1"/>
  <c r="DH253" i="1"/>
  <c r="DD253" i="1"/>
  <c r="DI340" i="1"/>
  <c r="DH340" i="1"/>
  <c r="DD340" i="1"/>
  <c r="DD170" i="1"/>
  <c r="DI170" i="1"/>
  <c r="DH170" i="1"/>
  <c r="DI111" i="1"/>
  <c r="DH111" i="1"/>
  <c r="DD111" i="1"/>
  <c r="DI219" i="1"/>
  <c r="DH219" i="1"/>
  <c r="DD219" i="1"/>
  <c r="DI329" i="1"/>
  <c r="DH329" i="1"/>
  <c r="DD329" i="1"/>
  <c r="DI121" i="1"/>
  <c r="DH121" i="1"/>
  <c r="DD121" i="1"/>
  <c r="DI66" i="1"/>
  <c r="DH66" i="1"/>
  <c r="DD66" i="1"/>
  <c r="DI67" i="1"/>
  <c r="DH67" i="1"/>
  <c r="DD67" i="1"/>
  <c r="DD62" i="1"/>
  <c r="DI62" i="1"/>
  <c r="DH62" i="1"/>
  <c r="DI155" i="1"/>
  <c r="DH155" i="1"/>
  <c r="DD155" i="1"/>
  <c r="DD14" i="1"/>
  <c r="DH14" i="1"/>
  <c r="DI14" i="1"/>
  <c r="DD145" i="1"/>
  <c r="DI145" i="1"/>
  <c r="DH145" i="1"/>
  <c r="DI48" i="1"/>
  <c r="DH48" i="1"/>
  <c r="DD48" i="1"/>
  <c r="DI320" i="1"/>
  <c r="DD320" i="1"/>
  <c r="DH320" i="1"/>
  <c r="DI25" i="1"/>
  <c r="DH25" i="1"/>
  <c r="DD25" i="1"/>
  <c r="DI159" i="1"/>
  <c r="DH159" i="1"/>
  <c r="DD159" i="1"/>
  <c r="DI157" i="1"/>
  <c r="DH157" i="1"/>
  <c r="DD157" i="1"/>
  <c r="DI327" i="1"/>
  <c r="DH327" i="1"/>
  <c r="DD327" i="1"/>
  <c r="DI99" i="1"/>
  <c r="DH99" i="1"/>
  <c r="DD99" i="1"/>
  <c r="DI104" i="1"/>
  <c r="DH104" i="1"/>
  <c r="DD104" i="1"/>
  <c r="DD236" i="1"/>
  <c r="DI236" i="1"/>
  <c r="DH236" i="1"/>
  <c r="DI180" i="1"/>
  <c r="DH180" i="1"/>
  <c r="DD180" i="1"/>
  <c r="DI337" i="1"/>
  <c r="DH337" i="1"/>
  <c r="DD337" i="1"/>
  <c r="DI282" i="1"/>
  <c r="DH282" i="1"/>
  <c r="DD282" i="1"/>
  <c r="DD254" i="1"/>
  <c r="DI254" i="1"/>
  <c r="DH254" i="1"/>
  <c r="DI304" i="1"/>
  <c r="DH304" i="1"/>
  <c r="DD304" i="1"/>
  <c r="DI53" i="1"/>
  <c r="DH53" i="1"/>
  <c r="DD53" i="1"/>
  <c r="DD292" i="1"/>
  <c r="DH292" i="1"/>
  <c r="DI292" i="1"/>
  <c r="DI162" i="1"/>
  <c r="DH162" i="1"/>
  <c r="DD162" i="1"/>
  <c r="DI138" i="1"/>
  <c r="DH138" i="1"/>
  <c r="DD138" i="1"/>
  <c r="DD176" i="1"/>
  <c r="DI176" i="1"/>
  <c r="DH176" i="1"/>
  <c r="DI52" i="1"/>
  <c r="DH52" i="1"/>
  <c r="DD52" i="1"/>
  <c r="DH108" i="1"/>
  <c r="DD108" i="1"/>
  <c r="DI108" i="1"/>
  <c r="DI186" i="1"/>
  <c r="DH186" i="1"/>
  <c r="DD186" i="1"/>
  <c r="DI103" i="1"/>
  <c r="DH103" i="1"/>
  <c r="DD103" i="1"/>
  <c r="DI98" i="1"/>
  <c r="DH98" i="1"/>
  <c r="DD98" i="1"/>
  <c r="DI223" i="1"/>
  <c r="DH223" i="1"/>
  <c r="DD223" i="1"/>
  <c r="DI234" i="1"/>
  <c r="DH234" i="1"/>
  <c r="DD234" i="1"/>
  <c r="DI193" i="1"/>
  <c r="DH193" i="1"/>
  <c r="DD193" i="1"/>
  <c r="DI257" i="1"/>
  <c r="DH257" i="1"/>
  <c r="DD257" i="1"/>
  <c r="DI209" i="1"/>
  <c r="DH209" i="1"/>
  <c r="DD209" i="1"/>
  <c r="DH114" i="1"/>
  <c r="DD114" i="1"/>
  <c r="DI114" i="1"/>
  <c r="DI172" i="1"/>
  <c r="DH172" i="1"/>
  <c r="DD172" i="1"/>
  <c r="DI17" i="1"/>
  <c r="DH17" i="1"/>
  <c r="DD17" i="1"/>
  <c r="DI208" i="1"/>
  <c r="DH208" i="1"/>
  <c r="DD208" i="1"/>
  <c r="DI212" i="1"/>
  <c r="DH212" i="1"/>
  <c r="DD212" i="1"/>
  <c r="DI335" i="1"/>
  <c r="DH335" i="1"/>
  <c r="DD335" i="1"/>
  <c r="DD122" i="1"/>
  <c r="DI122" i="1"/>
  <c r="DH122" i="1"/>
  <c r="DI284" i="1"/>
  <c r="DH284" i="1"/>
  <c r="DD284" i="1"/>
  <c r="DI175" i="1"/>
  <c r="DH175" i="1"/>
  <c r="DD175" i="1"/>
  <c r="DI232" i="1"/>
  <c r="DH232" i="1"/>
  <c r="DD232" i="1"/>
  <c r="DI168" i="1"/>
  <c r="DH168" i="1"/>
  <c r="DD168" i="1"/>
  <c r="DI164" i="1"/>
  <c r="DH164" i="1"/>
  <c r="DD164" i="1"/>
  <c r="DH71" i="1"/>
  <c r="DD71" i="1"/>
  <c r="DI71" i="1"/>
  <c r="DI130" i="1"/>
  <c r="DH130" i="1"/>
  <c r="DD130" i="1"/>
  <c r="DH91" i="1"/>
  <c r="DD91" i="1"/>
  <c r="DI91" i="1"/>
  <c r="DH63" i="1"/>
  <c r="DD63" i="1"/>
  <c r="DI63" i="1"/>
  <c r="DI247" i="1"/>
  <c r="DH247" i="1"/>
  <c r="DD247" i="1"/>
  <c r="DD148" i="1"/>
  <c r="DI148" i="1"/>
  <c r="DH148" i="1"/>
  <c r="DI43" i="1"/>
  <c r="DH43" i="1"/>
  <c r="DD43" i="1"/>
  <c r="DI31" i="1"/>
  <c r="DH31" i="1"/>
  <c r="DD31" i="1"/>
  <c r="DI181" i="1"/>
  <c r="DH181" i="1"/>
  <c r="DD181" i="1"/>
  <c r="DI107" i="1"/>
  <c r="DH107" i="1"/>
  <c r="DD107" i="1"/>
  <c r="DI131" i="1"/>
  <c r="DH131" i="1"/>
  <c r="DD131" i="1"/>
  <c r="DD326" i="1"/>
  <c r="DI326" i="1"/>
  <c r="DH326" i="1"/>
  <c r="DI290" i="1"/>
  <c r="DH290" i="1"/>
  <c r="DD290" i="1"/>
  <c r="DI166" i="1"/>
  <c r="DH166" i="1"/>
  <c r="DD166" i="1"/>
  <c r="DI297" i="1"/>
  <c r="DH297" i="1"/>
  <c r="DD297" i="1"/>
  <c r="DI160" i="1"/>
  <c r="DH160" i="1"/>
  <c r="DD160" i="1"/>
  <c r="DH218" i="1"/>
  <c r="DD218" i="1"/>
  <c r="DI218" i="1"/>
  <c r="DI40" i="1"/>
  <c r="DH40" i="1"/>
  <c r="DD40" i="1"/>
  <c r="DI325" i="1"/>
  <c r="DH325" i="1"/>
  <c r="DD325" i="1"/>
  <c r="DD120" i="1"/>
  <c r="DI120" i="1"/>
  <c r="DH120" i="1"/>
  <c r="DI45" i="1"/>
  <c r="DH45" i="1"/>
  <c r="DD45" i="1"/>
  <c r="DD190" i="1"/>
  <c r="DI190" i="1"/>
  <c r="DH190" i="1"/>
  <c r="DI50" i="1"/>
  <c r="DH50" i="1"/>
  <c r="DD50" i="1"/>
  <c r="DI202" i="1"/>
  <c r="DH202" i="1"/>
  <c r="DD202" i="1"/>
  <c r="DI269" i="1"/>
  <c r="DH269" i="1"/>
  <c r="DD269" i="1"/>
  <c r="DD79" i="1"/>
  <c r="DI79" i="1"/>
  <c r="DH79" i="1"/>
  <c r="DD29" i="1"/>
  <c r="DI29" i="1"/>
  <c r="DH29" i="1"/>
  <c r="DI310" i="1"/>
  <c r="DH310" i="1"/>
  <c r="DD310" i="1"/>
  <c r="DD217" i="1"/>
  <c r="DI217" i="1"/>
  <c r="DH217" i="1"/>
  <c r="DI191" i="1"/>
  <c r="DH191" i="1"/>
  <c r="DD191" i="1"/>
  <c r="DI59" i="1"/>
  <c r="DH59" i="1"/>
  <c r="DD59" i="1"/>
  <c r="DD333" i="1"/>
  <c r="DI333" i="1"/>
  <c r="DH333" i="1"/>
  <c r="DI133" i="1"/>
  <c r="DH133" i="1"/>
  <c r="DD133" i="1"/>
  <c r="DI72" i="1"/>
  <c r="DH72" i="1"/>
  <c r="DD72" i="1"/>
  <c r="DI115" i="1"/>
  <c r="DH115" i="1"/>
  <c r="DD115" i="1"/>
  <c r="DH301" i="1"/>
  <c r="DD301" i="1"/>
  <c r="DI301" i="1"/>
  <c r="DI187" i="1"/>
  <c r="DH187" i="1"/>
  <c r="DD187" i="1"/>
  <c r="DD264" i="1"/>
  <c r="DI264" i="1"/>
  <c r="DH264" i="1"/>
  <c r="DI302" i="1"/>
  <c r="DH302" i="1"/>
  <c r="DD302" i="1"/>
  <c r="DI163" i="1"/>
  <c r="DH163" i="1"/>
  <c r="DD163" i="1"/>
  <c r="DI227" i="1"/>
  <c r="DH227" i="1"/>
  <c r="DD227" i="1"/>
  <c r="DI271" i="1"/>
  <c r="DH271" i="1"/>
  <c r="DD271" i="1"/>
  <c r="DD142" i="1"/>
  <c r="DI142" i="1"/>
  <c r="DH142" i="1"/>
  <c r="DI277" i="1"/>
  <c r="DH277" i="1"/>
  <c r="DD277" i="1"/>
  <c r="DI199" i="1"/>
  <c r="DH199" i="1"/>
  <c r="DD199" i="1"/>
  <c r="DI86" i="1"/>
  <c r="DH86" i="1"/>
  <c r="DD86" i="1"/>
  <c r="DI307" i="1"/>
  <c r="DH307" i="1"/>
  <c r="DD307" i="1"/>
  <c r="DI205" i="1"/>
  <c r="DH205" i="1"/>
  <c r="DD205" i="1"/>
  <c r="DI78" i="1"/>
  <c r="DH78" i="1"/>
  <c r="DD78" i="1"/>
  <c r="DH60" i="1"/>
  <c r="DD60" i="1"/>
  <c r="DI60" i="1"/>
  <c r="DH126" i="1"/>
  <c r="DD126" i="1"/>
  <c r="DI126" i="1"/>
  <c r="DI37" i="1"/>
  <c r="DH37" i="1"/>
  <c r="DD37" i="1"/>
  <c r="DI81" i="1"/>
  <c r="DH81" i="1"/>
  <c r="DD81" i="1"/>
  <c r="DH323" i="1"/>
  <c r="DD323" i="1"/>
  <c r="DI323" i="1"/>
  <c r="DI158" i="1"/>
  <c r="DH158" i="1"/>
  <c r="DD158" i="1"/>
  <c r="DI318" i="1"/>
  <c r="DH318" i="1"/>
  <c r="DD318" i="1"/>
  <c r="DI89" i="1"/>
  <c r="DH89" i="1"/>
  <c r="DD89" i="1"/>
  <c r="DI305" i="1"/>
  <c r="DH305" i="1"/>
  <c r="DD305" i="1"/>
  <c r="DD167" i="1"/>
  <c r="DI167" i="1"/>
  <c r="DH167" i="1"/>
  <c r="DI24" i="1"/>
  <c r="DH24" i="1"/>
  <c r="DD24" i="1"/>
  <c r="DI61" i="1"/>
  <c r="DH61" i="1"/>
  <c r="DD61" i="1"/>
  <c r="DI332" i="1"/>
  <c r="DH332" i="1"/>
  <c r="DD332" i="1"/>
  <c r="DH110" i="1"/>
  <c r="DD110" i="1"/>
  <c r="DI110" i="1"/>
  <c r="DI285" i="1"/>
  <c r="DH285" i="1"/>
  <c r="DD285" i="1"/>
  <c r="DI275" i="1"/>
  <c r="DH275" i="1"/>
  <c r="DD275" i="1"/>
  <c r="DI36" i="1"/>
  <c r="DH36" i="1"/>
  <c r="DD36" i="1"/>
  <c r="DI298" i="1"/>
  <c r="DH298" i="1"/>
  <c r="DD298" i="1"/>
  <c r="DD289" i="1"/>
  <c r="DI289" i="1"/>
  <c r="DH289" i="1"/>
  <c r="DI230" i="1"/>
  <c r="DH230" i="1"/>
  <c r="DD230" i="1"/>
  <c r="DI313" i="1"/>
  <c r="DH313" i="1"/>
  <c r="DD313" i="1"/>
  <c r="DI300" i="1"/>
  <c r="DH300" i="1"/>
  <c r="DD300" i="1"/>
  <c r="DI222" i="1"/>
  <c r="DH222" i="1"/>
  <c r="DD222" i="1"/>
  <c r="DI266" i="1"/>
  <c r="DH266" i="1"/>
  <c r="DD266" i="1"/>
  <c r="DI315" i="1"/>
  <c r="DH315" i="1"/>
  <c r="DD315" i="1"/>
  <c r="DI237" i="1"/>
  <c r="DH237" i="1"/>
  <c r="DD237" i="1"/>
  <c r="DI334" i="1"/>
  <c r="DH334" i="1"/>
  <c r="DD334" i="1"/>
  <c r="DI65" i="1"/>
  <c r="DH65" i="1"/>
  <c r="DD65" i="1"/>
  <c r="DD123" i="1"/>
  <c r="DI123" i="1"/>
  <c r="DH123" i="1"/>
  <c r="DI259" i="1"/>
  <c r="DH259" i="1"/>
  <c r="DD259" i="1"/>
  <c r="DH151" i="1"/>
  <c r="DD151" i="1"/>
  <c r="DI151" i="1"/>
  <c r="DI146" i="1"/>
  <c r="DH146" i="1"/>
  <c r="DD146" i="1"/>
  <c r="DI321" i="1"/>
  <c r="DH321" i="1"/>
  <c r="DD321" i="1"/>
  <c r="DI174" i="1"/>
  <c r="DH174" i="1"/>
  <c r="DD174" i="1"/>
  <c r="DI100" i="1"/>
  <c r="DH100" i="1"/>
  <c r="DD100" i="1"/>
  <c r="DI55" i="1"/>
  <c r="DH55" i="1"/>
  <c r="DD55" i="1"/>
  <c r="DI249" i="1"/>
  <c r="DH249" i="1"/>
  <c r="DD249" i="1"/>
  <c r="DD18" i="1"/>
  <c r="DH18" i="1"/>
  <c r="DI18" i="1"/>
  <c r="DD324" i="1"/>
  <c r="DI324" i="1"/>
  <c r="DH324" i="1"/>
  <c r="DI287" i="1"/>
  <c r="DH287" i="1"/>
  <c r="DD287" i="1"/>
  <c r="AN20" i="1"/>
  <c r="AP20" i="1" s="1"/>
  <c r="BG20" i="1" s="1"/>
  <c r="AP231" i="1"/>
  <c r="BG231" i="1" s="1"/>
  <c r="AO231" i="1"/>
  <c r="AR231" i="1"/>
  <c r="AO92" i="1"/>
  <c r="BF92" i="1" s="1"/>
  <c r="AP92" i="1"/>
  <c r="BG92" i="1" s="1"/>
  <c r="AR92" i="1"/>
  <c r="AR316" i="1"/>
  <c r="AO316" i="1"/>
  <c r="BF316" i="1" s="1"/>
  <c r="AP316" i="1"/>
  <c r="BG316" i="1" s="1"/>
  <c r="AR74" i="1"/>
  <c r="AP74" i="1"/>
  <c r="BG74" i="1" s="1"/>
  <c r="AO74" i="1"/>
  <c r="BF74" i="1" s="1"/>
  <c r="AR294" i="1"/>
  <c r="AO294" i="1"/>
  <c r="BF294" i="1" s="1"/>
  <c r="AP294" i="1"/>
  <c r="BG294" i="1" s="1"/>
  <c r="AR58" i="1"/>
  <c r="AP58" i="1"/>
  <c r="BG58" i="1" s="1"/>
  <c r="AO58" i="1"/>
  <c r="BF58" i="1" s="1"/>
  <c r="AR95" i="1"/>
  <c r="AO95" i="1"/>
  <c r="BF95" i="1" s="1"/>
  <c r="AP95" i="1"/>
  <c r="BG95" i="1" s="1"/>
  <c r="AO109" i="1"/>
  <c r="BF109" i="1" s="1"/>
  <c r="AR109" i="1"/>
  <c r="AP109" i="1"/>
  <c r="BG109" i="1" s="1"/>
  <c r="AP228" i="1"/>
  <c r="BG228" i="1" s="1"/>
  <c r="AR228" i="1"/>
  <c r="AO228" i="1"/>
  <c r="BF228" i="1" s="1"/>
  <c r="AP279" i="1"/>
  <c r="BG279" i="1" s="1"/>
  <c r="AR279" i="1"/>
  <c r="AO279" i="1"/>
  <c r="BF279" i="1" s="1"/>
  <c r="AO281" i="1"/>
  <c r="BF281" i="1" s="1"/>
  <c r="AR281" i="1"/>
  <c r="AP281" i="1"/>
  <c r="BG281" i="1" s="1"/>
  <c r="AO125" i="1"/>
  <c r="AR125" i="1"/>
  <c r="AP125" i="1"/>
  <c r="BG125" i="1" s="1"/>
  <c r="AP84" i="1"/>
  <c r="BG84" i="1" s="1"/>
  <c r="AO84" i="1"/>
  <c r="BF84" i="1" s="1"/>
  <c r="AR84" i="1"/>
  <c r="AO135" i="1"/>
  <c r="BF135" i="1" s="1"/>
  <c r="AP135" i="1"/>
  <c r="BG135" i="1" s="1"/>
  <c r="AR135" i="1"/>
  <c r="AO75" i="1"/>
  <c r="BF75" i="1" s="1"/>
  <c r="AR75" i="1"/>
  <c r="AP75" i="1"/>
  <c r="BG75" i="1" s="1"/>
  <c r="AR288" i="1"/>
  <c r="AO288" i="1"/>
  <c r="BF288" i="1" s="1"/>
  <c r="AP288" i="1"/>
  <c r="BG288" i="1" s="1"/>
  <c r="AP284" i="1"/>
  <c r="BG284" i="1" s="1"/>
  <c r="AO284" i="1"/>
  <c r="AR284" i="1"/>
  <c r="AR297" i="1"/>
  <c r="AP297" i="1"/>
  <c r="BG297" i="1" s="1"/>
  <c r="AO297" i="1"/>
  <c r="BF297" i="1" s="1"/>
  <c r="AP307" i="1"/>
  <c r="BG307" i="1" s="1"/>
  <c r="AR307" i="1"/>
  <c r="AO307" i="1"/>
  <c r="BF307" i="1" s="1"/>
  <c r="AP222" i="1"/>
  <c r="BG222" i="1" s="1"/>
  <c r="AO222" i="1"/>
  <c r="BF222" i="1" s="1"/>
  <c r="AR222" i="1"/>
  <c r="AR278" i="1"/>
  <c r="AP278" i="1"/>
  <c r="BG278" i="1" s="1"/>
  <c r="AO278" i="1"/>
  <c r="BF278" i="1" s="1"/>
  <c r="AO260" i="1"/>
  <c r="BF260" i="1" s="1"/>
  <c r="AP260" i="1"/>
  <c r="BG260" i="1" s="1"/>
  <c r="AR260" i="1"/>
  <c r="AR51" i="1"/>
  <c r="AP51" i="1"/>
  <c r="BG51" i="1" s="1"/>
  <c r="AO51" i="1"/>
  <c r="BF51" i="1" s="1"/>
  <c r="AP319" i="1"/>
  <c r="BG319" i="1" s="1"/>
  <c r="AO319" i="1"/>
  <c r="BF319" i="1" s="1"/>
  <c r="AR319" i="1"/>
  <c r="AO28" i="1"/>
  <c r="BF28" i="1" s="1"/>
  <c r="AP28" i="1"/>
  <c r="BG28" i="1" s="1"/>
  <c r="AR28" i="1"/>
  <c r="AR296" i="1"/>
  <c r="AP296" i="1"/>
  <c r="BG296" i="1" s="1"/>
  <c r="AO296" i="1"/>
  <c r="BF296" i="1" s="1"/>
  <c r="AP73" i="1"/>
  <c r="BG73" i="1" s="1"/>
  <c r="AO73" i="1"/>
  <c r="BF73" i="1" s="1"/>
  <c r="AR73" i="1"/>
  <c r="AO46" i="1"/>
  <c r="AP46" i="1"/>
  <c r="BG46" i="1" s="1"/>
  <c r="AR46" i="1"/>
  <c r="AO102" i="1"/>
  <c r="BF102" i="1" s="1"/>
  <c r="AR102" i="1"/>
  <c r="AP102" i="1"/>
  <c r="BG102" i="1" s="1"/>
  <c r="AP140" i="1"/>
  <c r="BG140" i="1" s="1"/>
  <c r="AO140" i="1"/>
  <c r="BF140" i="1" s="1"/>
  <c r="AR140" i="1"/>
  <c r="AO195" i="1"/>
  <c r="BF195" i="1" s="1"/>
  <c r="AP195" i="1"/>
  <c r="BG195" i="1" s="1"/>
  <c r="AR195" i="1"/>
  <c r="AR204" i="1"/>
  <c r="AO204" i="1"/>
  <c r="BF204" i="1" s="1"/>
  <c r="AP204" i="1"/>
  <c r="BG204" i="1" s="1"/>
  <c r="AR97" i="1"/>
  <c r="AP97" i="1"/>
  <c r="AO97" i="1"/>
  <c r="BF97" i="1" s="1"/>
  <c r="AP185" i="1"/>
  <c r="BG185" i="1" s="1"/>
  <c r="AR185" i="1"/>
  <c r="AO185" i="1"/>
  <c r="BF185" i="1" s="1"/>
  <c r="AP272" i="1"/>
  <c r="BG272" i="1" s="1"/>
  <c r="AO272" i="1"/>
  <c r="BF272" i="1" s="1"/>
  <c r="AR272" i="1"/>
  <c r="AR147" i="1"/>
  <c r="AP147" i="1"/>
  <c r="BG147" i="1" s="1"/>
  <c r="AO147" i="1"/>
  <c r="BF147" i="1" s="1"/>
  <c r="AP77" i="1"/>
  <c r="BG77" i="1" s="1"/>
  <c r="AR77" i="1"/>
  <c r="AO77" i="1"/>
  <c r="AP141" i="1"/>
  <c r="BG141" i="1" s="1"/>
  <c r="AR141" i="1"/>
  <c r="AO141" i="1"/>
  <c r="BF141" i="1" s="1"/>
  <c r="AP124" i="1"/>
  <c r="BG124" i="1" s="1"/>
  <c r="AO124" i="1"/>
  <c r="BF124" i="1" s="1"/>
  <c r="AR124" i="1"/>
  <c r="AP170" i="1"/>
  <c r="BG170" i="1" s="1"/>
  <c r="AR170" i="1"/>
  <c r="AO170" i="1"/>
  <c r="BF170" i="1" s="1"/>
  <c r="AP153" i="1"/>
  <c r="BG153" i="1" s="1"/>
  <c r="AR153" i="1"/>
  <c r="AO153" i="1"/>
  <c r="BF153" i="1" s="1"/>
  <c r="AP312" i="1"/>
  <c r="BG312" i="1" s="1"/>
  <c r="AO312" i="1"/>
  <c r="BF312" i="1" s="1"/>
  <c r="AR312" i="1"/>
  <c r="AP188" i="1"/>
  <c r="BG188" i="1" s="1"/>
  <c r="AR188" i="1"/>
  <c r="AO188" i="1"/>
  <c r="BF188" i="1" s="1"/>
  <c r="AO39" i="1"/>
  <c r="BF39" i="1" s="1"/>
  <c r="AP39" i="1"/>
  <c r="BG39" i="1" s="1"/>
  <c r="AR39" i="1"/>
  <c r="AR238" i="1"/>
  <c r="AO238" i="1"/>
  <c r="BF238" i="1" s="1"/>
  <c r="AP238" i="1"/>
  <c r="BG238" i="1" s="1"/>
  <c r="AP87" i="1"/>
  <c r="BG87" i="1" s="1"/>
  <c r="AR87" i="1"/>
  <c r="AO87" i="1"/>
  <c r="BF87" i="1" s="1"/>
  <c r="AR267" i="1"/>
  <c r="AP267" i="1"/>
  <c r="BG267" i="1" s="1"/>
  <c r="AO267" i="1"/>
  <c r="BF267" i="1" s="1"/>
  <c r="AR242" i="1"/>
  <c r="AO242" i="1"/>
  <c r="AP242" i="1"/>
  <c r="BG242" i="1" s="1"/>
  <c r="AR41" i="1"/>
  <c r="AO41" i="1"/>
  <c r="BF41" i="1" s="1"/>
  <c r="AP41" i="1"/>
  <c r="BG41" i="1" s="1"/>
  <c r="AP214" i="1"/>
  <c r="BG214" i="1" s="1"/>
  <c r="AR214" i="1"/>
  <c r="AO214" i="1"/>
  <c r="BF214" i="1" s="1"/>
  <c r="AP149" i="1"/>
  <c r="BG149" i="1" s="1"/>
  <c r="AO149" i="1"/>
  <c r="BF149" i="1" s="1"/>
  <c r="AR149" i="1"/>
  <c r="AR152" i="1"/>
  <c r="AP152" i="1"/>
  <c r="BG152" i="1" s="1"/>
  <c r="AO152" i="1"/>
  <c r="BF152" i="1" s="1"/>
  <c r="AP276" i="1"/>
  <c r="BG276" i="1" s="1"/>
  <c r="AR276" i="1"/>
  <c r="AO276" i="1"/>
  <c r="AR117" i="1"/>
  <c r="AP117" i="1"/>
  <c r="BG117" i="1" s="1"/>
  <c r="AO117" i="1"/>
  <c r="BF117" i="1" s="1"/>
  <c r="AP239" i="1"/>
  <c r="BG239" i="1" s="1"/>
  <c r="AR239" i="1"/>
  <c r="AO239" i="1"/>
  <c r="BF239" i="1" s="1"/>
  <c r="AO19" i="1"/>
  <c r="BF19" i="1" s="1"/>
  <c r="AP19" i="1"/>
  <c r="BG19" i="1" s="1"/>
  <c r="AR19" i="1"/>
  <c r="AO17" i="1"/>
  <c r="BF17" i="1" s="1"/>
  <c r="AR17" i="1"/>
  <c r="AP17" i="1"/>
  <c r="BG17" i="1" s="1"/>
  <c r="AO283" i="1"/>
  <c r="BF283" i="1" s="1"/>
  <c r="AR283" i="1"/>
  <c r="AP283" i="1"/>
  <c r="BG283" i="1" s="1"/>
  <c r="AP192" i="1"/>
  <c r="AR192" i="1"/>
  <c r="AO192" i="1"/>
  <c r="BF192" i="1" s="1"/>
  <c r="AP36" i="1"/>
  <c r="BG36" i="1" s="1"/>
  <c r="AR36" i="1"/>
  <c r="AO36" i="1"/>
  <c r="BF36" i="1" s="1"/>
  <c r="AR85" i="1"/>
  <c r="AO85" i="1"/>
  <c r="BF85" i="1" s="1"/>
  <c r="AP85" i="1"/>
  <c r="BG85" i="1" s="1"/>
  <c r="AO15" i="1"/>
  <c r="BF15" i="1" s="1"/>
  <c r="AR15" i="1"/>
  <c r="AP15" i="1"/>
  <c r="BG15" i="1" s="1"/>
  <c r="AO256" i="1"/>
  <c r="BF256" i="1" s="1"/>
  <c r="AP256" i="1"/>
  <c r="BG256" i="1" s="1"/>
  <c r="AR256" i="1"/>
  <c r="AO325" i="1"/>
  <c r="BF325" i="1" s="1"/>
  <c r="AR325" i="1"/>
  <c r="AP325" i="1"/>
  <c r="BG325" i="1" s="1"/>
  <c r="AR142" i="1"/>
  <c r="AP142" i="1"/>
  <c r="BG142" i="1" s="1"/>
  <c r="AO142" i="1"/>
  <c r="BF142" i="1" s="1"/>
  <c r="AP255" i="1"/>
  <c r="BG255" i="1" s="1"/>
  <c r="AO255" i="1"/>
  <c r="BF255" i="1" s="1"/>
  <c r="AR255" i="1"/>
  <c r="AP240" i="1"/>
  <c r="BG240" i="1" s="1"/>
  <c r="AO240" i="1"/>
  <c r="BF240" i="1" s="1"/>
  <c r="AR240" i="1"/>
  <c r="AP127" i="1"/>
  <c r="BG127" i="1" s="1"/>
  <c r="AR127" i="1"/>
  <c r="AO127" i="1"/>
  <c r="BF127" i="1" s="1"/>
  <c r="AO90" i="1"/>
  <c r="BF90" i="1" s="1"/>
  <c r="AR90" i="1"/>
  <c r="AP90" i="1"/>
  <c r="BG90" i="1" s="1"/>
  <c r="AO210" i="1"/>
  <c r="BF210" i="1" s="1"/>
  <c r="AP210" i="1"/>
  <c r="BG210" i="1" s="1"/>
  <c r="AR210" i="1"/>
  <c r="AO177" i="1"/>
  <c r="BF177" i="1" s="1"/>
  <c r="AP177" i="1"/>
  <c r="BG177" i="1" s="1"/>
  <c r="AR177" i="1"/>
  <c r="AP244" i="1"/>
  <c r="BG244" i="1" s="1"/>
  <c r="AO244" i="1"/>
  <c r="BF244" i="1" s="1"/>
  <c r="AR244" i="1"/>
  <c r="AR232" i="1"/>
  <c r="AO232" i="1"/>
  <c r="BF232" i="1" s="1"/>
  <c r="AP232" i="1"/>
  <c r="BG232" i="1" s="1"/>
  <c r="AP269" i="1"/>
  <c r="BG269" i="1" s="1"/>
  <c r="AR269" i="1"/>
  <c r="AO269" i="1"/>
  <c r="BF269" i="1" s="1"/>
  <c r="AP78" i="1"/>
  <c r="AR78" i="1"/>
  <c r="AO78" i="1"/>
  <c r="BF78" i="1" s="1"/>
  <c r="AR266" i="1"/>
  <c r="AP266" i="1"/>
  <c r="BG266" i="1" s="1"/>
  <c r="AO266" i="1"/>
  <c r="BF266" i="1" s="1"/>
  <c r="AO226" i="1"/>
  <c r="BF226" i="1" s="1"/>
  <c r="AP226" i="1"/>
  <c r="BG226" i="1" s="1"/>
  <c r="AR226" i="1"/>
  <c r="AP306" i="1"/>
  <c r="BG306" i="1" s="1"/>
  <c r="AO306" i="1"/>
  <c r="BF306" i="1" s="1"/>
  <c r="AR306" i="1"/>
  <c r="AO23" i="1"/>
  <c r="BF23" i="1" s="1"/>
  <c r="AR23" i="1"/>
  <c r="AP23" i="1"/>
  <c r="BG23" i="1" s="1"/>
  <c r="AO30" i="1"/>
  <c r="BF30" i="1" s="1"/>
  <c r="AP30" i="1"/>
  <c r="AR30" i="1"/>
  <c r="AP118" i="1"/>
  <c r="BG118" i="1" s="1"/>
  <c r="AR118" i="1"/>
  <c r="AO118" i="1"/>
  <c r="BF118" i="1" s="1"/>
  <c r="AO299" i="1"/>
  <c r="BF299" i="1" s="1"/>
  <c r="AP299" i="1"/>
  <c r="BG299" i="1" s="1"/>
  <c r="AR299" i="1"/>
  <c r="AO26" i="1"/>
  <c r="BF26" i="1" s="1"/>
  <c r="AP26" i="1"/>
  <c r="BG26" i="1" s="1"/>
  <c r="AR26" i="1"/>
  <c r="AR206" i="1"/>
  <c r="AP206" i="1"/>
  <c r="BG206" i="1" s="1"/>
  <c r="AO206" i="1"/>
  <c r="BF206" i="1" s="1"/>
  <c r="AO42" i="1"/>
  <c r="BF42" i="1" s="1"/>
  <c r="AR42" i="1"/>
  <c r="AP42" i="1"/>
  <c r="BG42" i="1" s="1"/>
  <c r="AP216" i="1"/>
  <c r="BG216" i="1" s="1"/>
  <c r="AR216" i="1"/>
  <c r="AO216" i="1"/>
  <c r="BF216" i="1" s="1"/>
  <c r="AO105" i="1"/>
  <c r="BF105" i="1" s="1"/>
  <c r="AR105" i="1"/>
  <c r="AP105" i="1"/>
  <c r="BG105" i="1" s="1"/>
  <c r="AR229" i="1"/>
  <c r="AP229" i="1"/>
  <c r="BG229" i="1" s="1"/>
  <c r="AO229" i="1"/>
  <c r="BF229" i="1" s="1"/>
  <c r="AO32" i="1"/>
  <c r="BF32" i="1" s="1"/>
  <c r="AR32" i="1"/>
  <c r="AP32" i="1"/>
  <c r="BG32" i="1" s="1"/>
  <c r="AR286" i="1"/>
  <c r="AP286" i="1"/>
  <c r="BG286" i="1" s="1"/>
  <c r="AO286" i="1"/>
  <c r="BF286" i="1" s="1"/>
  <c r="AP311" i="1"/>
  <c r="AR311" i="1"/>
  <c r="AO311" i="1"/>
  <c r="BF311" i="1" s="1"/>
  <c r="AP132" i="1"/>
  <c r="BG132" i="1" s="1"/>
  <c r="AR132" i="1"/>
  <c r="AO132" i="1"/>
  <c r="BF132" i="1" s="1"/>
  <c r="AO129" i="1"/>
  <c r="BF129" i="1" s="1"/>
  <c r="AR129" i="1"/>
  <c r="AP129" i="1"/>
  <c r="BG129" i="1" s="1"/>
  <c r="AR88" i="1"/>
  <c r="AP88" i="1"/>
  <c r="BG88" i="1" s="1"/>
  <c r="AO88" i="1"/>
  <c r="BF88" i="1" s="1"/>
  <c r="AP215" i="1"/>
  <c r="BG215" i="1" s="1"/>
  <c r="AR215" i="1"/>
  <c r="AO215" i="1"/>
  <c r="BF215" i="1" s="1"/>
  <c r="AP96" i="1"/>
  <c r="BG96" i="1" s="1"/>
  <c r="AR96" i="1"/>
  <c r="AO96" i="1"/>
  <c r="BF96" i="1" s="1"/>
  <c r="AP64" i="1"/>
  <c r="BG64" i="1" s="1"/>
  <c r="AO64" i="1"/>
  <c r="BF64" i="1" s="1"/>
  <c r="AR64" i="1"/>
  <c r="AO113" i="1"/>
  <c r="BF113" i="1" s="1"/>
  <c r="AP113" i="1"/>
  <c r="BG113" i="1" s="1"/>
  <c r="AR113" i="1"/>
  <c r="AR317" i="1"/>
  <c r="AO317" i="1"/>
  <c r="BF317" i="1" s="1"/>
  <c r="AP317" i="1"/>
  <c r="BG317" i="1" s="1"/>
  <c r="AP171" i="1"/>
  <c r="BG171" i="1" s="1"/>
  <c r="AR171" i="1"/>
  <c r="AO171" i="1"/>
  <c r="BF171" i="1" s="1"/>
  <c r="AR233" i="1"/>
  <c r="AP233" i="1"/>
  <c r="BG233" i="1" s="1"/>
  <c r="AO233" i="1"/>
  <c r="AO82" i="1"/>
  <c r="BF82" i="1" s="1"/>
  <c r="AP82" i="1"/>
  <c r="BG82" i="1" s="1"/>
  <c r="AR82" i="1"/>
  <c r="AP27" i="1"/>
  <c r="BG27" i="1" s="1"/>
  <c r="AR27" i="1"/>
  <c r="AO27" i="1"/>
  <c r="BF27" i="1" s="1"/>
  <c r="AP246" i="1"/>
  <c r="BG246" i="1" s="1"/>
  <c r="AO246" i="1"/>
  <c r="BF246" i="1" s="1"/>
  <c r="AR246" i="1"/>
  <c r="AO342" i="1"/>
  <c r="BF342" i="1" s="1"/>
  <c r="AP342" i="1"/>
  <c r="BG342" i="1" s="1"/>
  <c r="AR342" i="1"/>
  <c r="AR201" i="1"/>
  <c r="AO201" i="1"/>
  <c r="BF201" i="1" s="1"/>
  <c r="AP201" i="1"/>
  <c r="BG201" i="1" s="1"/>
  <c r="AR196" i="1"/>
  <c r="AP196" i="1"/>
  <c r="BG196" i="1" s="1"/>
  <c r="AO196" i="1"/>
  <c r="BF196" i="1" s="1"/>
  <c r="AR250" i="1"/>
  <c r="AO250" i="1"/>
  <c r="BF250" i="1" s="1"/>
  <c r="AP250" i="1"/>
  <c r="BG250" i="1" s="1"/>
  <c r="AP57" i="1"/>
  <c r="BG57" i="1" s="1"/>
  <c r="AO57" i="1"/>
  <c r="BF57" i="1" s="1"/>
  <c r="AR57" i="1"/>
  <c r="AO139" i="1"/>
  <c r="BF139" i="1" s="1"/>
  <c r="AP139" i="1"/>
  <c r="BG139" i="1" s="1"/>
  <c r="AR139" i="1"/>
  <c r="AP119" i="1"/>
  <c r="BG119" i="1" s="1"/>
  <c r="AR119" i="1"/>
  <c r="AO119" i="1"/>
  <c r="BF119" i="1" s="1"/>
  <c r="AP175" i="1"/>
  <c r="BG175" i="1" s="1"/>
  <c r="AO175" i="1"/>
  <c r="AR175" i="1"/>
  <c r="AP202" i="1"/>
  <c r="BG202" i="1" s="1"/>
  <c r="AO202" i="1"/>
  <c r="BF202" i="1" s="1"/>
  <c r="AR202" i="1"/>
  <c r="AP205" i="1"/>
  <c r="BG205" i="1" s="1"/>
  <c r="AO205" i="1"/>
  <c r="BF205" i="1" s="1"/>
  <c r="AR205" i="1"/>
  <c r="AO245" i="1"/>
  <c r="BF245" i="1" s="1"/>
  <c r="AP245" i="1"/>
  <c r="BG245" i="1" s="1"/>
  <c r="AR245" i="1"/>
  <c r="AP236" i="1"/>
  <c r="BG236" i="1" s="1"/>
  <c r="AO236" i="1"/>
  <c r="BF236" i="1" s="1"/>
  <c r="AR236" i="1"/>
  <c r="AP197" i="1"/>
  <c r="BG197" i="1" s="1"/>
  <c r="AR197" i="1"/>
  <c r="AO197" i="1"/>
  <c r="BF197" i="1" s="1"/>
  <c r="AR161" i="1"/>
  <c r="AP161" i="1"/>
  <c r="BG161" i="1" s="1"/>
  <c r="AO161" i="1"/>
  <c r="BF161" i="1" s="1"/>
  <c r="AR273" i="1"/>
  <c r="AO273" i="1"/>
  <c r="BF273" i="1" s="1"/>
  <c r="AP273" i="1"/>
  <c r="BG273" i="1" s="1"/>
  <c r="AP80" i="1"/>
  <c r="BG80" i="1" s="1"/>
  <c r="AO80" i="1"/>
  <c r="BF80" i="1" s="1"/>
  <c r="AR80" i="1"/>
  <c r="AP263" i="1"/>
  <c r="BG263" i="1" s="1"/>
  <c r="AR263" i="1"/>
  <c r="AO263" i="1"/>
  <c r="BF263" i="1" s="1"/>
  <c r="AP144" i="1"/>
  <c r="BG144" i="1" s="1"/>
  <c r="AR144" i="1"/>
  <c r="AO144" i="1"/>
  <c r="BF144" i="1" s="1"/>
  <c r="AO221" i="1"/>
  <c r="AP221" i="1"/>
  <c r="BG221" i="1" s="1"/>
  <c r="AR221" i="1"/>
  <c r="AP291" i="1"/>
  <c r="BG291" i="1" s="1"/>
  <c r="AO291" i="1"/>
  <c r="BF291" i="1" s="1"/>
  <c r="AR291" i="1"/>
  <c r="AO235" i="1"/>
  <c r="BF235" i="1" s="1"/>
  <c r="AR235" i="1"/>
  <c r="AP235" i="1"/>
  <c r="BG235" i="1" s="1"/>
  <c r="AO213" i="1"/>
  <c r="BF213" i="1" s="1"/>
  <c r="AR213" i="1"/>
  <c r="AP213" i="1"/>
  <c r="BG213" i="1" s="1"/>
  <c r="AP112" i="1"/>
  <c r="BG112" i="1" s="1"/>
  <c r="AR112" i="1"/>
  <c r="AO112" i="1"/>
  <c r="BF112" i="1" s="1"/>
  <c r="AR165" i="1"/>
  <c r="AP165" i="1"/>
  <c r="AO165" i="1"/>
  <c r="BF165" i="1" s="1"/>
  <c r="AO258" i="1"/>
  <c r="BF258" i="1" s="1"/>
  <c r="AR258" i="1"/>
  <c r="AP258" i="1"/>
  <c r="BG258" i="1" s="1"/>
  <c r="AO189" i="1"/>
  <c r="BF189" i="1" s="1"/>
  <c r="AR189" i="1"/>
  <c r="AP189" i="1"/>
  <c r="BG189" i="1" s="1"/>
  <c r="AO83" i="1"/>
  <c r="BF83" i="1" s="1"/>
  <c r="AR83" i="1"/>
  <c r="AP83" i="1"/>
  <c r="BG83" i="1" s="1"/>
  <c r="AP53" i="1"/>
  <c r="BG53" i="1" s="1"/>
  <c r="AR53" i="1"/>
  <c r="AO53" i="1"/>
  <c r="BF53" i="1" s="1"/>
  <c r="AR298" i="1"/>
  <c r="AP298" i="1"/>
  <c r="BG298" i="1" s="1"/>
  <c r="AO298" i="1"/>
  <c r="AP79" i="1"/>
  <c r="BG79" i="1" s="1"/>
  <c r="AO79" i="1"/>
  <c r="BF79" i="1" s="1"/>
  <c r="AR79" i="1"/>
  <c r="AP300" i="1"/>
  <c r="BG300" i="1" s="1"/>
  <c r="AO300" i="1"/>
  <c r="BF300" i="1" s="1"/>
  <c r="AR300" i="1"/>
  <c r="AP134" i="1"/>
  <c r="BG134" i="1" s="1"/>
  <c r="AR134" i="1"/>
  <c r="AO134" i="1"/>
  <c r="BF134" i="1" s="1"/>
  <c r="AO49" i="1"/>
  <c r="BF49" i="1" s="1"/>
  <c r="AR49" i="1"/>
  <c r="AP49" i="1"/>
  <c r="BG49" i="1" s="1"/>
  <c r="AP104" i="1"/>
  <c r="BG104" i="1" s="1"/>
  <c r="AR104" i="1"/>
  <c r="AO104" i="1"/>
  <c r="BF104" i="1" s="1"/>
  <c r="AP150" i="1"/>
  <c r="AO150" i="1"/>
  <c r="BF150" i="1" s="1"/>
  <c r="AR150" i="1"/>
  <c r="AR274" i="1"/>
  <c r="AP274" i="1"/>
  <c r="BG274" i="1" s="1"/>
  <c r="AO274" i="1"/>
  <c r="BF274" i="1" s="1"/>
  <c r="AP303" i="1"/>
  <c r="BG303" i="1" s="1"/>
  <c r="AR303" i="1"/>
  <c r="AO303" i="1"/>
  <c r="BF303" i="1" s="1"/>
  <c r="AO22" i="1"/>
  <c r="BF22" i="1" s="1"/>
  <c r="AP22" i="1"/>
  <c r="BG22" i="1" s="1"/>
  <c r="AR22" i="1"/>
  <c r="AP207" i="1"/>
  <c r="BG207" i="1" s="1"/>
  <c r="AR207" i="1"/>
  <c r="AO207" i="1"/>
  <c r="BF207" i="1" s="1"/>
  <c r="AO295" i="1"/>
  <c r="BF295" i="1" s="1"/>
  <c r="AR295" i="1"/>
  <c r="AP295" i="1"/>
  <c r="BG295" i="1" s="1"/>
  <c r="AR208" i="1"/>
  <c r="AO208" i="1"/>
  <c r="BF208" i="1" s="1"/>
  <c r="AP208" i="1"/>
  <c r="BG208" i="1" s="1"/>
  <c r="AP180" i="1"/>
  <c r="BG180" i="1" s="1"/>
  <c r="AO180" i="1"/>
  <c r="BF180" i="1" s="1"/>
  <c r="AR180" i="1"/>
  <c r="AR143" i="1"/>
  <c r="AO143" i="1"/>
  <c r="BF143" i="1" s="1"/>
  <c r="AP143" i="1"/>
  <c r="BG143" i="1" s="1"/>
  <c r="AP212" i="1"/>
  <c r="BG212" i="1" s="1"/>
  <c r="AR212" i="1"/>
  <c r="AO212" i="1"/>
  <c r="BF212" i="1" s="1"/>
  <c r="AO337" i="1"/>
  <c r="BF337" i="1" s="1"/>
  <c r="AR337" i="1"/>
  <c r="AP337" i="1"/>
  <c r="AO253" i="1"/>
  <c r="BF253" i="1" s="1"/>
  <c r="AP253" i="1"/>
  <c r="BG253" i="1" s="1"/>
  <c r="AR253" i="1"/>
  <c r="AP335" i="1"/>
  <c r="BG335" i="1" s="1"/>
  <c r="AO335" i="1"/>
  <c r="AR335" i="1"/>
  <c r="AO282" i="1"/>
  <c r="BF282" i="1" s="1"/>
  <c r="AP282" i="1"/>
  <c r="BG282" i="1" s="1"/>
  <c r="AR282" i="1"/>
  <c r="AR340" i="1"/>
  <c r="AP340" i="1"/>
  <c r="BG340" i="1" s="1"/>
  <c r="AO340" i="1"/>
  <c r="BF340" i="1" s="1"/>
  <c r="AP122" i="1"/>
  <c r="BG122" i="1" s="1"/>
  <c r="AR122" i="1"/>
  <c r="AO122" i="1"/>
  <c r="BF122" i="1" s="1"/>
  <c r="AR328" i="1"/>
  <c r="AP328" i="1"/>
  <c r="AO328" i="1"/>
  <c r="AR314" i="1"/>
  <c r="AP314" i="1"/>
  <c r="BG314" i="1" s="1"/>
  <c r="AO314" i="1"/>
  <c r="BF314" i="1" s="1"/>
  <c r="AP184" i="1"/>
  <c r="BG184" i="1" s="1"/>
  <c r="AR184" i="1"/>
  <c r="AO184" i="1"/>
  <c r="BF184" i="1" s="1"/>
  <c r="AP341" i="1"/>
  <c r="BG341" i="1" s="1"/>
  <c r="AR341" i="1"/>
  <c r="AO341" i="1"/>
  <c r="BF341" i="1" s="1"/>
  <c r="AP211" i="1"/>
  <c r="BG211" i="1" s="1"/>
  <c r="AR211" i="1"/>
  <c r="AO211" i="1"/>
  <c r="BF211" i="1" s="1"/>
  <c r="AR194" i="1"/>
  <c r="AO194" i="1"/>
  <c r="AP194" i="1"/>
  <c r="BG194" i="1" s="1"/>
  <c r="AP116" i="1"/>
  <c r="BG116" i="1" s="1"/>
  <c r="AO116" i="1"/>
  <c r="BF116" i="1" s="1"/>
  <c r="AR116" i="1"/>
  <c r="AR219" i="1"/>
  <c r="AO219" i="1"/>
  <c r="BF219" i="1" s="1"/>
  <c r="AP219" i="1"/>
  <c r="BG219" i="1" s="1"/>
  <c r="AO329" i="1"/>
  <c r="BF329" i="1" s="1"/>
  <c r="AP329" i="1"/>
  <c r="BG329" i="1" s="1"/>
  <c r="AR329" i="1"/>
  <c r="AO121" i="1"/>
  <c r="BF121" i="1" s="1"/>
  <c r="AP121" i="1"/>
  <c r="BG121" i="1" s="1"/>
  <c r="AR121" i="1"/>
  <c r="AR66" i="1"/>
  <c r="AP66" i="1"/>
  <c r="BG66" i="1" s="1"/>
  <c r="AO66" i="1"/>
  <c r="AP67" i="1"/>
  <c r="BG67" i="1" s="1"/>
  <c r="AR67" i="1"/>
  <c r="AO67" i="1"/>
  <c r="BF67" i="1" s="1"/>
  <c r="AR62" i="1"/>
  <c r="AO62" i="1"/>
  <c r="BF62" i="1" s="1"/>
  <c r="AP62" i="1"/>
  <c r="BG62" i="1" s="1"/>
  <c r="AR155" i="1"/>
  <c r="AO155" i="1"/>
  <c r="BF155" i="1" s="1"/>
  <c r="AP155" i="1"/>
  <c r="BG155" i="1" s="1"/>
  <c r="AO14" i="1"/>
  <c r="BF14" i="1" s="1"/>
  <c r="AR14" i="1"/>
  <c r="AP14" i="1"/>
  <c r="BG14" i="1" s="1"/>
  <c r="AP145" i="1"/>
  <c r="BG145" i="1" s="1"/>
  <c r="AR145" i="1"/>
  <c r="AO145" i="1"/>
  <c r="BF145" i="1" s="1"/>
  <c r="AP48" i="1"/>
  <c r="AR48" i="1"/>
  <c r="AO48" i="1"/>
  <c r="BF48" i="1" s="1"/>
  <c r="AO320" i="1"/>
  <c r="BF320" i="1" s="1"/>
  <c r="AP320" i="1"/>
  <c r="BG320" i="1" s="1"/>
  <c r="AR320" i="1"/>
  <c r="AR25" i="1"/>
  <c r="AP25" i="1"/>
  <c r="BG25" i="1" s="1"/>
  <c r="AO25" i="1"/>
  <c r="BF25" i="1" s="1"/>
  <c r="AO159" i="1"/>
  <c r="BF159" i="1" s="1"/>
  <c r="AP159" i="1"/>
  <c r="BG159" i="1" s="1"/>
  <c r="AR159" i="1"/>
  <c r="AR157" i="1"/>
  <c r="AO157" i="1"/>
  <c r="BF157" i="1" s="1"/>
  <c r="AP157" i="1"/>
  <c r="BG157" i="1" s="1"/>
  <c r="AO327" i="1"/>
  <c r="BF327" i="1" s="1"/>
  <c r="AP327" i="1"/>
  <c r="AR327" i="1"/>
  <c r="AP99" i="1"/>
  <c r="BG99" i="1" s="1"/>
  <c r="AO99" i="1"/>
  <c r="BF99" i="1" s="1"/>
  <c r="AR99" i="1"/>
  <c r="AO292" i="1"/>
  <c r="BF292" i="1" s="1"/>
  <c r="AP292" i="1"/>
  <c r="BG292" i="1" s="1"/>
  <c r="AR292" i="1"/>
  <c r="AR162" i="1"/>
  <c r="AO162" i="1"/>
  <c r="BF162" i="1" s="1"/>
  <c r="AP162" i="1"/>
  <c r="BG162" i="1" s="1"/>
  <c r="AP138" i="1"/>
  <c r="BG138" i="1" s="1"/>
  <c r="AO138" i="1"/>
  <c r="BF138" i="1" s="1"/>
  <c r="AR138" i="1"/>
  <c r="AR176" i="1"/>
  <c r="AO176" i="1"/>
  <c r="BF176" i="1" s="1"/>
  <c r="AP176" i="1"/>
  <c r="AO52" i="1"/>
  <c r="BF52" i="1" s="1"/>
  <c r="AP52" i="1"/>
  <c r="BG52" i="1" s="1"/>
  <c r="AR52" i="1"/>
  <c r="AR108" i="1"/>
  <c r="AO108" i="1"/>
  <c r="BF108" i="1" s="1"/>
  <c r="AP108" i="1"/>
  <c r="BG108" i="1" s="1"/>
  <c r="AO186" i="1"/>
  <c r="BF186" i="1" s="1"/>
  <c r="AR186" i="1"/>
  <c r="AP186" i="1"/>
  <c r="BG186" i="1" s="1"/>
  <c r="AP103" i="1"/>
  <c r="BG103" i="1" s="1"/>
  <c r="AR103" i="1"/>
  <c r="AO103" i="1"/>
  <c r="BF103" i="1" s="1"/>
  <c r="AR98" i="1"/>
  <c r="AP98" i="1"/>
  <c r="BG98" i="1" s="1"/>
  <c r="AO98" i="1"/>
  <c r="BF98" i="1" s="1"/>
  <c r="AR223" i="1"/>
  <c r="AO223" i="1"/>
  <c r="BF223" i="1" s="1"/>
  <c r="AP223" i="1"/>
  <c r="BG223" i="1" s="1"/>
  <c r="AO234" i="1"/>
  <c r="BF234" i="1" s="1"/>
  <c r="AP234" i="1"/>
  <c r="BG234" i="1" s="1"/>
  <c r="AR234" i="1"/>
  <c r="AR193" i="1"/>
  <c r="AO193" i="1"/>
  <c r="BF193" i="1" s="1"/>
  <c r="AP193" i="1"/>
  <c r="BG193" i="1" s="1"/>
  <c r="AO257" i="1"/>
  <c r="BF257" i="1" s="1"/>
  <c r="AR257" i="1"/>
  <c r="AP257" i="1"/>
  <c r="BG257" i="1" s="1"/>
  <c r="AO209" i="1"/>
  <c r="BF209" i="1" s="1"/>
  <c r="AR209" i="1"/>
  <c r="AP209" i="1"/>
  <c r="BG209" i="1" s="1"/>
  <c r="AO114" i="1"/>
  <c r="BF114" i="1" s="1"/>
  <c r="AR114" i="1"/>
  <c r="AP114" i="1"/>
  <c r="BG114" i="1" s="1"/>
  <c r="AR172" i="1"/>
  <c r="AP172" i="1"/>
  <c r="BG172" i="1" s="1"/>
  <c r="AO172" i="1"/>
  <c r="AR168" i="1"/>
  <c r="AP168" i="1"/>
  <c r="BG168" i="1" s="1"/>
  <c r="AO168" i="1"/>
  <c r="BF168" i="1" s="1"/>
  <c r="AP164" i="1"/>
  <c r="BG164" i="1" s="1"/>
  <c r="AO164" i="1"/>
  <c r="BF164" i="1" s="1"/>
  <c r="AR164" i="1"/>
  <c r="AP71" i="1"/>
  <c r="BG71" i="1" s="1"/>
  <c r="AR71" i="1"/>
  <c r="AO71" i="1"/>
  <c r="BF71" i="1" s="1"/>
  <c r="AR130" i="1"/>
  <c r="AO130" i="1"/>
  <c r="BF130" i="1" s="1"/>
  <c r="AP130" i="1"/>
  <c r="AR91" i="1"/>
  <c r="AP91" i="1"/>
  <c r="BG91" i="1" s="1"/>
  <c r="AO91" i="1"/>
  <c r="BF91" i="1" s="1"/>
  <c r="AR63" i="1"/>
  <c r="AP63" i="1"/>
  <c r="BG63" i="1" s="1"/>
  <c r="AO63" i="1"/>
  <c r="BF63" i="1" s="1"/>
  <c r="AO247" i="1"/>
  <c r="BF247" i="1" s="1"/>
  <c r="AR247" i="1"/>
  <c r="AP247" i="1"/>
  <c r="BG247" i="1" s="1"/>
  <c r="AP148" i="1"/>
  <c r="BG148" i="1" s="1"/>
  <c r="AO148" i="1"/>
  <c r="BF148" i="1" s="1"/>
  <c r="AR148" i="1"/>
  <c r="AR43" i="1"/>
  <c r="AO43" i="1"/>
  <c r="BF43" i="1" s="1"/>
  <c r="AP43" i="1"/>
  <c r="BG43" i="1" s="1"/>
  <c r="AP31" i="1"/>
  <c r="BG31" i="1" s="1"/>
  <c r="AR31" i="1"/>
  <c r="AO31" i="1"/>
  <c r="BF31" i="1" s="1"/>
  <c r="AP181" i="1"/>
  <c r="BG181" i="1" s="1"/>
  <c r="AO181" i="1"/>
  <c r="BF181" i="1" s="1"/>
  <c r="AR181" i="1"/>
  <c r="AR107" i="1"/>
  <c r="AP107" i="1"/>
  <c r="BG107" i="1" s="1"/>
  <c r="AO107" i="1"/>
  <c r="BF107" i="1" s="1"/>
  <c r="AP131" i="1"/>
  <c r="BG131" i="1" s="1"/>
  <c r="AR131" i="1"/>
  <c r="AO131" i="1"/>
  <c r="BF131" i="1" s="1"/>
  <c r="AO326" i="1"/>
  <c r="BF326" i="1" s="1"/>
  <c r="AP326" i="1"/>
  <c r="BG326" i="1" s="1"/>
  <c r="AR326" i="1"/>
  <c r="AR290" i="1"/>
  <c r="AO290" i="1"/>
  <c r="AP290" i="1"/>
  <c r="BG290" i="1" s="1"/>
  <c r="AP166" i="1"/>
  <c r="BG166" i="1" s="1"/>
  <c r="AR166" i="1"/>
  <c r="AO166" i="1"/>
  <c r="BF166" i="1" s="1"/>
  <c r="AP304" i="1"/>
  <c r="BG304" i="1" s="1"/>
  <c r="AR304" i="1"/>
  <c r="AO304" i="1"/>
  <c r="BF304" i="1" s="1"/>
  <c r="AR120" i="1"/>
  <c r="AP120" i="1"/>
  <c r="BG120" i="1" s="1"/>
  <c r="AO120" i="1"/>
  <c r="BF120" i="1" s="1"/>
  <c r="AP277" i="1"/>
  <c r="BG277" i="1" s="1"/>
  <c r="AR277" i="1"/>
  <c r="AO277" i="1"/>
  <c r="BF277" i="1" s="1"/>
  <c r="AP265" i="1"/>
  <c r="BG265" i="1" s="1"/>
  <c r="AR265" i="1"/>
  <c r="AO265" i="1"/>
  <c r="AP136" i="1"/>
  <c r="BG136" i="1" s="1"/>
  <c r="AR136" i="1"/>
  <c r="AO136" i="1"/>
  <c r="BF136" i="1" s="1"/>
  <c r="AR289" i="1"/>
  <c r="AO289" i="1"/>
  <c r="BF289" i="1" s="1"/>
  <c r="AP289" i="1"/>
  <c r="BG289" i="1" s="1"/>
  <c r="AP45" i="1"/>
  <c r="BG45" i="1" s="1"/>
  <c r="AO45" i="1"/>
  <c r="BF45" i="1" s="1"/>
  <c r="AR45" i="1"/>
  <c r="AP203" i="1"/>
  <c r="BG203" i="1" s="1"/>
  <c r="AR203" i="1"/>
  <c r="AO203" i="1"/>
  <c r="BF203" i="1" s="1"/>
  <c r="AP199" i="1"/>
  <c r="BG199" i="1" s="1"/>
  <c r="AR199" i="1"/>
  <c r="AO199" i="1"/>
  <c r="BF199" i="1" s="1"/>
  <c r="AP160" i="1"/>
  <c r="BG160" i="1" s="1"/>
  <c r="AO160" i="1"/>
  <c r="BF160" i="1" s="1"/>
  <c r="AR160" i="1"/>
  <c r="AO230" i="1"/>
  <c r="BF230" i="1" s="1"/>
  <c r="AR230" i="1"/>
  <c r="AP230" i="1"/>
  <c r="AO190" i="1"/>
  <c r="BF190" i="1" s="1"/>
  <c r="AP190" i="1"/>
  <c r="BG190" i="1" s="1"/>
  <c r="AR190" i="1"/>
  <c r="AP218" i="1"/>
  <c r="BG218" i="1" s="1"/>
  <c r="AO218" i="1"/>
  <c r="BF218" i="1" s="1"/>
  <c r="AR218" i="1"/>
  <c r="AO86" i="1"/>
  <c r="BF86" i="1" s="1"/>
  <c r="AR86" i="1"/>
  <c r="AP86" i="1"/>
  <c r="BG86" i="1" s="1"/>
  <c r="AO50" i="1"/>
  <c r="BF50" i="1" s="1"/>
  <c r="AP50" i="1"/>
  <c r="AR50" i="1"/>
  <c r="AP313" i="1"/>
  <c r="BG313" i="1" s="1"/>
  <c r="AR313" i="1"/>
  <c r="AO313" i="1"/>
  <c r="BF313" i="1" s="1"/>
  <c r="AP40" i="1"/>
  <c r="BG40" i="1" s="1"/>
  <c r="AR40" i="1"/>
  <c r="AO40" i="1"/>
  <c r="BF40" i="1" s="1"/>
  <c r="AP111" i="1"/>
  <c r="BG111" i="1" s="1"/>
  <c r="AR111" i="1"/>
  <c r="AO111" i="1"/>
  <c r="BF111" i="1" s="1"/>
  <c r="AO29" i="1"/>
  <c r="BF29" i="1" s="1"/>
  <c r="AR29" i="1"/>
  <c r="AP29" i="1"/>
  <c r="BG29" i="1" s="1"/>
  <c r="AO310" i="1"/>
  <c r="BF310" i="1" s="1"/>
  <c r="AR310" i="1"/>
  <c r="AP310" i="1"/>
  <c r="BG310" i="1" s="1"/>
  <c r="AP217" i="1"/>
  <c r="BG217" i="1" s="1"/>
  <c r="AR217" i="1"/>
  <c r="AO217" i="1"/>
  <c r="AP191" i="1"/>
  <c r="BG191" i="1" s="1"/>
  <c r="AO191" i="1"/>
  <c r="BF191" i="1" s="1"/>
  <c r="AR191" i="1"/>
  <c r="AR59" i="1"/>
  <c r="AP59" i="1"/>
  <c r="BG59" i="1" s="1"/>
  <c r="AO59" i="1"/>
  <c r="BF59" i="1" s="1"/>
  <c r="AO333" i="1"/>
  <c r="BF333" i="1" s="1"/>
  <c r="AR333" i="1"/>
  <c r="AP333" i="1"/>
  <c r="BG333" i="1" s="1"/>
  <c r="AO133" i="1"/>
  <c r="BF133" i="1" s="1"/>
  <c r="AP133" i="1"/>
  <c r="BG133" i="1" s="1"/>
  <c r="AR133" i="1"/>
  <c r="AP72" i="1"/>
  <c r="AR72" i="1"/>
  <c r="AO72" i="1"/>
  <c r="BF72" i="1" s="1"/>
  <c r="AP115" i="1"/>
  <c r="BG115" i="1" s="1"/>
  <c r="AR115" i="1"/>
  <c r="AO115" i="1"/>
  <c r="AP301" i="1"/>
  <c r="BG301" i="1" s="1"/>
  <c r="AR301" i="1"/>
  <c r="AO301" i="1"/>
  <c r="BF301" i="1" s="1"/>
  <c r="AR187" i="1"/>
  <c r="AO187" i="1"/>
  <c r="BF187" i="1" s="1"/>
  <c r="AP187" i="1"/>
  <c r="BG187" i="1" s="1"/>
  <c r="AO264" i="1"/>
  <c r="BF264" i="1" s="1"/>
  <c r="AP264" i="1"/>
  <c r="BG264" i="1" s="1"/>
  <c r="AR264" i="1"/>
  <c r="AP302" i="1"/>
  <c r="BG302" i="1" s="1"/>
  <c r="AR302" i="1"/>
  <c r="AO302" i="1"/>
  <c r="BF302" i="1" s="1"/>
  <c r="AP163" i="1"/>
  <c r="BG163" i="1" s="1"/>
  <c r="AO163" i="1"/>
  <c r="BF163" i="1" s="1"/>
  <c r="AR163" i="1"/>
  <c r="AP227" i="1"/>
  <c r="BG227" i="1" s="1"/>
  <c r="AR227" i="1"/>
  <c r="AO227" i="1"/>
  <c r="BF227" i="1" s="1"/>
  <c r="AO271" i="1"/>
  <c r="BF271" i="1" s="1"/>
  <c r="AR271" i="1"/>
  <c r="AP271" i="1"/>
  <c r="BG271" i="1" s="1"/>
  <c r="AR60" i="1"/>
  <c r="AP60" i="1"/>
  <c r="BG60" i="1" s="1"/>
  <c r="AO60" i="1"/>
  <c r="BF60" i="1" s="1"/>
  <c r="AR126" i="1"/>
  <c r="AO126" i="1"/>
  <c r="BF126" i="1" s="1"/>
  <c r="AP126" i="1"/>
  <c r="AP37" i="1"/>
  <c r="BG37" i="1" s="1"/>
  <c r="AR37" i="1"/>
  <c r="AO37" i="1"/>
  <c r="BF37" i="1" s="1"/>
  <c r="AR81" i="1"/>
  <c r="AP81" i="1"/>
  <c r="BG81" i="1" s="1"/>
  <c r="AO81" i="1"/>
  <c r="BF81" i="1" s="1"/>
  <c r="AO323" i="1"/>
  <c r="AR323" i="1"/>
  <c r="AP323" i="1"/>
  <c r="BG323" i="1" s="1"/>
  <c r="AP158" i="1"/>
  <c r="BG158" i="1" s="1"/>
  <c r="AO158" i="1"/>
  <c r="BF158" i="1" s="1"/>
  <c r="AR158" i="1"/>
  <c r="AP318" i="1"/>
  <c r="BG318" i="1" s="1"/>
  <c r="AR318" i="1"/>
  <c r="AO318" i="1"/>
  <c r="BF318" i="1" s="1"/>
  <c r="AO89" i="1"/>
  <c r="AR89" i="1"/>
  <c r="AP89" i="1"/>
  <c r="BG89" i="1" s="1"/>
  <c r="AR305" i="1"/>
  <c r="AP305" i="1"/>
  <c r="BG305" i="1" s="1"/>
  <c r="AO305" i="1"/>
  <c r="AP167" i="1"/>
  <c r="BG167" i="1" s="1"/>
  <c r="AO167" i="1"/>
  <c r="BF167" i="1" s="1"/>
  <c r="AR167" i="1"/>
  <c r="AR24" i="1"/>
  <c r="AO24" i="1"/>
  <c r="BF24" i="1" s="1"/>
  <c r="AP24" i="1"/>
  <c r="BG24" i="1" s="1"/>
  <c r="AP61" i="1"/>
  <c r="BG61" i="1" s="1"/>
  <c r="AR61" i="1"/>
  <c r="AO61" i="1"/>
  <c r="BF61" i="1" s="1"/>
  <c r="AR332" i="1"/>
  <c r="AO332" i="1"/>
  <c r="AP332" i="1"/>
  <c r="BG332" i="1" s="1"/>
  <c r="AR110" i="1"/>
  <c r="AO110" i="1"/>
  <c r="BF110" i="1" s="1"/>
  <c r="AP110" i="1"/>
  <c r="BG110" i="1" s="1"/>
  <c r="AP285" i="1"/>
  <c r="BG285" i="1" s="1"/>
  <c r="AO285" i="1"/>
  <c r="BF285" i="1" s="1"/>
  <c r="AR285" i="1"/>
  <c r="AR275" i="1"/>
  <c r="AP275" i="1"/>
  <c r="BG275" i="1" s="1"/>
  <c r="AO275" i="1"/>
  <c r="BF275" i="1" s="1"/>
  <c r="AO315" i="1"/>
  <c r="BF315" i="1" s="1"/>
  <c r="AR315" i="1"/>
  <c r="AP315" i="1"/>
  <c r="BG315" i="1" s="1"/>
  <c r="AP237" i="1"/>
  <c r="BG237" i="1" s="1"/>
  <c r="AR237" i="1"/>
  <c r="AO237" i="1"/>
  <c r="AR334" i="1"/>
  <c r="AO334" i="1"/>
  <c r="BF334" i="1" s="1"/>
  <c r="AP334" i="1"/>
  <c r="BG334" i="1" s="1"/>
  <c r="AO65" i="1"/>
  <c r="BF65" i="1" s="1"/>
  <c r="AR65" i="1"/>
  <c r="AP65" i="1"/>
  <c r="BG65" i="1" s="1"/>
  <c r="AR123" i="1"/>
  <c r="AO123" i="1"/>
  <c r="BF123" i="1" s="1"/>
  <c r="AP123" i="1"/>
  <c r="BG123" i="1" s="1"/>
  <c r="AO259" i="1"/>
  <c r="BF259" i="1" s="1"/>
  <c r="AP259" i="1"/>
  <c r="BG259" i="1" s="1"/>
  <c r="AR259" i="1"/>
  <c r="AP151" i="1"/>
  <c r="BG151" i="1" s="1"/>
  <c r="AR151" i="1"/>
  <c r="AO151" i="1"/>
  <c r="AO146" i="1"/>
  <c r="AR146" i="1"/>
  <c r="AP146" i="1"/>
  <c r="BG146" i="1" s="1"/>
  <c r="AP321" i="1"/>
  <c r="BG321" i="1" s="1"/>
  <c r="AO321" i="1"/>
  <c r="BF321" i="1" s="1"/>
  <c r="AR321" i="1"/>
  <c r="AO174" i="1"/>
  <c r="BF174" i="1" s="1"/>
  <c r="AR174" i="1"/>
  <c r="AP174" i="1"/>
  <c r="BG174" i="1" s="1"/>
  <c r="AP100" i="1"/>
  <c r="BG100" i="1" s="1"/>
  <c r="AO100" i="1"/>
  <c r="BF100" i="1" s="1"/>
  <c r="AR100" i="1"/>
  <c r="AP55" i="1"/>
  <c r="BG55" i="1" s="1"/>
  <c r="AR55" i="1"/>
  <c r="AO55" i="1"/>
  <c r="BF55" i="1" s="1"/>
  <c r="AP249" i="1"/>
  <c r="BG249" i="1" s="1"/>
  <c r="AO249" i="1"/>
  <c r="BF249" i="1" s="1"/>
  <c r="AR249" i="1"/>
  <c r="AO18" i="1"/>
  <c r="BF18" i="1" s="1"/>
  <c r="AR18" i="1"/>
  <c r="AP18" i="1"/>
  <c r="AO324" i="1"/>
  <c r="AR324" i="1"/>
  <c r="AP324" i="1"/>
  <c r="BG324" i="1" s="1"/>
  <c r="AP287" i="1"/>
  <c r="AO287" i="1"/>
  <c r="BF287" i="1" s="1"/>
  <c r="AR287" i="1"/>
  <c r="AP254" i="1"/>
  <c r="BG254" i="1" s="1"/>
  <c r="AO254" i="1"/>
  <c r="BF254" i="1" s="1"/>
  <c r="AR254" i="1"/>
  <c r="AP198" i="1"/>
  <c r="BG198" i="1" s="1"/>
  <c r="AO198" i="1"/>
  <c r="BF198" i="1" s="1"/>
  <c r="AR198" i="1"/>
  <c r="AO94" i="1"/>
  <c r="BF94" i="1" s="1"/>
  <c r="AR94" i="1"/>
  <c r="AP94" i="1"/>
  <c r="AP169" i="1"/>
  <c r="BG169" i="1" s="1"/>
  <c r="AR169" i="1"/>
  <c r="AO169" i="1"/>
  <c r="AO268" i="1"/>
  <c r="BF268" i="1" s="1"/>
  <c r="AP268" i="1"/>
  <c r="BG268" i="1" s="1"/>
  <c r="AR268" i="1"/>
  <c r="AP322" i="1"/>
  <c r="BG322" i="1" s="1"/>
  <c r="AR322" i="1"/>
  <c r="AO322" i="1"/>
  <c r="BF322" i="1" s="1"/>
  <c r="AP93" i="1"/>
  <c r="BG93" i="1" s="1"/>
  <c r="AR93" i="1"/>
  <c r="AO93" i="1"/>
  <c r="BF93" i="1" s="1"/>
  <c r="AR33" i="1"/>
  <c r="AO33" i="1"/>
  <c r="BF33" i="1" s="1"/>
  <c r="AP33" i="1"/>
  <c r="BG33" i="1" s="1"/>
  <c r="AP16" i="1"/>
  <c r="BG16" i="1" s="1"/>
  <c r="AO16" i="1"/>
  <c r="BF16" i="1" s="1"/>
  <c r="AR16" i="1"/>
  <c r="AO70" i="1"/>
  <c r="BF70" i="1" s="1"/>
  <c r="AR70" i="1"/>
  <c r="AP70" i="1"/>
  <c r="BG70" i="1" s="1"/>
  <c r="AO270" i="1"/>
  <c r="BF270" i="1" s="1"/>
  <c r="AR270" i="1"/>
  <c r="AP270" i="1"/>
  <c r="BG270" i="1" s="1"/>
  <c r="AR336" i="1"/>
  <c r="AP336" i="1"/>
  <c r="BG336" i="1" s="1"/>
  <c r="AO336" i="1"/>
  <c r="BF336" i="1" s="1"/>
  <c r="AP38" i="1"/>
  <c r="BG38" i="1" s="1"/>
  <c r="AO38" i="1"/>
  <c r="AR38" i="1"/>
  <c r="AO200" i="1"/>
  <c r="BF200" i="1" s="1"/>
  <c r="AR200" i="1"/>
  <c r="AP200" i="1"/>
  <c r="BG200" i="1" s="1"/>
  <c r="AO248" i="1"/>
  <c r="BF248" i="1" s="1"/>
  <c r="AR248" i="1"/>
  <c r="AP248" i="1"/>
  <c r="BG248" i="1" s="1"/>
  <c r="AP137" i="1"/>
  <c r="BG137" i="1" s="1"/>
  <c r="AR137" i="1"/>
  <c r="AO137" i="1"/>
  <c r="BF137" i="1" s="1"/>
  <c r="AP76" i="1"/>
  <c r="BG76" i="1" s="1"/>
  <c r="AR76" i="1"/>
  <c r="AO76" i="1"/>
  <c r="BF76" i="1" s="1"/>
  <c r="AO293" i="1"/>
  <c r="BF293" i="1" s="1"/>
  <c r="AP293" i="1"/>
  <c r="BG293" i="1" s="1"/>
  <c r="AR293" i="1"/>
  <c r="AC17" i="1"/>
  <c r="AG16" i="1"/>
  <c r="CE16" i="1"/>
  <c r="AT32" i="1"/>
  <c r="AT26" i="1"/>
  <c r="AT314" i="1"/>
  <c r="AT16" i="1"/>
  <c r="AT232" i="1"/>
  <c r="AT27" i="1"/>
  <c r="AT235" i="1"/>
  <c r="AT208" i="1"/>
  <c r="AT110" i="1"/>
  <c r="AT240" i="1"/>
  <c r="EO188" i="1"/>
  <c r="AT134" i="1"/>
  <c r="AT329" i="1"/>
  <c r="AT92" i="1"/>
  <c r="AT161" i="1"/>
  <c r="AT200" i="1"/>
  <c r="AT196" i="1"/>
  <c r="EO239" i="1"/>
  <c r="AT117" i="1"/>
  <c r="AT218" i="1"/>
  <c r="AT149" i="1"/>
  <c r="AT269" i="1"/>
  <c r="AT84" i="1"/>
  <c r="AT124" i="1"/>
  <c r="AT118" i="1"/>
  <c r="AT186" i="1"/>
  <c r="EO198" i="1"/>
  <c r="AT180" i="1"/>
  <c r="AT300" i="1"/>
  <c r="AT167" i="1"/>
  <c r="AT109" i="1"/>
  <c r="AT114" i="1"/>
  <c r="EO145" i="1"/>
  <c r="AT316" i="1"/>
  <c r="AT24" i="1"/>
  <c r="AT86" i="1"/>
  <c r="AT80" i="1"/>
  <c r="AT116" i="1"/>
  <c r="AT153" i="1"/>
  <c r="AT185" i="1"/>
  <c r="EO141" i="1"/>
  <c r="AT88" i="1"/>
  <c r="AT152" i="1"/>
  <c r="AT107" i="1"/>
  <c r="AT108" i="1"/>
  <c r="AT306" i="1"/>
  <c r="AT320" i="1"/>
  <c r="EO315" i="1"/>
  <c r="AT39" i="1"/>
  <c r="AT79" i="1"/>
  <c r="AT102" i="1"/>
  <c r="AT82" i="1"/>
  <c r="AT184" i="1"/>
  <c r="AT122" i="1"/>
  <c r="AT36" i="1"/>
  <c r="AT100" i="1"/>
  <c r="AT291" i="1"/>
  <c r="AT247" i="1"/>
  <c r="AT245" i="1"/>
  <c r="AT278" i="1"/>
  <c r="AT71" i="1"/>
  <c r="AT65" i="1"/>
  <c r="AT166" i="1"/>
  <c r="AT142" i="1"/>
  <c r="AT127" i="1"/>
  <c r="AT57" i="1"/>
  <c r="AT272" i="1"/>
  <c r="AT227" i="1"/>
  <c r="AT341" i="1"/>
  <c r="AT28" i="1"/>
  <c r="AT64" i="1"/>
  <c r="AT104" i="1"/>
  <c r="AT148" i="1"/>
  <c r="AT22" i="1"/>
  <c r="AT111" i="1"/>
  <c r="AT25" i="1"/>
  <c r="AT263" i="1"/>
  <c r="AT37" i="1"/>
  <c r="AT228" i="1"/>
  <c r="AT206" i="1"/>
  <c r="AT162" i="1"/>
  <c r="AT254" i="1"/>
  <c r="AT268" i="1"/>
  <c r="AT168" i="1"/>
  <c r="AT17" i="1"/>
  <c r="AT129" i="1"/>
  <c r="EO51" i="1"/>
  <c r="EO93" i="1"/>
  <c r="AT73" i="1"/>
  <c r="EO90" i="1"/>
  <c r="AT234" i="1"/>
  <c r="AT223" i="1"/>
  <c r="AT248" i="1"/>
  <c r="AT229" i="1"/>
  <c r="AT317" i="1"/>
  <c r="EO76" i="1"/>
  <c r="AT120" i="1"/>
  <c r="AT103" i="1"/>
  <c r="AT67" i="1"/>
  <c r="AT14" i="1"/>
  <c r="AT62" i="1"/>
  <c r="AT74" i="1"/>
  <c r="AT190" i="1"/>
  <c r="AT253" i="1"/>
  <c r="EO222" i="1"/>
  <c r="AT138" i="1"/>
  <c r="AT136" i="1"/>
  <c r="AT87" i="1"/>
  <c r="AT95" i="1"/>
  <c r="AT325" i="1"/>
  <c r="AT307" i="1"/>
  <c r="AT83" i="1"/>
  <c r="AT177" i="1"/>
  <c r="AT144" i="1"/>
  <c r="EO199" i="1"/>
  <c r="AT210" i="1"/>
  <c r="AT63" i="1"/>
  <c r="EO274" i="1"/>
  <c r="EO257" i="1"/>
  <c r="AT75" i="1"/>
  <c r="AT113" i="1"/>
  <c r="EO216" i="1"/>
  <c r="AT301" i="1"/>
  <c r="AT147" i="1"/>
  <c r="AT155" i="1"/>
  <c r="AT139" i="1"/>
  <c r="AT313" i="1"/>
  <c r="AT121" i="1"/>
  <c r="AT333" i="1"/>
  <c r="AT45" i="1"/>
  <c r="AT81" i="1"/>
  <c r="AT171" i="1"/>
  <c r="AT334" i="1"/>
  <c r="AT238" i="1"/>
  <c r="EO281" i="1"/>
  <c r="EO31" i="1"/>
  <c r="AT131" i="1"/>
  <c r="AT159" i="1"/>
  <c r="AT170" i="1"/>
  <c r="AT318" i="1"/>
  <c r="AT299" i="1"/>
  <c r="AT246" i="1"/>
  <c r="AT322" i="1"/>
  <c r="AT49" i="1"/>
  <c r="AT255" i="1"/>
  <c r="AT85" i="1"/>
  <c r="AT321" i="1"/>
  <c r="AT294" i="1"/>
  <c r="AT275" i="1"/>
  <c r="AT292" i="1"/>
  <c r="EO137" i="1"/>
  <c r="AT140" i="1"/>
  <c r="AT99" i="1"/>
  <c r="AT163" i="1"/>
  <c r="EO286" i="1"/>
  <c r="EO193" i="1"/>
  <c r="AT33" i="1"/>
  <c r="AT15" i="1"/>
  <c r="AT29" i="1"/>
  <c r="EO288" i="1"/>
  <c r="AT279" i="1"/>
  <c r="AT266" i="1"/>
  <c r="AT285" i="1"/>
  <c r="AT96" i="1"/>
  <c r="AT340" i="1"/>
  <c r="AT174" i="1"/>
  <c r="AT295" i="1"/>
  <c r="EO282" i="1"/>
  <c r="AT264" i="1"/>
  <c r="AT342" i="1"/>
  <c r="EO204" i="1"/>
  <c r="AT297" i="1"/>
  <c r="AT236" i="1"/>
  <c r="AT52" i="1"/>
  <c r="AT91" i="1"/>
  <c r="AT212" i="1"/>
  <c r="AT181" i="1"/>
  <c r="EO296" i="1"/>
  <c r="AT256" i="1"/>
  <c r="AT273" i="1"/>
  <c r="AT304" i="1"/>
  <c r="AT164" i="1"/>
  <c r="EO135" i="1"/>
  <c r="AT289" i="1"/>
  <c r="AT250" i="1"/>
  <c r="AT259" i="1"/>
  <c r="AT187" i="1"/>
  <c r="EO53" i="1"/>
  <c r="AT213" i="1"/>
  <c r="AT132" i="1"/>
  <c r="AT226" i="1"/>
  <c r="AT244" i="1"/>
  <c r="AT191" i="1"/>
  <c r="AT219" i="1"/>
  <c r="AT271" i="1"/>
  <c r="AT202" i="1"/>
  <c r="AT195" i="1"/>
  <c r="AT201" i="1"/>
  <c r="AT41" i="1"/>
  <c r="AT143" i="1"/>
  <c r="AT215" i="1"/>
  <c r="AT189" i="1"/>
  <c r="AT270" i="1"/>
  <c r="AT19" i="1"/>
  <c r="EG18" i="1"/>
  <c r="EG19" i="1" s="1"/>
  <c r="AN13" i="1"/>
  <c r="L17" i="7"/>
  <c r="EJ13" i="1"/>
  <c r="AY20" i="1" l="1"/>
  <c r="AY7" i="1"/>
  <c r="DK108" i="1"/>
  <c r="DK116" i="1"/>
  <c r="DK185" i="1"/>
  <c r="DK192" i="1"/>
  <c r="DK267" i="1"/>
  <c r="DK312" i="1"/>
  <c r="DK279" i="1"/>
  <c r="DK76" i="1"/>
  <c r="DK322" i="1"/>
  <c r="DK134" i="1"/>
  <c r="DK74" i="1"/>
  <c r="DK287" i="1"/>
  <c r="DK123" i="1"/>
  <c r="DK266" i="1"/>
  <c r="DK89" i="1"/>
  <c r="DK227" i="1"/>
  <c r="DK269" i="1"/>
  <c r="DK181" i="1"/>
  <c r="DK212" i="1"/>
  <c r="DK138" i="1"/>
  <c r="DK22" i="1"/>
  <c r="DK291" i="1"/>
  <c r="DK196" i="1"/>
  <c r="DK210" i="1"/>
  <c r="DK41" i="1"/>
  <c r="DK39" i="1"/>
  <c r="DK102" i="1"/>
  <c r="DK125" i="1"/>
  <c r="DK256" i="1"/>
  <c r="DK249" i="1"/>
  <c r="DK313" i="1"/>
  <c r="DK167" i="1"/>
  <c r="DK142" i="1"/>
  <c r="DK29" i="1"/>
  <c r="DK218" i="1"/>
  <c r="DK71" i="1"/>
  <c r="DK237" i="1"/>
  <c r="DK300" i="1"/>
  <c r="DK158" i="1"/>
  <c r="DK302" i="1"/>
  <c r="DK50" i="1"/>
  <c r="DK326" i="1"/>
  <c r="DK43" i="1"/>
  <c r="DK17" i="1"/>
  <c r="DK144" i="1"/>
  <c r="DK85" i="1"/>
  <c r="DK73" i="1"/>
  <c r="DK333" i="1"/>
  <c r="DK52" i="1"/>
  <c r="DK94" i="1"/>
  <c r="DK222" i="1"/>
  <c r="DK318" i="1"/>
  <c r="DK126" i="1"/>
  <c r="DK163" i="1"/>
  <c r="DK217" i="1"/>
  <c r="DK202" i="1"/>
  <c r="DK31" i="1"/>
  <c r="DK91" i="1"/>
  <c r="DK208" i="1"/>
  <c r="DK162" i="1"/>
  <c r="DK48" i="1"/>
  <c r="DK170" i="1"/>
  <c r="DK306" i="1"/>
  <c r="DK221" i="1"/>
  <c r="DK201" i="1"/>
  <c r="DK233" i="1"/>
  <c r="DK132" i="1"/>
  <c r="DK90" i="1"/>
  <c r="DK46" i="1"/>
  <c r="DK281" i="1"/>
  <c r="DK65" i="1"/>
  <c r="DK61" i="1"/>
  <c r="DK199" i="1"/>
  <c r="DK290" i="1"/>
  <c r="DK175" i="1"/>
  <c r="DK186" i="1"/>
  <c r="DK327" i="1"/>
  <c r="DK314" i="1"/>
  <c r="DK165" i="1"/>
  <c r="DK127" i="1"/>
  <c r="DK255" i="1"/>
  <c r="DK242" i="1"/>
  <c r="DK97" i="1"/>
  <c r="DK288" i="1"/>
  <c r="DK260" i="1"/>
  <c r="DK336" i="1"/>
  <c r="DK93" i="1"/>
  <c r="DK18" i="1"/>
  <c r="DK292" i="1"/>
  <c r="DK122" i="1"/>
  <c r="DK172" i="1"/>
  <c r="DK53" i="1"/>
  <c r="DK14" i="1"/>
  <c r="DK263" i="1"/>
  <c r="DK317" i="1"/>
  <c r="DK15" i="1"/>
  <c r="DK153" i="1"/>
  <c r="DK195" i="1"/>
  <c r="DK296" i="1"/>
  <c r="DK228" i="1"/>
  <c r="DK137" i="1"/>
  <c r="DK268" i="1"/>
  <c r="DK285" i="1"/>
  <c r="DK205" i="1"/>
  <c r="DK160" i="1"/>
  <c r="DK164" i="1"/>
  <c r="DK223" i="1"/>
  <c r="DK329" i="1"/>
  <c r="DK211" i="1"/>
  <c r="DK83" i="1"/>
  <c r="DK299" i="1"/>
  <c r="DK32" i="1"/>
  <c r="DK26" i="1"/>
  <c r="DK149" i="1"/>
  <c r="DK147" i="1"/>
  <c r="DK136" i="1"/>
  <c r="DK316" i="1"/>
  <c r="DK248" i="1"/>
  <c r="DK70" i="1"/>
  <c r="DK177" i="1"/>
  <c r="DK214" i="1"/>
  <c r="DK169" i="1"/>
  <c r="DK259" i="1"/>
  <c r="DK289" i="1"/>
  <c r="DK307" i="1"/>
  <c r="DK59" i="1"/>
  <c r="DK120" i="1"/>
  <c r="DK297" i="1"/>
  <c r="DK168" i="1"/>
  <c r="DK98" i="1"/>
  <c r="DK254" i="1"/>
  <c r="DK104" i="1"/>
  <c r="DK62" i="1"/>
  <c r="DK219" i="1"/>
  <c r="DK189" i="1"/>
  <c r="DK250" i="1"/>
  <c r="DK64" i="1"/>
  <c r="DK30" i="1"/>
  <c r="DK118" i="1"/>
  <c r="DK239" i="1"/>
  <c r="DK272" i="1"/>
  <c r="DK92" i="1"/>
  <c r="DK16" i="1"/>
  <c r="DK226" i="1"/>
  <c r="DK319" i="1"/>
  <c r="DK95" i="1"/>
  <c r="DK200" i="1"/>
  <c r="DK293" i="1"/>
  <c r="DK87" i="1"/>
  <c r="DK238" i="1"/>
  <c r="DK140" i="1"/>
  <c r="DK96" i="1"/>
  <c r="DK216" i="1"/>
  <c r="DK188" i="1"/>
  <c r="DK124" i="1"/>
  <c r="DK51" i="1"/>
  <c r="DK58" i="1"/>
  <c r="DK38" i="1"/>
  <c r="DK60" i="1"/>
  <c r="DK236" i="1"/>
  <c r="DK135" i="1"/>
  <c r="DK315" i="1"/>
  <c r="DK271" i="1"/>
  <c r="DK107" i="1"/>
  <c r="DK335" i="1"/>
  <c r="DK25" i="1"/>
  <c r="DK143" i="1"/>
  <c r="DK235" i="1"/>
  <c r="DK27" i="1"/>
  <c r="DK84" i="1"/>
  <c r="DK324" i="1"/>
  <c r="DK174" i="1"/>
  <c r="DK298" i="1"/>
  <c r="DK115" i="1"/>
  <c r="DK325" i="1"/>
  <c r="DK257" i="1"/>
  <c r="DK282" i="1"/>
  <c r="DK67" i="1"/>
  <c r="DK184" i="1"/>
  <c r="DK161" i="1"/>
  <c r="DK321" i="1"/>
  <c r="DK36" i="1"/>
  <c r="DK72" i="1"/>
  <c r="DK40" i="1"/>
  <c r="DK130" i="1"/>
  <c r="DK193" i="1"/>
  <c r="DK337" i="1"/>
  <c r="DK145" i="1"/>
  <c r="DK66" i="1"/>
  <c r="DK119" i="1"/>
  <c r="DK303" i="1"/>
  <c r="DK311" i="1"/>
  <c r="DK42" i="1"/>
  <c r="DK276" i="1"/>
  <c r="DK141" i="1"/>
  <c r="DK278" i="1"/>
  <c r="DK294" i="1"/>
  <c r="DK334" i="1"/>
  <c r="DK24" i="1"/>
  <c r="DK277" i="1"/>
  <c r="DK310" i="1"/>
  <c r="DK284" i="1"/>
  <c r="DK157" i="1"/>
  <c r="DK340" i="1"/>
  <c r="DK328" i="1"/>
  <c r="DK342" i="1"/>
  <c r="DK171" i="1"/>
  <c r="DK240" i="1"/>
  <c r="DK152" i="1"/>
  <c r="DK204" i="1"/>
  <c r="DK75" i="1"/>
  <c r="DK146" i="1"/>
  <c r="DK275" i="1"/>
  <c r="DK78" i="1"/>
  <c r="DK264" i="1"/>
  <c r="DK133" i="1"/>
  <c r="DK190" i="1"/>
  <c r="DK148" i="1"/>
  <c r="DK234" i="1"/>
  <c r="DK180" i="1"/>
  <c r="DK121" i="1"/>
  <c r="DK194" i="1"/>
  <c r="DK112" i="1"/>
  <c r="DK139" i="1"/>
  <c r="DK274" i="1"/>
  <c r="DK286" i="1"/>
  <c r="DK206" i="1"/>
  <c r="DK77" i="1"/>
  <c r="DK245" i="1"/>
  <c r="DK270" i="1"/>
  <c r="DK323" i="1"/>
  <c r="DK131" i="1"/>
  <c r="DK159" i="1"/>
  <c r="DK253" i="1"/>
  <c r="DK213" i="1"/>
  <c r="DK57" i="1"/>
  <c r="DK215" i="1"/>
  <c r="DK265" i="1"/>
  <c r="DK246" i="1"/>
  <c r="DK244" i="1"/>
  <c r="DK55" i="1"/>
  <c r="DK151" i="1"/>
  <c r="DK230" i="1"/>
  <c r="DK81" i="1"/>
  <c r="DK187" i="1"/>
  <c r="DK79" i="1"/>
  <c r="DK45" i="1"/>
  <c r="DK247" i="1"/>
  <c r="DK176" i="1"/>
  <c r="DK304" i="1"/>
  <c r="DK155" i="1"/>
  <c r="DK80" i="1"/>
  <c r="DK113" i="1"/>
  <c r="DK88" i="1"/>
  <c r="DK19" i="1"/>
  <c r="DK49" i="1"/>
  <c r="DK28" i="1"/>
  <c r="DK109" i="1"/>
  <c r="DK198" i="1"/>
  <c r="DK305" i="1"/>
  <c r="DK114" i="1"/>
  <c r="AR13" i="1"/>
  <c r="BD13" i="1"/>
  <c r="DK100" i="1"/>
  <c r="DK110" i="1"/>
  <c r="DK37" i="1"/>
  <c r="DK209" i="1"/>
  <c r="DK320" i="1"/>
  <c r="DK341" i="1"/>
  <c r="DK82" i="1"/>
  <c r="DK229" i="1"/>
  <c r="DK295" i="1"/>
  <c r="DK301" i="1"/>
  <c r="DK63" i="1"/>
  <c r="DK273" i="1"/>
  <c r="DK332" i="1"/>
  <c r="DK86" i="1"/>
  <c r="DK191" i="1"/>
  <c r="DK166" i="1"/>
  <c r="DK232" i="1"/>
  <c r="DK103" i="1"/>
  <c r="DK99" i="1"/>
  <c r="DK111" i="1"/>
  <c r="DK258" i="1"/>
  <c r="DK150" i="1"/>
  <c r="DK129" i="1"/>
  <c r="DK23" i="1"/>
  <c r="DK117" i="1"/>
  <c r="DK283" i="1"/>
  <c r="DK231" i="1"/>
  <c r="DK33" i="1"/>
  <c r="BD20" i="1"/>
  <c r="AT72" i="1"/>
  <c r="BG72" i="1"/>
  <c r="AT150" i="1"/>
  <c r="BG150" i="1"/>
  <c r="AT151" i="1"/>
  <c r="BF151" i="1"/>
  <c r="AT165" i="1"/>
  <c r="BG165" i="1"/>
  <c r="AT176" i="1"/>
  <c r="BG176" i="1"/>
  <c r="AT38" i="1"/>
  <c r="BF38" i="1"/>
  <c r="AT50" i="1"/>
  <c r="BG50" i="1"/>
  <c r="AT77" i="1"/>
  <c r="BF77" i="1"/>
  <c r="AT146" i="1"/>
  <c r="BF146" i="1"/>
  <c r="AT265" i="1"/>
  <c r="BF265" i="1"/>
  <c r="AT66" i="1"/>
  <c r="BF66" i="1"/>
  <c r="AT175" i="1"/>
  <c r="BF175" i="1"/>
  <c r="AT311" i="1"/>
  <c r="BG311" i="1"/>
  <c r="AT30" i="1"/>
  <c r="BG30" i="1"/>
  <c r="AT337" i="1"/>
  <c r="BG337" i="1"/>
  <c r="AT287" i="1"/>
  <c r="BG287" i="1"/>
  <c r="AT126" i="1"/>
  <c r="BG126" i="1"/>
  <c r="AT78" i="1"/>
  <c r="BG78" i="1"/>
  <c r="AT323" i="1"/>
  <c r="BF323" i="1"/>
  <c r="AT89" i="1"/>
  <c r="BF89" i="1"/>
  <c r="AT221" i="1"/>
  <c r="BF221" i="1"/>
  <c r="AT242" i="1"/>
  <c r="BF242" i="1"/>
  <c r="AT169" i="1"/>
  <c r="BF169" i="1"/>
  <c r="AT237" i="1"/>
  <c r="BF237" i="1"/>
  <c r="AT130" i="1"/>
  <c r="BG130" i="1"/>
  <c r="AT298" i="1"/>
  <c r="BF298" i="1"/>
  <c r="AT276" i="1"/>
  <c r="BF276" i="1"/>
  <c r="AT324" i="1"/>
  <c r="BF324" i="1"/>
  <c r="AT305" i="1"/>
  <c r="BF305" i="1"/>
  <c r="AT115" i="1"/>
  <c r="BF115" i="1"/>
  <c r="AT230" i="1"/>
  <c r="BG230" i="1"/>
  <c r="AT335" i="1"/>
  <c r="BF335" i="1"/>
  <c r="AT327" i="1"/>
  <c r="BG327" i="1"/>
  <c r="AT192" i="1"/>
  <c r="BG192" i="1"/>
  <c r="AT18" i="1"/>
  <c r="BG18" i="1"/>
  <c r="AT172" i="1"/>
  <c r="BF172" i="1"/>
  <c r="AT48" i="1"/>
  <c r="BG48" i="1"/>
  <c r="AT94" i="1"/>
  <c r="BG94" i="1"/>
  <c r="AT217" i="1"/>
  <c r="BF217" i="1"/>
  <c r="AT97" i="1"/>
  <c r="BG97" i="1"/>
  <c r="AT46" i="1"/>
  <c r="BF46" i="1"/>
  <c r="AT284" i="1"/>
  <c r="BF284" i="1"/>
  <c r="AT125" i="1"/>
  <c r="BF125" i="1"/>
  <c r="AT231" i="1"/>
  <c r="BF231" i="1"/>
  <c r="AT332" i="1"/>
  <c r="BF332" i="1"/>
  <c r="AT290" i="1"/>
  <c r="BF290" i="1"/>
  <c r="AT194" i="1"/>
  <c r="BF194" i="1"/>
  <c r="AT233" i="1"/>
  <c r="BF233" i="1"/>
  <c r="AR20" i="1"/>
  <c r="AO20" i="1"/>
  <c r="BF20" i="1" s="1"/>
  <c r="AT293" i="1"/>
  <c r="AT336" i="1"/>
  <c r="AT55" i="1"/>
  <c r="AT61" i="1"/>
  <c r="AT133" i="1"/>
  <c r="AT310" i="1"/>
  <c r="AT43" i="1"/>
  <c r="AT209" i="1"/>
  <c r="AT98" i="1"/>
  <c r="AT157" i="1"/>
  <c r="AT211" i="1"/>
  <c r="AT112" i="1"/>
  <c r="AT119" i="1"/>
  <c r="AT42" i="1"/>
  <c r="AT23" i="1"/>
  <c r="AT267" i="1"/>
  <c r="AT312" i="1"/>
  <c r="AT260" i="1"/>
  <c r="AT60" i="1"/>
  <c r="AT326" i="1"/>
  <c r="AT158" i="1"/>
  <c r="AT277" i="1"/>
  <c r="AT123" i="1"/>
  <c r="AT59" i="1"/>
  <c r="AT40" i="1"/>
  <c r="AT70" i="1"/>
  <c r="AT302" i="1"/>
  <c r="AT160" i="1"/>
  <c r="AG17" i="1"/>
  <c r="AC18" i="1"/>
  <c r="AO13" i="1"/>
  <c r="AP13" i="1"/>
  <c r="EO258" i="1"/>
  <c r="EO58" i="1"/>
  <c r="EO143" i="1"/>
  <c r="EO271" i="1"/>
  <c r="EO298" i="1"/>
  <c r="EO304" i="1"/>
  <c r="EO174" i="1"/>
  <c r="EO292" i="1"/>
  <c r="EO322" i="1"/>
  <c r="EO81" i="1"/>
  <c r="EO290" i="1"/>
  <c r="EO325" i="1"/>
  <c r="EO62" i="1"/>
  <c r="EO60" i="1"/>
  <c r="EO133" i="1"/>
  <c r="AT145" i="1"/>
  <c r="DU145" i="1"/>
  <c r="EO105" i="1"/>
  <c r="AT222" i="1"/>
  <c r="DU222" i="1"/>
  <c r="EO30" i="1"/>
  <c r="EO55" i="1"/>
  <c r="AT90" i="1"/>
  <c r="DU90" i="1"/>
  <c r="EO129" i="1"/>
  <c r="EO332" i="1"/>
  <c r="EO18" i="1"/>
  <c r="EO341" i="1"/>
  <c r="EO42" i="1"/>
  <c r="EO46" i="1"/>
  <c r="EO36" i="1"/>
  <c r="EO39" i="1"/>
  <c r="EO152" i="1"/>
  <c r="EO116" i="1"/>
  <c r="EO84" i="1"/>
  <c r="EO117" i="1"/>
  <c r="EO161" i="1"/>
  <c r="AT188" i="1"/>
  <c r="DU188" i="1"/>
  <c r="EO232" i="1"/>
  <c r="EO233" i="1"/>
  <c r="EO340" i="1"/>
  <c r="AT286" i="1"/>
  <c r="DU286" i="1"/>
  <c r="EO45" i="1"/>
  <c r="EO160" i="1"/>
  <c r="EO72" i="1"/>
  <c r="EO210" i="1"/>
  <c r="AT135" i="1"/>
  <c r="DU135" i="1"/>
  <c r="AT281" i="1"/>
  <c r="DU281" i="1"/>
  <c r="AT315" i="1"/>
  <c r="DU315" i="1"/>
  <c r="EO249" i="1"/>
  <c r="EO219" i="1"/>
  <c r="EO275" i="1"/>
  <c r="EO336" i="1"/>
  <c r="AT53" i="1"/>
  <c r="DU53" i="1"/>
  <c r="EO273" i="1"/>
  <c r="EO176" i="1"/>
  <c r="EO342" i="1"/>
  <c r="EO96" i="1"/>
  <c r="EO15" i="1"/>
  <c r="EO337" i="1"/>
  <c r="EO294" i="1"/>
  <c r="EO299" i="1"/>
  <c r="EO333" i="1"/>
  <c r="EO77" i="1"/>
  <c r="EO75" i="1"/>
  <c r="EO48" i="1"/>
  <c r="EO14" i="1"/>
  <c r="EO43" i="1"/>
  <c r="EO73" i="1"/>
  <c r="EO17" i="1"/>
  <c r="EO228" i="1"/>
  <c r="EO111" i="1"/>
  <c r="EO227" i="1"/>
  <c r="EO50" i="1"/>
  <c r="EO278" i="1"/>
  <c r="EO122" i="1"/>
  <c r="EO88" i="1"/>
  <c r="EO80" i="1"/>
  <c r="EO114" i="1"/>
  <c r="EO217" i="1"/>
  <c r="EO269" i="1"/>
  <c r="EO165" i="1"/>
  <c r="EO126" i="1"/>
  <c r="EO240" i="1"/>
  <c r="EO16" i="1"/>
  <c r="EO303" i="1"/>
  <c r="EO41" i="1"/>
  <c r="EO289" i="1"/>
  <c r="EO52" i="1"/>
  <c r="EO29" i="1"/>
  <c r="EO246" i="1"/>
  <c r="EO270" i="1"/>
  <c r="EO267" i="1"/>
  <c r="AT257" i="1"/>
  <c r="DU257" i="1"/>
  <c r="EO205" i="1"/>
  <c r="EO201" i="1"/>
  <c r="EO33" i="1"/>
  <c r="EO221" i="1"/>
  <c r="EO168" i="1"/>
  <c r="EO37" i="1"/>
  <c r="EO260" i="1"/>
  <c r="EO142" i="1"/>
  <c r="EO245" i="1"/>
  <c r="EO207" i="1"/>
  <c r="EO86" i="1"/>
  <c r="EO194" i="1"/>
  <c r="EO328" i="1"/>
  <c r="EO335" i="1"/>
  <c r="EO312" i="1"/>
  <c r="EO59" i="1"/>
  <c r="EO110" i="1"/>
  <c r="EO302" i="1"/>
  <c r="EO319" i="1"/>
  <c r="EO187" i="1"/>
  <c r="EO264" i="1"/>
  <c r="EO321" i="1"/>
  <c r="AT199" i="1"/>
  <c r="DU199" i="1"/>
  <c r="EO95" i="1"/>
  <c r="EO67" i="1"/>
  <c r="EO317" i="1"/>
  <c r="EO22" i="1"/>
  <c r="AT193" i="1"/>
  <c r="DU193" i="1"/>
  <c r="AT141" i="1"/>
  <c r="DU141" i="1"/>
  <c r="EO66" i="1"/>
  <c r="EO121" i="1"/>
  <c r="EO215" i="1"/>
  <c r="EO244" i="1"/>
  <c r="EO265" i="1"/>
  <c r="EO242" i="1"/>
  <c r="EO99" i="1"/>
  <c r="EO170" i="1"/>
  <c r="EO238" i="1"/>
  <c r="EO313" i="1"/>
  <c r="AT216" i="1"/>
  <c r="DU216" i="1"/>
  <c r="EO144" i="1"/>
  <c r="EO87" i="1"/>
  <c r="EO253" i="1"/>
  <c r="EO103" i="1"/>
  <c r="EO229" i="1"/>
  <c r="AT93" i="1"/>
  <c r="DU93" i="1"/>
  <c r="EO268" i="1"/>
  <c r="EO263" i="1"/>
  <c r="EO148" i="1"/>
  <c r="EO237" i="1"/>
  <c r="EO166" i="1"/>
  <c r="EO247" i="1"/>
  <c r="EO184" i="1"/>
  <c r="EO320" i="1"/>
  <c r="EO24" i="1"/>
  <c r="EO109" i="1"/>
  <c r="EO230" i="1"/>
  <c r="EO323" i="1"/>
  <c r="EO92" i="1"/>
  <c r="EO208" i="1"/>
  <c r="EO284" i="1"/>
  <c r="EO283" i="1"/>
  <c r="EO189" i="1"/>
  <c r="EO256" i="1"/>
  <c r="EO318" i="1"/>
  <c r="EO195" i="1"/>
  <c r="EO259" i="1"/>
  <c r="EO285" i="1"/>
  <c r="EO85" i="1"/>
  <c r="AT282" i="1"/>
  <c r="DU282" i="1"/>
  <c r="AT274" i="1"/>
  <c r="DU274" i="1"/>
  <c r="EO203" i="1"/>
  <c r="EO226" i="1"/>
  <c r="EO310" i="1"/>
  <c r="EO266" i="1"/>
  <c r="EO140" i="1"/>
  <c r="EO255" i="1"/>
  <c r="EO159" i="1"/>
  <c r="EO139" i="1"/>
  <c r="EO177" i="1"/>
  <c r="EO136" i="1"/>
  <c r="EO190" i="1"/>
  <c r="EO115" i="1"/>
  <c r="EO248" i="1"/>
  <c r="EO70" i="1"/>
  <c r="EO112" i="1"/>
  <c r="EO20" i="1"/>
  <c r="EO104" i="1"/>
  <c r="EO272" i="1"/>
  <c r="EO130" i="1"/>
  <c r="EO291" i="1"/>
  <c r="EO151" i="1"/>
  <c r="EO287" i="1"/>
  <c r="EO209" i="1"/>
  <c r="EO316" i="1"/>
  <c r="EO167" i="1"/>
  <c r="EO186" i="1"/>
  <c r="EO326" i="1"/>
  <c r="AT239" i="1"/>
  <c r="DU239" i="1"/>
  <c r="EO327" i="1"/>
  <c r="EO172" i="1"/>
  <c r="EO40" i="1"/>
  <c r="EO214" i="1"/>
  <c r="EO19" i="1"/>
  <c r="EO191" i="1"/>
  <c r="EO236" i="1"/>
  <c r="EO163" i="1"/>
  <c r="EO301" i="1"/>
  <c r="EO202" i="1"/>
  <c r="EO231" i="1"/>
  <c r="AT296" i="1"/>
  <c r="DU296" i="1"/>
  <c r="EO297" i="1"/>
  <c r="EO334" i="1"/>
  <c r="AT205" i="1"/>
  <c r="AT258" i="1"/>
  <c r="AT249" i="1"/>
  <c r="AT214" i="1"/>
  <c r="AT303" i="1"/>
  <c r="AT283" i="1"/>
  <c r="AT319" i="1"/>
  <c r="AT58" i="1"/>
  <c r="EO64" i="1"/>
  <c r="EO146" i="1"/>
  <c r="EO306" i="1"/>
  <c r="EO305" i="1"/>
  <c r="EO197" i="1"/>
  <c r="EO149" i="1"/>
  <c r="EO196" i="1"/>
  <c r="EO329" i="1"/>
  <c r="EO235" i="1"/>
  <c r="EO314" i="1"/>
  <c r="EO192" i="1"/>
  <c r="EO83" i="1"/>
  <c r="EO38" i="1"/>
  <c r="EO223" i="1"/>
  <c r="EO61" i="1"/>
  <c r="EO94" i="1"/>
  <c r="EO65" i="1"/>
  <c r="EO82" i="1"/>
  <c r="EO185" i="1"/>
  <c r="EO300" i="1"/>
  <c r="EO279" i="1"/>
  <c r="EO211" i="1"/>
  <c r="EO254" i="1"/>
  <c r="EO125" i="1"/>
  <c r="EO157" i="1"/>
  <c r="EO132" i="1"/>
  <c r="EO250" i="1"/>
  <c r="EO164" i="1"/>
  <c r="EO212" i="1"/>
  <c r="EO311" i="1"/>
  <c r="EO295" i="1"/>
  <c r="EO293" i="1"/>
  <c r="AT137" i="1"/>
  <c r="DU137" i="1"/>
  <c r="EO49" i="1"/>
  <c r="EO78" i="1"/>
  <c r="EO97" i="1"/>
  <c r="EO155" i="1"/>
  <c r="EO113" i="1"/>
  <c r="EO63" i="1"/>
  <c r="EO307" i="1"/>
  <c r="EO89" i="1"/>
  <c r="EO74" i="1"/>
  <c r="EO234" i="1"/>
  <c r="AT51" i="1"/>
  <c r="DU51" i="1"/>
  <c r="EO162" i="1"/>
  <c r="EO25" i="1"/>
  <c r="EO119" i="1"/>
  <c r="EO57" i="1"/>
  <c r="EO98" i="1"/>
  <c r="EO100" i="1"/>
  <c r="EO102" i="1"/>
  <c r="EO108" i="1"/>
  <c r="EO153" i="1"/>
  <c r="EO324" i="1"/>
  <c r="EO180" i="1"/>
  <c r="EO118" i="1"/>
  <c r="EO150" i="1"/>
  <c r="EO200" i="1"/>
  <c r="EO134" i="1"/>
  <c r="EO27" i="1"/>
  <c r="EO26" i="1"/>
  <c r="EO181" i="1"/>
  <c r="EO131" i="1"/>
  <c r="EO169" i="1"/>
  <c r="AT31" i="1"/>
  <c r="DU31" i="1"/>
  <c r="CU31" i="1" s="1"/>
  <c r="CW31" i="1" s="1"/>
  <c r="AT198" i="1"/>
  <c r="DU198" i="1"/>
  <c r="EO276" i="1"/>
  <c r="EO171" i="1"/>
  <c r="EO120" i="1"/>
  <c r="AT204" i="1"/>
  <c r="DU204" i="1"/>
  <c r="EO213" i="1"/>
  <c r="EO91" i="1"/>
  <c r="AT288" i="1"/>
  <c r="DU288" i="1"/>
  <c r="EO147" i="1"/>
  <c r="EO23" i="1"/>
  <c r="EO138" i="1"/>
  <c r="AT76" i="1"/>
  <c r="DU76" i="1"/>
  <c r="EO123" i="1"/>
  <c r="EO206" i="1"/>
  <c r="EO28" i="1"/>
  <c r="EO127" i="1"/>
  <c r="EO71" i="1"/>
  <c r="EO158" i="1"/>
  <c r="EO79" i="1"/>
  <c r="EO107" i="1"/>
  <c r="EO124" i="1"/>
  <c r="EO218" i="1"/>
  <c r="EO175" i="1"/>
  <c r="EO277" i="1"/>
  <c r="EO32" i="1"/>
  <c r="EG20" i="1"/>
  <c r="EG22" i="1" s="1"/>
  <c r="EO13" i="1"/>
  <c r="BG13" i="1"/>
  <c r="L18" i="7"/>
  <c r="DI13" i="1" l="1"/>
  <c r="DH13" i="1"/>
  <c r="DD13" i="1"/>
  <c r="DM20" i="1"/>
  <c r="BD105" i="1"/>
  <c r="AT20" i="1"/>
  <c r="AG18" i="1"/>
  <c r="CE18" i="1"/>
  <c r="AC19" i="1"/>
  <c r="DU28" i="1"/>
  <c r="CU28" i="1" s="1"/>
  <c r="CW28" i="1" s="1"/>
  <c r="DU289" i="1"/>
  <c r="DU218" i="1"/>
  <c r="DU121" i="1"/>
  <c r="DU228" i="1"/>
  <c r="DU117" i="1"/>
  <c r="DU191" i="1"/>
  <c r="DV191" i="1" s="1"/>
  <c r="BM191" i="1" s="1" a="1"/>
  <c r="BM191" i="1" s="1"/>
  <c r="DU203" i="1"/>
  <c r="DV203" i="1" s="1"/>
  <c r="BM203" i="1" s="1" a="1"/>
  <c r="BM203" i="1" s="1"/>
  <c r="DU259" i="1"/>
  <c r="DU265" i="1"/>
  <c r="DV265" i="1" s="1"/>
  <c r="BM265" i="1" s="1" a="1"/>
  <c r="BM265" i="1" s="1"/>
  <c r="DU67" i="1"/>
  <c r="CU67" i="1" s="1"/>
  <c r="DU80" i="1"/>
  <c r="CU80" i="1" s="1"/>
  <c r="DU301" i="1"/>
  <c r="DU46" i="1"/>
  <c r="DU304" i="1"/>
  <c r="DV304" i="1" s="1"/>
  <c r="BM304" i="1" s="1" a="1"/>
  <c r="BM304" i="1" s="1"/>
  <c r="DU254" i="1"/>
  <c r="DU192" i="1"/>
  <c r="DV192" i="1" s="1"/>
  <c r="BM192" i="1" s="1" a="1"/>
  <c r="BM192" i="1" s="1"/>
  <c r="DU109" i="1"/>
  <c r="DU269" i="1"/>
  <c r="DV269" i="1" s="1"/>
  <c r="BM269" i="1" s="1" a="1"/>
  <c r="BM269" i="1" s="1"/>
  <c r="DU79" i="1"/>
  <c r="CU79" i="1" s="1"/>
  <c r="DU276" i="1"/>
  <c r="CU276" i="1" s="1"/>
  <c r="DU279" i="1"/>
  <c r="DV279" i="1" s="1"/>
  <c r="BM279" i="1" s="1" a="1"/>
  <c r="BM279" i="1" s="1"/>
  <c r="DU235" i="1"/>
  <c r="CU235" i="1" s="1"/>
  <c r="DU316" i="1"/>
  <c r="CU316" i="1" s="1"/>
  <c r="DU291" i="1"/>
  <c r="DU20" i="1"/>
  <c r="CU20" i="1" s="1"/>
  <c r="CW20" i="1" s="1"/>
  <c r="DU115" i="1"/>
  <c r="CU115" i="1" s="1"/>
  <c r="DU139" i="1"/>
  <c r="DV139" i="1" s="1"/>
  <c r="BM139" i="1" s="1" a="1"/>
  <c r="BM139" i="1" s="1"/>
  <c r="DU195" i="1"/>
  <c r="DU283" i="1"/>
  <c r="DU267" i="1"/>
  <c r="DV267" i="1" s="1"/>
  <c r="BM267" i="1" s="1" a="1"/>
  <c r="BM267" i="1" s="1"/>
  <c r="DU52" i="1"/>
  <c r="DV52" i="1" s="1"/>
  <c r="BM52" i="1" s="1" a="1"/>
  <c r="BM52" i="1" s="1"/>
  <c r="DU208" i="1"/>
  <c r="DV208" i="1" s="1"/>
  <c r="BM208" i="1" s="1" a="1"/>
  <c r="BM208" i="1" s="1"/>
  <c r="DU134" i="1"/>
  <c r="CU134" i="1" s="1"/>
  <c r="DU180" i="1"/>
  <c r="DV180" i="1" s="1"/>
  <c r="BM180" i="1" s="1" a="1"/>
  <c r="BM180" i="1" s="1"/>
  <c r="DU78" i="1"/>
  <c r="DV78" i="1" s="1"/>
  <c r="BM78" i="1" s="1" a="1"/>
  <c r="BM78" i="1" s="1"/>
  <c r="DU149" i="1"/>
  <c r="CU149" i="1" s="1"/>
  <c r="DU146" i="1"/>
  <c r="DV146" i="1" s="1"/>
  <c r="BM146" i="1" s="1" a="1"/>
  <c r="BM146" i="1" s="1"/>
  <c r="DU167" i="1"/>
  <c r="DV167" i="1" s="1"/>
  <c r="BM167" i="1" s="1" a="1"/>
  <c r="BM167" i="1" s="1"/>
  <c r="DU104" i="1"/>
  <c r="DV104" i="1" s="1"/>
  <c r="BM104" i="1" s="1" a="1"/>
  <c r="BM104" i="1" s="1"/>
  <c r="DU110" i="1"/>
  <c r="DU205" i="1"/>
  <c r="CU205" i="1" s="1"/>
  <c r="DU303" i="1"/>
  <c r="DV303" i="1" s="1"/>
  <c r="BM303" i="1" s="1" a="1"/>
  <c r="BM303" i="1" s="1"/>
  <c r="DU233" i="1"/>
  <c r="CU233" i="1" s="1"/>
  <c r="DU116" i="1"/>
  <c r="DU157" i="1"/>
  <c r="CU157" i="1" s="1"/>
  <c r="DU258" i="1"/>
  <c r="CU258" i="1" s="1"/>
  <c r="DU118" i="1"/>
  <c r="CU118" i="1" s="1"/>
  <c r="DU306" i="1"/>
  <c r="DV306" i="1" s="1"/>
  <c r="BM306" i="1" s="1" a="1"/>
  <c r="BM306" i="1" s="1"/>
  <c r="DU132" i="1"/>
  <c r="CU132" i="1" s="1"/>
  <c r="DU277" i="1"/>
  <c r="CU277" i="1" s="1"/>
  <c r="DU100" i="1"/>
  <c r="DV100" i="1" s="1"/>
  <c r="BM100" i="1" s="1" a="1"/>
  <c r="BM100" i="1" s="1"/>
  <c r="DU74" i="1"/>
  <c r="CU74" i="1" s="1"/>
  <c r="DU49" i="1"/>
  <c r="DV49" i="1" s="1"/>
  <c r="BM49" i="1" s="1" a="1"/>
  <c r="BM49" i="1" s="1"/>
  <c r="DU237" i="1"/>
  <c r="DV237" i="1" s="1"/>
  <c r="BM237" i="1" s="1" a="1"/>
  <c r="BM237" i="1" s="1"/>
  <c r="DU59" i="1"/>
  <c r="CU59" i="1" s="1"/>
  <c r="DU221" i="1"/>
  <c r="CU221" i="1" s="1"/>
  <c r="DU229" i="1"/>
  <c r="DV229" i="1" s="1"/>
  <c r="BM229" i="1" s="1" a="1"/>
  <c r="BM229" i="1" s="1"/>
  <c r="DU164" i="1"/>
  <c r="CU164" i="1" s="1"/>
  <c r="DU125" i="1"/>
  <c r="CU125" i="1" s="1"/>
  <c r="DU300" i="1"/>
  <c r="DU329" i="1"/>
  <c r="DU159" i="1"/>
  <c r="CU159" i="1" s="1"/>
  <c r="DU310" i="1"/>
  <c r="CU310" i="1" s="1"/>
  <c r="DU284" i="1"/>
  <c r="CU284" i="1" s="1"/>
  <c r="DU215" i="1"/>
  <c r="DV215" i="1" s="1"/>
  <c r="BM215" i="1" s="1" a="1"/>
  <c r="BM215" i="1" s="1"/>
  <c r="DU22" i="1"/>
  <c r="CU22" i="1" s="1"/>
  <c r="CW22" i="1" s="1"/>
  <c r="DU260" i="1"/>
  <c r="DV260" i="1" s="1"/>
  <c r="BM260" i="1" s="1" a="1"/>
  <c r="BM260" i="1" s="1"/>
  <c r="DU33" i="1"/>
  <c r="CU33" i="1" s="1"/>
  <c r="CW33" i="1" s="1"/>
  <c r="DU240" i="1"/>
  <c r="DV240" i="1" s="1"/>
  <c r="BM240" i="1" s="1" a="1"/>
  <c r="BM240" i="1" s="1"/>
  <c r="DU217" i="1"/>
  <c r="DV217" i="1" s="1"/>
  <c r="BM217" i="1" s="1" a="1"/>
  <c r="BM217" i="1" s="1"/>
  <c r="DU111" i="1"/>
  <c r="DV111" i="1" s="1"/>
  <c r="DU77" i="1"/>
  <c r="DU42" i="1"/>
  <c r="DV42" i="1" s="1"/>
  <c r="BM42" i="1" s="1" a="1"/>
  <c r="BM42" i="1" s="1"/>
  <c r="DU298" i="1"/>
  <c r="DV298" i="1" s="1"/>
  <c r="BM298" i="1" s="1" a="1"/>
  <c r="BM298" i="1" s="1"/>
  <c r="DU23" i="1"/>
  <c r="CU23" i="1" s="1"/>
  <c r="CW23" i="1" s="1"/>
  <c r="DU150" i="1"/>
  <c r="DU153" i="1"/>
  <c r="DV153" i="1" s="1"/>
  <c r="BM153" i="1" s="1" a="1"/>
  <c r="BM153" i="1" s="1"/>
  <c r="DU307" i="1"/>
  <c r="CU307" i="1" s="1"/>
  <c r="DU94" i="1"/>
  <c r="DU83" i="1"/>
  <c r="DV83" i="1" s="1"/>
  <c r="BM83" i="1" s="1" a="1"/>
  <c r="BM83" i="1" s="1"/>
  <c r="DU305" i="1"/>
  <c r="DV305" i="1" s="1"/>
  <c r="BM305" i="1" s="1" a="1"/>
  <c r="BM305" i="1" s="1"/>
  <c r="DU40" i="1"/>
  <c r="DV40" i="1" s="1"/>
  <c r="BM40" i="1" s="1" a="1"/>
  <c r="BM40" i="1" s="1"/>
  <c r="DU112" i="1"/>
  <c r="CU112" i="1" s="1"/>
  <c r="DU318" i="1"/>
  <c r="DV318" i="1" s="1"/>
  <c r="DU148" i="1"/>
  <c r="DV148" i="1" s="1"/>
  <c r="BM148" i="1" s="1" a="1"/>
  <c r="BM148" i="1" s="1"/>
  <c r="DU99" i="1"/>
  <c r="DV99" i="1" s="1"/>
  <c r="BM99" i="1" s="1" a="1"/>
  <c r="BM99" i="1" s="1"/>
  <c r="DU201" i="1"/>
  <c r="CU201" i="1" s="1"/>
  <c r="DU270" i="1"/>
  <c r="DU43" i="1"/>
  <c r="DV43" i="1" s="1"/>
  <c r="DU176" i="1"/>
  <c r="CU176" i="1" s="1"/>
  <c r="DU325" i="1"/>
  <c r="CU325" i="1" s="1"/>
  <c r="DU271" i="1"/>
  <c r="DU97" i="1"/>
  <c r="CU97" i="1" s="1"/>
  <c r="DU250" i="1"/>
  <c r="CU250" i="1" s="1"/>
  <c r="DU207" i="1"/>
  <c r="DV207" i="1" s="1"/>
  <c r="BM207" i="1" s="1" a="1"/>
  <c r="BM207" i="1" s="1"/>
  <c r="DU219" i="1"/>
  <c r="DV219" i="1" s="1"/>
  <c r="BM219" i="1" s="1" a="1"/>
  <c r="BM219" i="1" s="1"/>
  <c r="DU124" i="1"/>
  <c r="CU124" i="1" s="1"/>
  <c r="DU147" i="1"/>
  <c r="DV147" i="1" s="1"/>
  <c r="BM147" i="1" s="1" a="1"/>
  <c r="BM147" i="1" s="1"/>
  <c r="DU256" i="1"/>
  <c r="DV256" i="1" s="1"/>
  <c r="BM256" i="1" s="1" a="1"/>
  <c r="BM256" i="1" s="1"/>
  <c r="DU247" i="1"/>
  <c r="DV247" i="1" s="1"/>
  <c r="DU253" i="1"/>
  <c r="CU253" i="1" s="1"/>
  <c r="DU264" i="1"/>
  <c r="CU264" i="1" s="1"/>
  <c r="DU333" i="1"/>
  <c r="CU333" i="1" s="1"/>
  <c r="DU273" i="1"/>
  <c r="CU273" i="1" s="1"/>
  <c r="DU72" i="1"/>
  <c r="DV72" i="1" s="1"/>
  <c r="BM72" i="1" s="1" a="1"/>
  <c r="BM72" i="1" s="1"/>
  <c r="DU174" i="1"/>
  <c r="DV174" i="1" s="1"/>
  <c r="BM174" i="1" s="1" a="1"/>
  <c r="BM174" i="1" s="1"/>
  <c r="DU143" i="1"/>
  <c r="CU143" i="1" s="1"/>
  <c r="DU127" i="1"/>
  <c r="DU91" i="1"/>
  <c r="DV91" i="1" s="1"/>
  <c r="BM91" i="1" s="1" a="1"/>
  <c r="BM91" i="1" s="1"/>
  <c r="DU102" i="1"/>
  <c r="DV102" i="1" s="1"/>
  <c r="BM102" i="1" s="1" a="1"/>
  <c r="BM102" i="1" s="1"/>
  <c r="DU119" i="1"/>
  <c r="DV119" i="1" s="1"/>
  <c r="BM119" i="1" s="1" a="1"/>
  <c r="BM119" i="1" s="1"/>
  <c r="DU82" i="1"/>
  <c r="CU82" i="1" s="1"/>
  <c r="DU223" i="1"/>
  <c r="CU223" i="1" s="1"/>
  <c r="DU327" i="1"/>
  <c r="CU327" i="1" s="1"/>
  <c r="DU151" i="1"/>
  <c r="CU151" i="1" s="1"/>
  <c r="DU92" i="1"/>
  <c r="DV92" i="1" s="1"/>
  <c r="BM92" i="1" s="1" a="1"/>
  <c r="BM92" i="1" s="1"/>
  <c r="DU87" i="1"/>
  <c r="DV87" i="1" s="1"/>
  <c r="BM87" i="1" s="1" a="1"/>
  <c r="BM87" i="1" s="1"/>
  <c r="DU66" i="1"/>
  <c r="CU66" i="1" s="1"/>
  <c r="DU187" i="1"/>
  <c r="DV187" i="1" s="1"/>
  <c r="BM187" i="1" s="1" a="1"/>
  <c r="BM187" i="1" s="1"/>
  <c r="DU142" i="1"/>
  <c r="CU142" i="1" s="1"/>
  <c r="DU336" i="1"/>
  <c r="CU336" i="1" s="1"/>
  <c r="DU60" i="1"/>
  <c r="CU60" i="1" s="1"/>
  <c r="DU19" i="1"/>
  <c r="CU19" i="1" s="1"/>
  <c r="CW19" i="1" s="1"/>
  <c r="DU197" i="1"/>
  <c r="DV197" i="1" s="1"/>
  <c r="BM197" i="1" s="1" a="1"/>
  <c r="BM197" i="1" s="1"/>
  <c r="DU88" i="1"/>
  <c r="DV88" i="1" s="1"/>
  <c r="BM88" i="1" s="1" a="1"/>
  <c r="BM88" i="1" s="1"/>
  <c r="DU73" i="1"/>
  <c r="CU73" i="1" s="1"/>
  <c r="DU342" i="1"/>
  <c r="DV342" i="1" s="1"/>
  <c r="BM342" i="1" s="1" a="1"/>
  <c r="BM342" i="1" s="1"/>
  <c r="DU232" i="1"/>
  <c r="CU232" i="1" s="1"/>
  <c r="DU122" i="1"/>
  <c r="CU122" i="1" s="1"/>
  <c r="DU210" i="1"/>
  <c r="DV210" i="1" s="1"/>
  <c r="BM210" i="1" s="1" a="1"/>
  <c r="BM210" i="1" s="1"/>
  <c r="DU37" i="1"/>
  <c r="CU37" i="1" s="1"/>
  <c r="CW37" i="1" s="1"/>
  <c r="DU32" i="1"/>
  <c r="CU32" i="1" s="1"/>
  <c r="CW32" i="1" s="1"/>
  <c r="DU27" i="1"/>
  <c r="CU27" i="1" s="1"/>
  <c r="CW27" i="1" s="1"/>
  <c r="DU29" i="1"/>
  <c r="CU29" i="1" s="1"/>
  <c r="CW29" i="1" s="1"/>
  <c r="DU36" i="1"/>
  <c r="CU36" i="1" s="1"/>
  <c r="CW36" i="1" s="1"/>
  <c r="DU18" i="1"/>
  <c r="CU18" i="1" s="1"/>
  <c r="CW18" i="1" s="1"/>
  <c r="DU30" i="1"/>
  <c r="CU30" i="1" s="1"/>
  <c r="CW30" i="1" s="1"/>
  <c r="EG23" i="1"/>
  <c r="EG24" i="1" s="1"/>
  <c r="DU158" i="1"/>
  <c r="DU206" i="1"/>
  <c r="DU169" i="1"/>
  <c r="DU295" i="1"/>
  <c r="CU192" i="1"/>
  <c r="DU231" i="1"/>
  <c r="DU71" i="1"/>
  <c r="DU123" i="1"/>
  <c r="DU108" i="1"/>
  <c r="DU57" i="1"/>
  <c r="DU234" i="1"/>
  <c r="DU63" i="1"/>
  <c r="DU185" i="1"/>
  <c r="DU172" i="1"/>
  <c r="DU186" i="1"/>
  <c r="DU287" i="1"/>
  <c r="DU272" i="1"/>
  <c r="DU70" i="1"/>
  <c r="DU136" i="1"/>
  <c r="DU255" i="1"/>
  <c r="DU285" i="1"/>
  <c r="DU313" i="1"/>
  <c r="DU126" i="1"/>
  <c r="DU114" i="1"/>
  <c r="DU278" i="1"/>
  <c r="DU15" i="1"/>
  <c r="CU15" i="1" s="1"/>
  <c r="CW15" i="1" s="1"/>
  <c r="DU341" i="1"/>
  <c r="DU55" i="1"/>
  <c r="DU133" i="1"/>
  <c r="DU290" i="1"/>
  <c r="DV288" i="1"/>
  <c r="BM288" i="1" s="1" a="1"/>
  <c r="BM288" i="1" s="1"/>
  <c r="CU288" i="1"/>
  <c r="DV132" i="1"/>
  <c r="BM132" i="1" s="1" a="1"/>
  <c r="BM132" i="1" s="1"/>
  <c r="DU211" i="1"/>
  <c r="DU314" i="1"/>
  <c r="DU202" i="1"/>
  <c r="DU177" i="1"/>
  <c r="DU140" i="1"/>
  <c r="DU166" i="1"/>
  <c r="DU268" i="1"/>
  <c r="DU238" i="1"/>
  <c r="DU328" i="1"/>
  <c r="AT328" i="1"/>
  <c r="DU245" i="1"/>
  <c r="DU168" i="1"/>
  <c r="DU165" i="1"/>
  <c r="DU50" i="1"/>
  <c r="DU96" i="1"/>
  <c r="CU53" i="1"/>
  <c r="DV53" i="1"/>
  <c r="BM53" i="1" s="1" a="1"/>
  <c r="BM53" i="1" s="1"/>
  <c r="DU249" i="1"/>
  <c r="DU160" i="1"/>
  <c r="DV149" i="1"/>
  <c r="BM149" i="1" s="1" a="1"/>
  <c r="BM149" i="1" s="1"/>
  <c r="DV259" i="1"/>
  <c r="BM259" i="1" s="1" a="1"/>
  <c r="BM259" i="1" s="1"/>
  <c r="CU259" i="1"/>
  <c r="CU265" i="1"/>
  <c r="CU110" i="1"/>
  <c r="DV110" i="1"/>
  <c r="BM110" i="1" s="1" a="1"/>
  <c r="BM110" i="1" s="1"/>
  <c r="CU303" i="1"/>
  <c r="DV80" i="1"/>
  <c r="BM80" i="1" s="1" a="1"/>
  <c r="BM80" i="1" s="1"/>
  <c r="DV134" i="1"/>
  <c r="BM134" i="1" s="1" a="1"/>
  <c r="BM134" i="1" s="1"/>
  <c r="CU76" i="1"/>
  <c r="DV76" i="1"/>
  <c r="BM76" i="1" s="1" a="1"/>
  <c r="BM76" i="1" s="1"/>
  <c r="DU171" i="1"/>
  <c r="DV142" i="1"/>
  <c r="BM142" i="1" s="1" a="1"/>
  <c r="BM142" i="1" s="1"/>
  <c r="DV257" i="1"/>
  <c r="BM257" i="1" s="1" a="1"/>
  <c r="BM257" i="1" s="1"/>
  <c r="CU257" i="1"/>
  <c r="CU315" i="1"/>
  <c r="DV315" i="1"/>
  <c r="BM315" i="1" s="1" a="1"/>
  <c r="BM315" i="1" s="1"/>
  <c r="DU84" i="1"/>
  <c r="CU78" i="1"/>
  <c r="CU127" i="1"/>
  <c r="DV127" i="1"/>
  <c r="BM127" i="1" s="1" a="1"/>
  <c r="BM127" i="1" s="1"/>
  <c r="CU91" i="1"/>
  <c r="DU107" i="1"/>
  <c r="DU131" i="1"/>
  <c r="DU311" i="1"/>
  <c r="DU334" i="1"/>
  <c r="DU248" i="1"/>
  <c r="DU189" i="1"/>
  <c r="DU24" i="1"/>
  <c r="CU24" i="1" s="1"/>
  <c r="CW24" i="1" s="1"/>
  <c r="DU17" i="1"/>
  <c r="CU17" i="1" s="1"/>
  <c r="CW17" i="1" s="1"/>
  <c r="DU48" i="1"/>
  <c r="DU299" i="1"/>
  <c r="DU81" i="1"/>
  <c r="DU138" i="1"/>
  <c r="DU181" i="1"/>
  <c r="DU324" i="1"/>
  <c r="DU113" i="1"/>
  <c r="DU38" i="1"/>
  <c r="CU38" i="1" s="1"/>
  <c r="CW38" i="1" s="1"/>
  <c r="CU301" i="1"/>
  <c r="DV301" i="1"/>
  <c r="DU266" i="1"/>
  <c r="CU274" i="1"/>
  <c r="DV274" i="1"/>
  <c r="BM274" i="1" s="1" a="1"/>
  <c r="BM274" i="1" s="1"/>
  <c r="CU93" i="1"/>
  <c r="DV93" i="1"/>
  <c r="BM93" i="1" s="1" a="1"/>
  <c r="BM93" i="1" s="1"/>
  <c r="CU141" i="1"/>
  <c r="DV141" i="1"/>
  <c r="BM141" i="1" s="1" a="1"/>
  <c r="BM141" i="1" s="1"/>
  <c r="DU95" i="1"/>
  <c r="DU194" i="1"/>
  <c r="CU269" i="1"/>
  <c r="DU227" i="1"/>
  <c r="CU281" i="1"/>
  <c r="DV281" i="1"/>
  <c r="BM281" i="1" s="1" a="1"/>
  <c r="BM281" i="1" s="1"/>
  <c r="DU45" i="1"/>
  <c r="CU46" i="1"/>
  <c r="DV46" i="1"/>
  <c r="BM46" i="1" s="1" a="1"/>
  <c r="BM46" i="1" s="1"/>
  <c r="DU58" i="1"/>
  <c r="DV74" i="1"/>
  <c r="BM74" i="1" s="1" a="1"/>
  <c r="BM74" i="1" s="1"/>
  <c r="CU197" i="1"/>
  <c r="DU64" i="1"/>
  <c r="DV221" i="1"/>
  <c r="BM221" i="1" s="1" a="1"/>
  <c r="BM221" i="1" s="1"/>
  <c r="CU137" i="1"/>
  <c r="DV137" i="1"/>
  <c r="BM137" i="1" s="1" a="1"/>
  <c r="BM137" i="1" s="1"/>
  <c r="CU279" i="1"/>
  <c r="CU239" i="1"/>
  <c r="DV239" i="1"/>
  <c r="BM239" i="1" s="1" a="1"/>
  <c r="BM239" i="1" s="1"/>
  <c r="DV291" i="1"/>
  <c r="CU291" i="1"/>
  <c r="DV115" i="1"/>
  <c r="BM115" i="1" s="1" a="1"/>
  <c r="BM115" i="1" s="1"/>
  <c r="CU139" i="1"/>
  <c r="CU282" i="1"/>
  <c r="DV282" i="1"/>
  <c r="BM282" i="1" s="1" a="1"/>
  <c r="BM282" i="1" s="1"/>
  <c r="CU195" i="1"/>
  <c r="DV195" i="1"/>
  <c r="BM195" i="1" s="1" a="1"/>
  <c r="BM195" i="1" s="1"/>
  <c r="CU283" i="1"/>
  <c r="DV283" i="1"/>
  <c r="BM283" i="1" s="1" a="1"/>
  <c r="BM283" i="1" s="1"/>
  <c r="CU193" i="1"/>
  <c r="DV193" i="1"/>
  <c r="BM193" i="1" s="1" a="1"/>
  <c r="BM193" i="1" s="1"/>
  <c r="CU52" i="1"/>
  <c r="DU16" i="1"/>
  <c r="CU16" i="1" s="1"/>
  <c r="CW16" i="1" s="1"/>
  <c r="CU135" i="1"/>
  <c r="DV135" i="1"/>
  <c r="BM135" i="1" s="1" a="1"/>
  <c r="BM135" i="1" s="1"/>
  <c r="CU188" i="1"/>
  <c r="DV188" i="1"/>
  <c r="BM188" i="1" s="1" a="1"/>
  <c r="BM188" i="1" s="1"/>
  <c r="CU116" i="1"/>
  <c r="DV116" i="1"/>
  <c r="BM116" i="1" s="1" a="1"/>
  <c r="BM116" i="1" s="1"/>
  <c r="CU222" i="1"/>
  <c r="DV222" i="1"/>
  <c r="BM222" i="1" s="1" a="1"/>
  <c r="BM222" i="1" s="1"/>
  <c r="DU322" i="1"/>
  <c r="DU213" i="1"/>
  <c r="DU200" i="1"/>
  <c r="DU25" i="1"/>
  <c r="CU25" i="1" s="1"/>
  <c r="CW25" i="1" s="1"/>
  <c r="DU212" i="1"/>
  <c r="DV157" i="1"/>
  <c r="BM157" i="1" s="1" a="1"/>
  <c r="BM157" i="1" s="1"/>
  <c r="DU65" i="1"/>
  <c r="DU297" i="1"/>
  <c r="DU163" i="1"/>
  <c r="DU323" i="1"/>
  <c r="DU320" i="1"/>
  <c r="DU144" i="1"/>
  <c r="DU170" i="1"/>
  <c r="DU244" i="1"/>
  <c r="DU319" i="1"/>
  <c r="DU86" i="1"/>
  <c r="DU75" i="1"/>
  <c r="DU294" i="1"/>
  <c r="DU275" i="1"/>
  <c r="DU332" i="1"/>
  <c r="DU98" i="1"/>
  <c r="DV164" i="1"/>
  <c r="BM164" i="1" s="1" a="1"/>
  <c r="BM164" i="1" s="1"/>
  <c r="CU300" i="1"/>
  <c r="DV300" i="1"/>
  <c r="BM300" i="1" s="1" a="1"/>
  <c r="BM300" i="1" s="1"/>
  <c r="DV329" i="1"/>
  <c r="BM329" i="1" s="1" a="1"/>
  <c r="BM329" i="1" s="1"/>
  <c r="CU329" i="1"/>
  <c r="CU296" i="1"/>
  <c r="DV296" i="1"/>
  <c r="BM296" i="1" s="1" a="1"/>
  <c r="BM296" i="1" s="1"/>
  <c r="CU215" i="1"/>
  <c r="CU199" i="1"/>
  <c r="DV199" i="1"/>
  <c r="BM199" i="1" s="1" a="1"/>
  <c r="BM199" i="1" s="1"/>
  <c r="CU260" i="1"/>
  <c r="DV33" i="1"/>
  <c r="BM33" i="1" s="1" a="1"/>
  <c r="BM33" i="1" s="1"/>
  <c r="CU289" i="1"/>
  <c r="DV289" i="1"/>
  <c r="BM289" i="1" s="1" a="1"/>
  <c r="BM289" i="1" s="1"/>
  <c r="DV122" i="1"/>
  <c r="BM122" i="1" s="1" a="1"/>
  <c r="BM122" i="1" s="1"/>
  <c r="CU77" i="1"/>
  <c r="DV77" i="1"/>
  <c r="BM77" i="1" s="1" a="1"/>
  <c r="BM77" i="1" s="1"/>
  <c r="CU286" i="1"/>
  <c r="DV286" i="1"/>
  <c r="BM286" i="1" s="1" a="1"/>
  <c r="BM286" i="1" s="1"/>
  <c r="CU298" i="1"/>
  <c r="DV198" i="1"/>
  <c r="BM198" i="1" s="1" a="1"/>
  <c r="BM198" i="1" s="1"/>
  <c r="CU198" i="1"/>
  <c r="DU175" i="1"/>
  <c r="DU162" i="1"/>
  <c r="DU89" i="1"/>
  <c r="DU155" i="1"/>
  <c r="DU214" i="1"/>
  <c r="DU85" i="1"/>
  <c r="DU230" i="1"/>
  <c r="DU312" i="1"/>
  <c r="DU62" i="1"/>
  <c r="CU204" i="1"/>
  <c r="DV204" i="1"/>
  <c r="BM204" i="1" s="1" a="1"/>
  <c r="BM204" i="1" s="1"/>
  <c r="DV94" i="1"/>
  <c r="BM94" i="1" s="1" a="1"/>
  <c r="BM94" i="1" s="1"/>
  <c r="CU94" i="1"/>
  <c r="CU305" i="1"/>
  <c r="CU40" i="1"/>
  <c r="CU318" i="1"/>
  <c r="CU216" i="1"/>
  <c r="DV216" i="1"/>
  <c r="BM216" i="1" s="1" a="1"/>
  <c r="BM216" i="1" s="1"/>
  <c r="CU270" i="1"/>
  <c r="DV270" i="1"/>
  <c r="BM270" i="1" s="1" a="1"/>
  <c r="BM270" i="1" s="1"/>
  <c r="CU271" i="1"/>
  <c r="DV271" i="1"/>
  <c r="BM271" i="1" s="1" a="1"/>
  <c r="BM271" i="1" s="1"/>
  <c r="AT197" i="1"/>
  <c r="DU26" i="1"/>
  <c r="CU26" i="1" s="1"/>
  <c r="CW26" i="1" s="1"/>
  <c r="DU293" i="1"/>
  <c r="DU236" i="1"/>
  <c r="DU326" i="1"/>
  <c r="DU209" i="1"/>
  <c r="DU130" i="1"/>
  <c r="DU190" i="1"/>
  <c r="DU184" i="1"/>
  <c r="DU103" i="1"/>
  <c r="DU335" i="1"/>
  <c r="DU337" i="1"/>
  <c r="DU340" i="1"/>
  <c r="DU161" i="1"/>
  <c r="DU152" i="1"/>
  <c r="DU129" i="1"/>
  <c r="DU105" i="1"/>
  <c r="DU292" i="1"/>
  <c r="AT105" i="1"/>
  <c r="DV28" i="1"/>
  <c r="BM28" i="1" s="1" a="1"/>
  <c r="BM28" i="1" s="1"/>
  <c r="DV150" i="1"/>
  <c r="BM150" i="1" s="1" a="1"/>
  <c r="BM150" i="1" s="1"/>
  <c r="CU150" i="1"/>
  <c r="CU218" i="1"/>
  <c r="DV218" i="1"/>
  <c r="CU51" i="1"/>
  <c r="DV51" i="1"/>
  <c r="BM51" i="1" s="1" a="1"/>
  <c r="BM51" i="1" s="1"/>
  <c r="DV97" i="1"/>
  <c r="BM97" i="1" s="1" a="1"/>
  <c r="BM97" i="1" s="1"/>
  <c r="DU263" i="1"/>
  <c r="CU121" i="1"/>
  <c r="DV121" i="1"/>
  <c r="BM121" i="1" s="1" a="1"/>
  <c r="BM121" i="1" s="1"/>
  <c r="DU246" i="1"/>
  <c r="CU228" i="1"/>
  <c r="DV228" i="1"/>
  <c r="BM228" i="1" s="1" a="1"/>
  <c r="BM228" i="1" s="1"/>
  <c r="DV117" i="1"/>
  <c r="BM117" i="1" s="1" a="1"/>
  <c r="BM117" i="1" s="1"/>
  <c r="CU117" i="1"/>
  <c r="DV90" i="1"/>
  <c r="BM90" i="1" s="1" a="1"/>
  <c r="BM90" i="1" s="1"/>
  <c r="CU90" i="1"/>
  <c r="CU145" i="1"/>
  <c r="DV145" i="1"/>
  <c r="BM145" i="1" s="1" a="1"/>
  <c r="BM145" i="1" s="1"/>
  <c r="AT207" i="1"/>
  <c r="DV31" i="1"/>
  <c r="BM31" i="1" s="1" a="1"/>
  <c r="BM31" i="1" s="1"/>
  <c r="DV118" i="1"/>
  <c r="BM118" i="1" s="1" a="1"/>
  <c r="BM118" i="1" s="1"/>
  <c r="DU120" i="1"/>
  <c r="CU254" i="1"/>
  <c r="DV254" i="1"/>
  <c r="BM254" i="1" s="1" a="1"/>
  <c r="BM254" i="1" s="1"/>
  <c r="DU61" i="1"/>
  <c r="DU196" i="1"/>
  <c r="DU226" i="1"/>
  <c r="CU109" i="1"/>
  <c r="DV109" i="1"/>
  <c r="DU242" i="1"/>
  <c r="DU317" i="1"/>
  <c r="DU321" i="1"/>
  <c r="DU302" i="1"/>
  <c r="DU41" i="1"/>
  <c r="DU14" i="1"/>
  <c r="CU14" i="1" s="1"/>
  <c r="CW14" i="1" s="1"/>
  <c r="DU39" i="1"/>
  <c r="AT203" i="1"/>
  <c r="EA16" i="1"/>
  <c r="EA14" i="1"/>
  <c r="EA15" i="1"/>
  <c r="BF13" i="1"/>
  <c r="DU13" i="1" s="1"/>
  <c r="AT13" i="1"/>
  <c r="EA13" i="1"/>
  <c r="L19" i="7"/>
  <c r="DK13" i="1" l="1"/>
  <c r="CU207" i="1"/>
  <c r="ED207" i="1" s="1"/>
  <c r="DV112" i="1"/>
  <c r="BM112" i="1" s="1" a="1"/>
  <c r="BM112" i="1" s="1"/>
  <c r="DV277" i="1"/>
  <c r="BM277" i="1" s="1" a="1"/>
  <c r="BM277" i="1" s="1"/>
  <c r="BD197" i="1"/>
  <c r="DH197" i="1" s="1"/>
  <c r="DM105" i="1"/>
  <c r="DH105" i="1"/>
  <c r="DD105" i="1"/>
  <c r="DV250" i="1"/>
  <c r="BM250" i="1" s="1" a="1"/>
  <c r="BM250" i="1" s="1"/>
  <c r="BN250" i="1" s="1"/>
  <c r="DV125" i="1"/>
  <c r="BM125" i="1" s="1" a="1"/>
  <c r="BM125" i="1" s="1"/>
  <c r="EB125" i="1" s="1"/>
  <c r="DV235" i="1"/>
  <c r="BM235" i="1" s="1" a="1"/>
  <c r="BM235" i="1" s="1"/>
  <c r="CU191" i="1"/>
  <c r="CW191" i="1" s="1"/>
  <c r="CU148" i="1"/>
  <c r="CU49" i="1"/>
  <c r="EN49" i="1" s="1"/>
  <c r="CU240" i="1"/>
  <c r="CW240" i="1" s="1"/>
  <c r="DV20" i="1"/>
  <c r="BM20" i="1" s="1" a="1"/>
  <c r="BM20" i="1" s="1"/>
  <c r="EB20" i="1" s="1"/>
  <c r="CU83" i="1"/>
  <c r="CW83" i="1" s="1"/>
  <c r="CU100" i="1"/>
  <c r="CU217" i="1"/>
  <c r="EK217" i="1" s="1"/>
  <c r="BM43" i="1" a="1"/>
  <c r="BM43" i="1" s="1"/>
  <c r="EB43" i="1" s="1"/>
  <c r="EB218" i="1"/>
  <c r="BM218" i="1" a="1"/>
  <c r="BM218" i="1" s="1"/>
  <c r="DV60" i="1"/>
  <c r="BM60" i="1" s="1" a="1"/>
  <c r="BM60" i="1" s="1"/>
  <c r="BN60" i="1" s="1"/>
  <c r="BM111" i="1" a="1"/>
  <c r="BM111" i="1" s="1"/>
  <c r="EB111" i="1" s="1"/>
  <c r="DV67" i="1"/>
  <c r="BM67" i="1" s="1" a="1"/>
  <c r="BM67" i="1" s="1"/>
  <c r="BO67" i="1" s="1"/>
  <c r="BM109" i="1" a="1"/>
  <c r="BM109" i="1" s="1"/>
  <c r="EB109" i="1" s="1"/>
  <c r="CU219" i="1"/>
  <c r="EN219" i="1" s="1"/>
  <c r="EB247" i="1"/>
  <c r="BM247" i="1" a="1"/>
  <c r="BM247" i="1" s="1"/>
  <c r="BM318" i="1" a="1"/>
  <c r="BM318" i="1" s="1"/>
  <c r="EB318" i="1" s="1"/>
  <c r="BM291" i="1" a="1"/>
  <c r="BM291" i="1" s="1"/>
  <c r="BN291" i="1" s="1"/>
  <c r="BM301" i="1" a="1"/>
  <c r="BM301" i="1" s="1"/>
  <c r="EB301" i="1" s="1"/>
  <c r="DV223" i="1"/>
  <c r="BM223" i="1" s="1" a="1"/>
  <c r="BM223" i="1" s="1"/>
  <c r="BO223" i="1" s="1"/>
  <c r="DV22" i="1"/>
  <c r="BM22" i="1" s="1" a="1"/>
  <c r="BM22" i="1" s="1"/>
  <c r="BO22" i="1" s="1"/>
  <c r="CU180" i="1"/>
  <c r="CW180" i="1" s="1"/>
  <c r="DV325" i="1"/>
  <c r="BM325" i="1" s="1" a="1"/>
  <c r="BM325" i="1" s="1"/>
  <c r="CU210" i="1"/>
  <c r="EK210" i="1" s="1"/>
  <c r="CU88" i="1"/>
  <c r="CW88" i="1" s="1"/>
  <c r="CU306" i="1"/>
  <c r="CW306" i="1" s="1"/>
  <c r="DV284" i="1"/>
  <c r="CU237" i="1"/>
  <c r="DV276" i="1"/>
  <c r="DV82" i="1"/>
  <c r="BM82" i="1" s="1" a="1"/>
  <c r="BM82" i="1" s="1"/>
  <c r="BO82" i="1" s="1"/>
  <c r="CU208" i="1"/>
  <c r="ED208" i="1" s="1"/>
  <c r="DV232" i="1"/>
  <c r="CU43" i="1"/>
  <c r="AC20" i="1"/>
  <c r="AG19" i="1"/>
  <c r="DV307" i="1"/>
  <c r="DV66" i="1"/>
  <c r="CU99" i="1"/>
  <c r="EK99" i="1" s="1"/>
  <c r="CU167" i="1"/>
  <c r="DV310" i="1"/>
  <c r="DV73" i="1"/>
  <c r="BM73" i="1" s="1" a="1"/>
  <c r="BM73" i="1" s="1"/>
  <c r="BO73" i="1" s="1"/>
  <c r="CU119" i="1"/>
  <c r="ED119" i="1" s="1"/>
  <c r="CU42" i="1"/>
  <c r="EN42" i="1" s="1"/>
  <c r="DV23" i="1"/>
  <c r="DV18" i="1"/>
  <c r="DV201" i="1"/>
  <c r="DV336" i="1"/>
  <c r="CU147" i="1"/>
  <c r="CW147" i="1" s="1"/>
  <c r="CU304" i="1"/>
  <c r="DV273" i="1"/>
  <c r="DV59" i="1"/>
  <c r="DV316" i="1"/>
  <c r="CU187" i="1"/>
  <c r="CU229" i="1"/>
  <c r="ED229" i="1" s="1"/>
  <c r="CU92" i="1"/>
  <c r="ED92" i="1" s="1"/>
  <c r="CU111" i="1"/>
  <c r="ED111" i="1" s="1"/>
  <c r="CU102" i="1"/>
  <c r="ED102" i="1" s="1"/>
  <c r="CU203" i="1"/>
  <c r="ED203" i="1" s="1"/>
  <c r="CU104" i="1"/>
  <c r="CW104" i="1" s="1"/>
  <c r="DV151" i="1"/>
  <c r="BM151" i="1" s="1" a="1"/>
  <c r="BM151" i="1" s="1"/>
  <c r="CU72" i="1"/>
  <c r="ED72" i="1" s="1"/>
  <c r="DV258" i="1"/>
  <c r="CU267" i="1"/>
  <c r="CW267" i="1" s="1"/>
  <c r="DV333" i="1"/>
  <c r="DV159" i="1"/>
  <c r="DV327" i="1"/>
  <c r="BM327" i="1" s="1" a="1"/>
  <c r="BM327" i="1" s="1"/>
  <c r="DV233" i="1"/>
  <c r="BM233" i="1" s="1" a="1"/>
  <c r="BM233" i="1" s="1"/>
  <c r="BN233" i="1" s="1"/>
  <c r="DV79" i="1"/>
  <c r="CU342" i="1"/>
  <c r="CU87" i="1"/>
  <c r="CW87" i="1" s="1"/>
  <c r="DV205" i="1"/>
  <c r="CU146" i="1"/>
  <c r="CW146" i="1" s="1"/>
  <c r="CU256" i="1"/>
  <c r="CW256" i="1" s="1"/>
  <c r="CU153" i="1"/>
  <c r="BO304" i="1"/>
  <c r="BN304" i="1"/>
  <c r="BO229" i="1"/>
  <c r="BN229" i="1"/>
  <c r="BO240" i="1"/>
  <c r="BN240" i="1"/>
  <c r="BO146" i="1"/>
  <c r="BN146" i="1"/>
  <c r="BO250" i="1"/>
  <c r="BO164" i="1"/>
  <c r="BN164" i="1"/>
  <c r="BO118" i="1"/>
  <c r="BN118" i="1"/>
  <c r="BO121" i="1"/>
  <c r="BN121" i="1"/>
  <c r="BO99" i="1"/>
  <c r="BN99" i="1"/>
  <c r="BO198" i="1"/>
  <c r="BN198" i="1"/>
  <c r="BO31" i="1"/>
  <c r="BN31" i="1"/>
  <c r="BO28" i="1"/>
  <c r="BN28" i="1"/>
  <c r="BO94" i="1"/>
  <c r="BN94" i="1"/>
  <c r="BO298" i="1"/>
  <c r="BN298" i="1"/>
  <c r="BO239" i="1"/>
  <c r="BN239" i="1"/>
  <c r="DV124" i="1"/>
  <c r="BO254" i="1"/>
  <c r="BN254" i="1"/>
  <c r="BO289" i="1"/>
  <c r="BN289" i="1"/>
  <c r="BO296" i="1"/>
  <c r="BN296" i="1"/>
  <c r="BO110" i="1"/>
  <c r="BN110" i="1"/>
  <c r="BO342" i="1"/>
  <c r="BN342" i="1"/>
  <c r="BO119" i="1"/>
  <c r="BN119" i="1"/>
  <c r="BO52" i="1"/>
  <c r="BN52" i="1"/>
  <c r="BO257" i="1"/>
  <c r="BN257" i="1"/>
  <c r="BO216" i="1"/>
  <c r="BN216" i="1"/>
  <c r="BO42" i="1"/>
  <c r="BN42" i="1"/>
  <c r="BO222" i="1"/>
  <c r="BN222" i="1"/>
  <c r="BO283" i="1"/>
  <c r="BN283" i="1"/>
  <c r="BO235" i="1"/>
  <c r="BN235" i="1"/>
  <c r="BO46" i="1"/>
  <c r="BN46" i="1"/>
  <c r="BN82" i="1"/>
  <c r="BO149" i="1"/>
  <c r="BN149" i="1"/>
  <c r="DV264" i="1"/>
  <c r="BM264" i="1" s="1" a="1"/>
  <c r="BM264" i="1" s="1"/>
  <c r="BO74" i="1"/>
  <c r="BN74" i="1"/>
  <c r="BO145" i="1"/>
  <c r="BN145" i="1"/>
  <c r="BO204" i="1"/>
  <c r="BN204" i="1"/>
  <c r="BO33" i="1"/>
  <c r="BN33" i="1"/>
  <c r="BO237" i="1"/>
  <c r="BN237" i="1"/>
  <c r="BO102" i="1"/>
  <c r="BN102" i="1"/>
  <c r="BO153" i="1"/>
  <c r="BN153" i="1"/>
  <c r="BO40" i="1"/>
  <c r="BN40" i="1"/>
  <c r="BO270" i="1"/>
  <c r="BN270" i="1"/>
  <c r="BO208" i="1"/>
  <c r="BN208" i="1"/>
  <c r="BO306" i="1"/>
  <c r="BN306" i="1"/>
  <c r="BO286" i="1"/>
  <c r="BN286" i="1"/>
  <c r="BO329" i="1"/>
  <c r="BN329" i="1"/>
  <c r="BO116" i="1"/>
  <c r="BN116" i="1"/>
  <c r="BO195" i="1"/>
  <c r="BN195" i="1"/>
  <c r="BO279" i="1"/>
  <c r="BN279" i="1"/>
  <c r="BO315" i="1"/>
  <c r="BN315" i="1"/>
  <c r="BO199" i="1"/>
  <c r="BN199" i="1"/>
  <c r="BO148" i="1"/>
  <c r="BN148" i="1"/>
  <c r="BO260" i="1"/>
  <c r="BN260" i="1"/>
  <c r="BO90" i="1"/>
  <c r="BN90" i="1"/>
  <c r="BO271" i="1"/>
  <c r="BN271" i="1"/>
  <c r="BO318" i="1"/>
  <c r="BN318" i="1"/>
  <c r="BO300" i="1"/>
  <c r="BN300" i="1"/>
  <c r="BO281" i="1"/>
  <c r="BN281" i="1"/>
  <c r="BO265" i="1"/>
  <c r="BN265" i="1"/>
  <c r="BO197" i="1"/>
  <c r="CO197" i="1" s="1"/>
  <c r="DR197" i="1" s="1"/>
  <c r="BN197" i="1"/>
  <c r="BO76" i="1"/>
  <c r="BN76" i="1"/>
  <c r="BO53" i="1"/>
  <c r="BN53" i="1"/>
  <c r="BO174" i="1"/>
  <c r="BN174" i="1"/>
  <c r="BO210" i="1"/>
  <c r="BN210" i="1"/>
  <c r="BO188" i="1"/>
  <c r="BN188" i="1"/>
  <c r="BO137" i="1"/>
  <c r="BN137" i="1"/>
  <c r="BO117" i="1"/>
  <c r="BN117" i="1"/>
  <c r="BO325" i="1"/>
  <c r="BN325" i="1"/>
  <c r="BO112" i="1"/>
  <c r="BN112" i="1"/>
  <c r="BO132" i="1"/>
  <c r="BN132" i="1"/>
  <c r="BO282" i="1"/>
  <c r="BN282" i="1"/>
  <c r="BO97" i="1"/>
  <c r="BN97" i="1"/>
  <c r="BO77" i="1"/>
  <c r="BN77" i="1"/>
  <c r="BO135" i="1"/>
  <c r="BN135" i="1"/>
  <c r="BO139" i="1"/>
  <c r="BN139" i="1"/>
  <c r="BO91" i="1"/>
  <c r="BN91" i="1"/>
  <c r="BO134" i="1"/>
  <c r="BN134" i="1"/>
  <c r="BO259" i="1"/>
  <c r="BN259" i="1"/>
  <c r="BO203" i="1"/>
  <c r="CO203" i="1" s="1"/>
  <c r="DR203" i="1" s="1"/>
  <c r="BN203" i="1"/>
  <c r="BO288" i="1"/>
  <c r="BN288" i="1"/>
  <c r="BO187" i="1"/>
  <c r="BN187" i="1"/>
  <c r="BO219" i="1"/>
  <c r="BN219" i="1"/>
  <c r="BO228" i="1"/>
  <c r="BN228" i="1"/>
  <c r="BO51" i="1"/>
  <c r="BN51" i="1"/>
  <c r="BO115" i="1"/>
  <c r="BN115" i="1"/>
  <c r="BO127" i="1"/>
  <c r="BN127" i="1"/>
  <c r="BO142" i="1"/>
  <c r="BN142" i="1"/>
  <c r="BO147" i="1"/>
  <c r="BN147" i="1"/>
  <c r="BO217" i="1"/>
  <c r="BN217" i="1"/>
  <c r="BO167" i="1"/>
  <c r="BN167" i="1"/>
  <c r="BO215" i="1"/>
  <c r="BN215" i="1"/>
  <c r="BO305" i="1"/>
  <c r="BN305" i="1"/>
  <c r="BO100" i="1"/>
  <c r="BN100" i="1"/>
  <c r="BO141" i="1"/>
  <c r="BN141" i="1"/>
  <c r="BO80" i="1"/>
  <c r="BN80" i="1"/>
  <c r="BO104" i="1"/>
  <c r="BN104" i="1"/>
  <c r="BO87" i="1"/>
  <c r="BN87" i="1"/>
  <c r="BO49" i="1"/>
  <c r="BN49" i="1"/>
  <c r="BO218" i="1"/>
  <c r="BN218" i="1"/>
  <c r="BO122" i="1"/>
  <c r="BN122" i="1"/>
  <c r="BO157" i="1"/>
  <c r="BN157" i="1"/>
  <c r="BO92" i="1"/>
  <c r="BN92" i="1"/>
  <c r="BO247" i="1"/>
  <c r="BN247" i="1"/>
  <c r="BO267" i="1"/>
  <c r="BN267" i="1"/>
  <c r="BO291" i="1"/>
  <c r="BO88" i="1"/>
  <c r="BN88" i="1"/>
  <c r="BO277" i="1"/>
  <c r="BN277" i="1"/>
  <c r="BO93" i="1"/>
  <c r="BN93" i="1"/>
  <c r="BO78" i="1"/>
  <c r="BN78" i="1"/>
  <c r="BO72" i="1"/>
  <c r="BN72" i="1"/>
  <c r="BO256" i="1"/>
  <c r="BN256" i="1"/>
  <c r="BO109" i="1"/>
  <c r="BO83" i="1"/>
  <c r="BN83" i="1"/>
  <c r="BO193" i="1"/>
  <c r="BN193" i="1"/>
  <c r="BO180" i="1"/>
  <c r="BN180" i="1"/>
  <c r="BO303" i="1"/>
  <c r="BN303" i="1"/>
  <c r="BO191" i="1"/>
  <c r="BN191" i="1"/>
  <c r="BO192" i="1"/>
  <c r="BN192" i="1"/>
  <c r="BO269" i="1"/>
  <c r="BN269" i="1"/>
  <c r="BO207" i="1"/>
  <c r="CO207" i="1" s="1"/>
  <c r="DR207" i="1" s="1"/>
  <c r="BN207" i="1"/>
  <c r="BO150" i="1"/>
  <c r="BN150" i="1"/>
  <c r="BO221" i="1"/>
  <c r="BN221" i="1"/>
  <c r="BO274" i="1"/>
  <c r="BN274" i="1"/>
  <c r="DV37" i="1"/>
  <c r="DV253" i="1"/>
  <c r="DV36" i="1"/>
  <c r="BM36" i="1" s="1" a="1"/>
  <c r="BM36" i="1" s="1"/>
  <c r="EB36" i="1" s="1"/>
  <c r="DV29" i="1"/>
  <c r="DV30" i="1"/>
  <c r="CU247" i="1"/>
  <c r="EK247" i="1" s="1"/>
  <c r="DV27" i="1"/>
  <c r="BM27" i="1" s="1" a="1"/>
  <c r="BM27" i="1" s="1"/>
  <c r="EB27" i="1" s="1"/>
  <c r="DV143" i="1"/>
  <c r="BM143" i="1" s="1" a="1"/>
  <c r="BM143" i="1" s="1"/>
  <c r="EB143" i="1" s="1"/>
  <c r="DV19" i="1"/>
  <c r="DV32" i="1"/>
  <c r="BM32" i="1" s="1" a="1"/>
  <c r="BM32" i="1" s="1"/>
  <c r="DV176" i="1"/>
  <c r="BM176" i="1" s="1" a="1"/>
  <c r="BM176" i="1" s="1"/>
  <c r="CU174" i="1"/>
  <c r="DV328" i="1"/>
  <c r="BM328" i="1" s="1" a="1"/>
  <c r="BM328" i="1" s="1"/>
  <c r="CU328" i="1"/>
  <c r="CW90" i="1"/>
  <c r="EK90" i="1"/>
  <c r="ED90" i="1"/>
  <c r="EN90" i="1"/>
  <c r="EB99" i="1"/>
  <c r="CW204" i="1"/>
  <c r="EK204" i="1"/>
  <c r="ED204" i="1"/>
  <c r="EN204" i="1"/>
  <c r="CU302" i="1"/>
  <c r="DV302" i="1"/>
  <c r="BM302" i="1" s="1" a="1"/>
  <c r="BM302" i="1" s="1"/>
  <c r="CW118" i="1"/>
  <c r="EK118" i="1"/>
  <c r="EN118" i="1"/>
  <c r="ED118" i="1"/>
  <c r="EB150" i="1"/>
  <c r="CU130" i="1"/>
  <c r="DV130" i="1"/>
  <c r="BM130" i="1" s="1" a="1"/>
  <c r="BM130" i="1" s="1"/>
  <c r="CW40" i="1"/>
  <c r="EK40" i="1"/>
  <c r="ED40" i="1"/>
  <c r="EN40" i="1"/>
  <c r="CU62" i="1"/>
  <c r="DV62" i="1"/>
  <c r="EB42" i="1"/>
  <c r="CW122" i="1"/>
  <c r="EN122" i="1"/>
  <c r="EK122" i="1"/>
  <c r="ED122" i="1"/>
  <c r="CW164" i="1"/>
  <c r="EN164" i="1"/>
  <c r="ED164" i="1"/>
  <c r="EK164" i="1"/>
  <c r="CU163" i="1"/>
  <c r="DV163" i="1"/>
  <c r="BM163" i="1" s="1" a="1"/>
  <c r="BM163" i="1" s="1"/>
  <c r="CW116" i="1"/>
  <c r="ED116" i="1"/>
  <c r="EK116" i="1"/>
  <c r="EN116" i="1"/>
  <c r="CW193" i="1"/>
  <c r="EK193" i="1"/>
  <c r="ED193" i="1"/>
  <c r="EN193" i="1"/>
  <c r="CW73" i="1"/>
  <c r="EN73" i="1"/>
  <c r="ED73" i="1"/>
  <c r="EK73" i="1"/>
  <c r="CW197" i="1"/>
  <c r="EK197" i="1"/>
  <c r="EN197" i="1"/>
  <c r="ED197" i="1"/>
  <c r="CW141" i="1"/>
  <c r="EN141" i="1"/>
  <c r="ED141" i="1"/>
  <c r="EK141" i="1"/>
  <c r="CU324" i="1"/>
  <c r="DV324" i="1"/>
  <c r="BM324" i="1" s="1" a="1"/>
  <c r="BM324" i="1" s="1"/>
  <c r="CW327" i="1"/>
  <c r="EK327" i="1"/>
  <c r="EN327" i="1"/>
  <c r="ED327" i="1"/>
  <c r="EB180" i="1"/>
  <c r="EB315" i="1"/>
  <c r="CW80" i="1"/>
  <c r="EK80" i="1"/>
  <c r="ED80" i="1"/>
  <c r="EN80" i="1"/>
  <c r="EB265" i="1"/>
  <c r="EB191" i="1"/>
  <c r="CU96" i="1"/>
  <c r="DV96" i="1"/>
  <c r="BM96" i="1" s="1" a="1"/>
  <c r="BM96" i="1" s="1"/>
  <c r="EB174" i="1"/>
  <c r="CW253" i="1"/>
  <c r="EK253" i="1"/>
  <c r="EN253" i="1"/>
  <c r="ED253" i="1"/>
  <c r="CU114" i="1"/>
  <c r="DV114" i="1"/>
  <c r="BM114" i="1" s="1" a="1"/>
  <c r="BM114" i="1" s="1"/>
  <c r="CU123" i="1"/>
  <c r="DV123" i="1"/>
  <c r="CU294" i="1"/>
  <c r="DV294" i="1"/>
  <c r="BM294" i="1" s="1" a="1"/>
  <c r="BM294" i="1" s="1"/>
  <c r="EB219" i="1"/>
  <c r="CW150" i="1"/>
  <c r="EK150" i="1"/>
  <c r="EN150" i="1"/>
  <c r="ED150" i="1"/>
  <c r="EB40" i="1"/>
  <c r="CW260" i="1"/>
  <c r="EK260" i="1"/>
  <c r="ED260" i="1"/>
  <c r="EN260" i="1"/>
  <c r="CU321" i="1"/>
  <c r="DV321" i="1"/>
  <c r="BM321" i="1" s="1" a="1"/>
  <c r="BM321" i="1" s="1"/>
  <c r="CU209" i="1"/>
  <c r="DV209" i="1"/>
  <c r="BM209" i="1" s="1" a="1"/>
  <c r="BM209" i="1" s="1"/>
  <c r="CW176" i="1"/>
  <c r="EN176" i="1"/>
  <c r="EK176" i="1"/>
  <c r="ED176" i="1"/>
  <c r="EB305" i="1"/>
  <c r="CU312" i="1"/>
  <c r="DV312" i="1"/>
  <c r="BM312" i="1" s="1" a="1"/>
  <c r="BM312" i="1" s="1"/>
  <c r="EB217" i="1"/>
  <c r="EB199" i="1"/>
  <c r="CW159" i="1"/>
  <c r="EK159" i="1"/>
  <c r="EN159" i="1"/>
  <c r="ED159" i="1"/>
  <c r="CU98" i="1"/>
  <c r="DV98" i="1"/>
  <c r="BM98" i="1" s="1" a="1"/>
  <c r="BM98" i="1" s="1"/>
  <c r="DV297" i="1"/>
  <c r="BM297" i="1" s="1" a="1"/>
  <c r="BM297" i="1" s="1"/>
  <c r="CU297" i="1"/>
  <c r="EB188" i="1"/>
  <c r="EB115" i="1"/>
  <c r="CW235" i="1"/>
  <c r="EK235" i="1"/>
  <c r="ED235" i="1"/>
  <c r="EN235" i="1"/>
  <c r="CW49" i="1"/>
  <c r="EK49" i="1"/>
  <c r="ED49" i="1"/>
  <c r="CU181" i="1"/>
  <c r="DV181" i="1"/>
  <c r="BM181" i="1" s="1" a="1"/>
  <c r="BM181" i="1" s="1"/>
  <c r="CW223" i="1"/>
  <c r="EK223" i="1"/>
  <c r="ED223" i="1"/>
  <c r="EN223" i="1"/>
  <c r="CW66" i="1"/>
  <c r="ED66" i="1"/>
  <c r="EN66" i="1"/>
  <c r="EK66" i="1"/>
  <c r="CU171" i="1"/>
  <c r="DV171" i="1"/>
  <c r="BM171" i="1" s="1" a="1"/>
  <c r="BM171" i="1" s="1"/>
  <c r="CW303" i="1"/>
  <c r="EK303" i="1"/>
  <c r="ED303" i="1"/>
  <c r="EN303" i="1"/>
  <c r="EK191" i="1"/>
  <c r="DV50" i="1"/>
  <c r="BM50" i="1" s="1" a="1"/>
  <c r="BM50" i="1" s="1"/>
  <c r="CU50" i="1"/>
  <c r="CW132" i="1"/>
  <c r="EK132" i="1"/>
  <c r="EN132" i="1"/>
  <c r="ED132" i="1"/>
  <c r="EB72" i="1"/>
  <c r="CU126" i="1"/>
  <c r="DV126" i="1"/>
  <c r="BM126" i="1" s="1" a="1"/>
  <c r="BM126" i="1" s="1"/>
  <c r="CU71" i="1"/>
  <c r="DV71" i="1"/>
  <c r="BM71" i="1" s="1" a="1"/>
  <c r="BM71" i="1" s="1"/>
  <c r="EB195" i="1"/>
  <c r="EB118" i="1"/>
  <c r="DV184" i="1"/>
  <c r="BM184" i="1" s="1" a="1"/>
  <c r="BM184" i="1" s="1"/>
  <c r="CU184" i="1"/>
  <c r="CU41" i="1"/>
  <c r="DV41" i="1"/>
  <c r="CU317" i="1"/>
  <c r="DV317" i="1"/>
  <c r="EB228" i="1"/>
  <c r="EB28" i="1"/>
  <c r="CU326" i="1"/>
  <c r="DV326" i="1"/>
  <c r="BM326" i="1" s="1" a="1"/>
  <c r="BM326" i="1" s="1"/>
  <c r="CU230" i="1"/>
  <c r="DV230" i="1"/>
  <c r="BM230" i="1" s="1" a="1"/>
  <c r="BM230" i="1" s="1"/>
  <c r="CW199" i="1"/>
  <c r="EK199" i="1"/>
  <c r="EN199" i="1"/>
  <c r="ED199" i="1"/>
  <c r="CU65" i="1"/>
  <c r="DV65" i="1"/>
  <c r="EB229" i="1"/>
  <c r="CW115" i="1"/>
  <c r="EK115" i="1"/>
  <c r="ED115" i="1"/>
  <c r="EN115" i="1"/>
  <c r="EB279" i="1"/>
  <c r="EB88" i="1"/>
  <c r="EB46" i="1"/>
  <c r="EB93" i="1"/>
  <c r="DV138" i="1"/>
  <c r="BM138" i="1" s="1" a="1"/>
  <c r="BM138" i="1" s="1"/>
  <c r="CU138" i="1"/>
  <c r="EB223" i="1"/>
  <c r="EK180" i="1"/>
  <c r="EN180" i="1"/>
  <c r="ED180" i="1"/>
  <c r="CW315" i="1"/>
  <c r="EK315" i="1"/>
  <c r="EN315" i="1"/>
  <c r="ED315" i="1"/>
  <c r="EB76" i="1"/>
  <c r="CW265" i="1"/>
  <c r="ED265" i="1"/>
  <c r="EK265" i="1"/>
  <c r="EN265" i="1"/>
  <c r="EB146" i="1"/>
  <c r="CU165" i="1"/>
  <c r="DV165" i="1"/>
  <c r="BM165" i="1" s="1" a="1"/>
  <c r="BM165" i="1" s="1"/>
  <c r="CW288" i="1"/>
  <c r="EK288" i="1"/>
  <c r="ED288" i="1"/>
  <c r="EN288" i="1"/>
  <c r="CU313" i="1"/>
  <c r="DV313" i="1"/>
  <c r="BM313" i="1" s="1" a="1"/>
  <c r="BM313" i="1" s="1"/>
  <c r="CU231" i="1"/>
  <c r="DV231" i="1"/>
  <c r="BM231" i="1" s="1" a="1"/>
  <c r="BM231" i="1" s="1"/>
  <c r="CU129" i="1"/>
  <c r="DV129" i="1"/>
  <c r="BM129" i="1" s="1" a="1"/>
  <c r="BM129" i="1" s="1"/>
  <c r="DV25" i="1"/>
  <c r="BM25" i="1" s="1" a="1"/>
  <c r="BM25" i="1" s="1"/>
  <c r="CW219" i="1"/>
  <c r="EK219" i="1"/>
  <c r="ED219" i="1"/>
  <c r="EB31" i="1"/>
  <c r="EB250" i="1"/>
  <c r="EB216" i="1"/>
  <c r="CU242" i="1"/>
  <c r="DV242" i="1"/>
  <c r="BM242" i="1" s="1" a="1"/>
  <c r="BM242" i="1" s="1"/>
  <c r="ED31" i="1"/>
  <c r="EN31" i="1"/>
  <c r="EK31" i="1"/>
  <c r="EK228" i="1"/>
  <c r="CW228" i="1"/>
  <c r="EN228" i="1"/>
  <c r="ED228" i="1"/>
  <c r="EK28" i="1"/>
  <c r="ED28" i="1"/>
  <c r="EN28" i="1"/>
  <c r="DV236" i="1"/>
  <c r="BM236" i="1" s="1" a="1"/>
  <c r="BM236" i="1" s="1"/>
  <c r="CU236" i="1"/>
  <c r="CW305" i="1"/>
  <c r="ED305" i="1"/>
  <c r="EN305" i="1"/>
  <c r="EK305" i="1"/>
  <c r="CU85" i="1"/>
  <c r="DV85" i="1"/>
  <c r="BM85" i="1" s="1" a="1"/>
  <c r="BM85" i="1" s="1"/>
  <c r="EB286" i="1"/>
  <c r="CW217" i="1"/>
  <c r="ED217" i="1"/>
  <c r="EN217" i="1"/>
  <c r="EB22" i="1"/>
  <c r="EB296" i="1"/>
  <c r="CW188" i="1"/>
  <c r="EK188" i="1"/>
  <c r="EN188" i="1"/>
  <c r="ED188" i="1"/>
  <c r="EK229" i="1"/>
  <c r="EN229" i="1"/>
  <c r="ED88" i="1"/>
  <c r="EK88" i="1"/>
  <c r="EN88" i="1"/>
  <c r="EB49" i="1"/>
  <c r="CW46" i="1"/>
  <c r="EK46" i="1"/>
  <c r="ED46" i="1"/>
  <c r="EN46" i="1"/>
  <c r="CW93" i="1"/>
  <c r="EN93" i="1"/>
  <c r="EK93" i="1"/>
  <c r="ED93" i="1"/>
  <c r="CU81" i="1"/>
  <c r="DV81" i="1"/>
  <c r="CW124" i="1"/>
  <c r="EN124" i="1"/>
  <c r="ED124" i="1"/>
  <c r="EK124" i="1"/>
  <c r="EB87" i="1"/>
  <c r="EB303" i="1"/>
  <c r="CU168" i="1"/>
  <c r="DV168" i="1"/>
  <c r="BM168" i="1" s="1" a="1"/>
  <c r="BM168" i="1" s="1"/>
  <c r="ED247" i="1"/>
  <c r="CU285" i="1"/>
  <c r="DV285" i="1"/>
  <c r="BM285" i="1" s="1" a="1"/>
  <c r="BM285" i="1" s="1"/>
  <c r="CW192" i="1"/>
  <c r="EK192" i="1"/>
  <c r="EN192" i="1"/>
  <c r="ED192" i="1"/>
  <c r="CW94" i="1"/>
  <c r="ED94" i="1"/>
  <c r="EK94" i="1"/>
  <c r="EN94" i="1"/>
  <c r="CW257" i="1"/>
  <c r="EK257" i="1"/>
  <c r="ED257" i="1"/>
  <c r="EN257" i="1"/>
  <c r="CU196" i="1"/>
  <c r="DV196" i="1"/>
  <c r="BM196" i="1" s="1" a="1"/>
  <c r="BM196" i="1" s="1"/>
  <c r="CU152" i="1"/>
  <c r="DV152" i="1"/>
  <c r="BM152" i="1" s="1" a="1"/>
  <c r="BM152" i="1" s="1"/>
  <c r="CU246" i="1"/>
  <c r="DV246" i="1"/>
  <c r="BM246" i="1" s="1" a="1"/>
  <c r="BM246" i="1" s="1"/>
  <c r="CW250" i="1"/>
  <c r="EK250" i="1"/>
  <c r="EN250" i="1"/>
  <c r="ED250" i="1"/>
  <c r="CU293" i="1"/>
  <c r="DV293" i="1"/>
  <c r="BM293" i="1" s="1" a="1"/>
  <c r="BM293" i="1" s="1"/>
  <c r="EN216" i="1"/>
  <c r="ED216" i="1"/>
  <c r="EK216" i="1"/>
  <c r="CW216" i="1"/>
  <c r="EB83" i="1"/>
  <c r="CU214" i="1"/>
  <c r="DV214" i="1"/>
  <c r="BM214" i="1" s="1" a="1"/>
  <c r="BM214" i="1" s="1"/>
  <c r="CW286" i="1"/>
  <c r="EK286" i="1"/>
  <c r="EN286" i="1"/>
  <c r="ED286" i="1"/>
  <c r="ED240" i="1"/>
  <c r="EK240" i="1"/>
  <c r="EN240" i="1"/>
  <c r="CW296" i="1"/>
  <c r="EK296" i="1"/>
  <c r="ED296" i="1"/>
  <c r="EN296" i="1"/>
  <c r="CW258" i="1"/>
  <c r="EK258" i="1"/>
  <c r="EN258" i="1"/>
  <c r="ED258" i="1"/>
  <c r="EB157" i="1"/>
  <c r="EB135" i="1"/>
  <c r="CW279" i="1"/>
  <c r="EK279" i="1"/>
  <c r="ED279" i="1"/>
  <c r="EN279" i="1"/>
  <c r="EB74" i="1"/>
  <c r="CU45" i="1"/>
  <c r="DV45" i="1"/>
  <c r="BM45" i="1" s="1" a="1"/>
  <c r="BM45" i="1" s="1"/>
  <c r="EB274" i="1"/>
  <c r="CU299" i="1"/>
  <c r="DV299" i="1"/>
  <c r="BM299" i="1" s="1" a="1"/>
  <c r="BM299" i="1" s="1"/>
  <c r="EB119" i="1"/>
  <c r="CW336" i="1"/>
  <c r="EK336" i="1"/>
  <c r="ED336" i="1"/>
  <c r="EN336" i="1"/>
  <c r="EK87" i="1"/>
  <c r="CW76" i="1"/>
  <c r="EK76" i="1"/>
  <c r="ED76" i="1"/>
  <c r="EN76" i="1"/>
  <c r="CW259" i="1"/>
  <c r="EN259" i="1"/>
  <c r="ED259" i="1"/>
  <c r="EK259" i="1"/>
  <c r="ED146" i="1"/>
  <c r="CU245" i="1"/>
  <c r="DV245" i="1"/>
  <c r="BM245" i="1" s="1" a="1"/>
  <c r="BM245" i="1" s="1"/>
  <c r="EB288" i="1"/>
  <c r="EB256" i="1"/>
  <c r="CU255" i="1"/>
  <c r="DV255" i="1"/>
  <c r="BM255" i="1" s="1" a="1"/>
  <c r="BM255" i="1" s="1"/>
  <c r="EB192" i="1"/>
  <c r="EB270" i="1"/>
  <c r="EN92" i="1"/>
  <c r="DV14" i="1"/>
  <c r="BM14" i="1" s="1" a="1"/>
  <c r="BM14" i="1" s="1"/>
  <c r="EB145" i="1"/>
  <c r="CW43" i="1"/>
  <c r="EK43" i="1"/>
  <c r="ED43" i="1"/>
  <c r="EN43" i="1"/>
  <c r="CU155" i="1"/>
  <c r="DV155" i="1"/>
  <c r="BM155" i="1" s="1" a="1"/>
  <c r="BM155" i="1" s="1"/>
  <c r="EB210" i="1"/>
  <c r="EK22" i="1"/>
  <c r="ED22" i="1"/>
  <c r="EN22" i="1"/>
  <c r="CW329" i="1"/>
  <c r="EK329" i="1"/>
  <c r="ED329" i="1"/>
  <c r="EN329" i="1"/>
  <c r="CU332" i="1"/>
  <c r="DV332" i="1"/>
  <c r="BM332" i="1" s="1" a="1"/>
  <c r="BM332" i="1" s="1"/>
  <c r="CW157" i="1"/>
  <c r="EN157" i="1"/>
  <c r="EK157" i="1"/>
  <c r="ED157" i="1"/>
  <c r="EB283" i="1"/>
  <c r="EK20" i="1"/>
  <c r="EN20" i="1"/>
  <c r="ED20" i="1"/>
  <c r="EB221" i="1"/>
  <c r="EB281" i="1"/>
  <c r="CU48" i="1"/>
  <c r="DV48" i="1"/>
  <c r="BM48" i="1" s="1" a="1"/>
  <c r="BM48" i="1" s="1"/>
  <c r="CW119" i="1"/>
  <c r="EK119" i="1"/>
  <c r="EB134" i="1"/>
  <c r="EB259" i="1"/>
  <c r="CU136" i="1"/>
  <c r="DV136" i="1"/>
  <c r="BM136" i="1" s="1" a="1"/>
  <c r="BM136" i="1" s="1"/>
  <c r="CW145" i="1"/>
  <c r="EK145" i="1"/>
  <c r="ED145" i="1"/>
  <c r="EN145" i="1"/>
  <c r="CU292" i="1"/>
  <c r="DV292" i="1"/>
  <c r="BM292" i="1" s="1" a="1"/>
  <c r="BM292" i="1" s="1"/>
  <c r="DV26" i="1"/>
  <c r="BM26" i="1" s="1" a="1"/>
  <c r="BM26" i="1" s="1"/>
  <c r="CW109" i="1"/>
  <c r="EK109" i="1"/>
  <c r="ED109" i="1"/>
  <c r="EN109" i="1"/>
  <c r="EB97" i="1"/>
  <c r="CU105" i="1"/>
  <c r="DV105" i="1"/>
  <c r="BM105" i="1" s="1" a="1"/>
  <c r="BM105" i="1" s="1"/>
  <c r="EB148" i="1"/>
  <c r="CU89" i="1"/>
  <c r="DV89" i="1"/>
  <c r="BM89" i="1" s="1" a="1"/>
  <c r="BM89" i="1" s="1"/>
  <c r="CW210" i="1"/>
  <c r="ED210" i="1"/>
  <c r="EN210" i="1"/>
  <c r="EB240" i="1"/>
  <c r="CU275" i="1"/>
  <c r="DV275" i="1"/>
  <c r="BM275" i="1" s="1" a="1"/>
  <c r="BM275" i="1" s="1"/>
  <c r="DV212" i="1"/>
  <c r="BM212" i="1" s="1" a="1"/>
  <c r="BM212" i="1" s="1"/>
  <c r="CU212" i="1"/>
  <c r="CW135" i="1"/>
  <c r="EK135" i="1"/>
  <c r="EN135" i="1"/>
  <c r="ED135" i="1"/>
  <c r="CW283" i="1"/>
  <c r="EK283" i="1"/>
  <c r="ED283" i="1"/>
  <c r="EN283" i="1"/>
  <c r="CW291" i="1"/>
  <c r="EK291" i="1"/>
  <c r="ED291" i="1"/>
  <c r="EN291" i="1"/>
  <c r="EB137" i="1"/>
  <c r="CW221" i="1"/>
  <c r="EK221" i="1"/>
  <c r="EN221" i="1"/>
  <c r="ED221" i="1"/>
  <c r="CW74" i="1"/>
  <c r="EK74" i="1"/>
  <c r="ED74" i="1"/>
  <c r="EN74" i="1"/>
  <c r="CW274" i="1"/>
  <c r="EK274" i="1"/>
  <c r="EN274" i="1"/>
  <c r="ED274" i="1"/>
  <c r="DV17" i="1"/>
  <c r="EB92" i="1"/>
  <c r="CW134" i="1"/>
  <c r="EK134" i="1"/>
  <c r="ED134" i="1"/>
  <c r="EN134" i="1"/>
  <c r="EK29" i="1"/>
  <c r="ED29" i="1"/>
  <c r="EN29" i="1"/>
  <c r="EB149" i="1"/>
  <c r="EB147" i="1"/>
  <c r="CW273" i="1"/>
  <c r="EK273" i="1"/>
  <c r="EN273" i="1"/>
  <c r="ED273" i="1"/>
  <c r="ED256" i="1"/>
  <c r="EN256" i="1"/>
  <c r="CU70" i="1"/>
  <c r="DV70" i="1"/>
  <c r="BM70" i="1" s="1" a="1"/>
  <c r="BM70" i="1" s="1"/>
  <c r="CU295" i="1"/>
  <c r="DV295" i="1"/>
  <c r="BM295" i="1" s="1" a="1"/>
  <c r="BM295" i="1" s="1"/>
  <c r="CW149" i="1"/>
  <c r="EK149" i="1"/>
  <c r="ED149" i="1"/>
  <c r="EN149" i="1"/>
  <c r="DV238" i="1"/>
  <c r="BM238" i="1" s="1" a="1"/>
  <c r="BM238" i="1" s="1"/>
  <c r="CU238" i="1"/>
  <c r="CW333" i="1"/>
  <c r="EK333" i="1"/>
  <c r="EN333" i="1"/>
  <c r="ED333" i="1"/>
  <c r="DV272" i="1"/>
  <c r="BM272" i="1" s="1" a="1"/>
  <c r="BM272" i="1" s="1"/>
  <c r="CU272" i="1"/>
  <c r="DV169" i="1"/>
  <c r="BM169" i="1" s="1" a="1"/>
  <c r="BM169" i="1" s="1"/>
  <c r="CU169" i="1"/>
  <c r="EB100" i="1"/>
  <c r="EK23" i="1"/>
  <c r="ED23" i="1"/>
  <c r="EN23" i="1"/>
  <c r="CW270" i="1"/>
  <c r="ED270" i="1"/>
  <c r="EK270" i="1"/>
  <c r="EN270" i="1"/>
  <c r="EB94" i="1"/>
  <c r="CU175" i="1"/>
  <c r="DV175" i="1"/>
  <c r="EB77" i="1"/>
  <c r="EB289" i="1"/>
  <c r="CW215" i="1"/>
  <c r="EK215" i="1"/>
  <c r="EN215" i="1"/>
  <c r="ED215" i="1"/>
  <c r="EB300" i="1"/>
  <c r="CU75" i="1"/>
  <c r="DV75" i="1"/>
  <c r="BM75" i="1" s="1" a="1"/>
  <c r="BM75" i="1" s="1"/>
  <c r="CU200" i="1"/>
  <c r="DV200" i="1"/>
  <c r="BM200" i="1" s="1" a="1"/>
  <c r="BM200" i="1" s="1"/>
  <c r="CW52" i="1"/>
  <c r="EK52" i="1"/>
  <c r="ED52" i="1"/>
  <c r="EN52" i="1"/>
  <c r="CU227" i="1"/>
  <c r="DV227" i="1"/>
  <c r="BM227" i="1" s="1" a="1"/>
  <c r="BM227" i="1" s="1"/>
  <c r="CU189" i="1"/>
  <c r="DV189" i="1"/>
  <c r="BM189" i="1" s="1" a="1"/>
  <c r="BM189" i="1" s="1"/>
  <c r="EB91" i="1"/>
  <c r="CW60" i="1"/>
  <c r="EK60" i="1"/>
  <c r="EN60" i="1"/>
  <c r="ED60" i="1"/>
  <c r="EB257" i="1"/>
  <c r="CW151" i="1"/>
  <c r="EK151" i="1"/>
  <c r="ED151" i="1"/>
  <c r="EN151" i="1"/>
  <c r="CW203" i="1"/>
  <c r="DV268" i="1"/>
  <c r="BM268" i="1" s="1" a="1"/>
  <c r="BM268" i="1" s="1"/>
  <c r="CU268" i="1"/>
  <c r="CW79" i="1"/>
  <c r="ED79" i="1"/>
  <c r="EK79" i="1"/>
  <c r="EN79" i="1"/>
  <c r="CU287" i="1"/>
  <c r="DV287" i="1"/>
  <c r="BM287" i="1" s="1" a="1"/>
  <c r="BM287" i="1" s="1"/>
  <c r="CU206" i="1"/>
  <c r="DV206" i="1"/>
  <c r="BM206" i="1" s="1" a="1"/>
  <c r="BM206" i="1" s="1"/>
  <c r="CW148" i="1"/>
  <c r="EN148" i="1"/>
  <c r="ED148" i="1"/>
  <c r="EK148" i="1"/>
  <c r="CW137" i="1"/>
  <c r="EK137" i="1"/>
  <c r="EN137" i="1"/>
  <c r="ED137" i="1"/>
  <c r="CU86" i="1"/>
  <c r="DV86" i="1"/>
  <c r="BM86" i="1" s="1" a="1"/>
  <c r="BM86" i="1" s="1"/>
  <c r="CW195" i="1"/>
  <c r="EK195" i="1"/>
  <c r="ED195" i="1"/>
  <c r="EN195" i="1"/>
  <c r="CW59" i="1"/>
  <c r="EK59" i="1"/>
  <c r="ED59" i="1"/>
  <c r="EN59" i="1"/>
  <c r="CW100" i="1"/>
  <c r="EK100" i="1"/>
  <c r="EN100" i="1"/>
  <c r="ED100" i="1"/>
  <c r="CU248" i="1"/>
  <c r="DV248" i="1"/>
  <c r="CW91" i="1"/>
  <c r="EK91" i="1"/>
  <c r="ED91" i="1"/>
  <c r="EN91" i="1"/>
  <c r="EB142" i="1"/>
  <c r="CW205" i="1"/>
  <c r="EN205" i="1"/>
  <c r="ED205" i="1"/>
  <c r="EK205" i="1"/>
  <c r="EB104" i="1"/>
  <c r="EB32" i="1"/>
  <c r="CU166" i="1"/>
  <c r="DV166" i="1"/>
  <c r="BM166" i="1" s="1" a="1"/>
  <c r="BM166" i="1" s="1"/>
  <c r="EK27" i="1"/>
  <c r="ED27" i="1"/>
  <c r="EN27" i="1"/>
  <c r="CU186" i="1"/>
  <c r="DV186" i="1"/>
  <c r="BM186" i="1" s="1" a="1"/>
  <c r="BM186" i="1" s="1"/>
  <c r="CU158" i="1"/>
  <c r="DV158" i="1"/>
  <c r="BM158" i="1" s="1" a="1"/>
  <c r="BM158" i="1" s="1"/>
  <c r="DV16" i="1"/>
  <c r="BM16" i="1" s="1" a="1"/>
  <c r="BM16" i="1" s="1"/>
  <c r="EB121" i="1"/>
  <c r="CW198" i="1"/>
  <c r="EK198" i="1"/>
  <c r="ED198" i="1"/>
  <c r="EN198" i="1"/>
  <c r="EB271" i="1"/>
  <c r="CW201" i="1"/>
  <c r="EK201" i="1"/>
  <c r="ED201" i="1"/>
  <c r="EN201" i="1"/>
  <c r="CW318" i="1"/>
  <c r="EK318" i="1"/>
  <c r="EN318" i="1"/>
  <c r="ED318" i="1"/>
  <c r="CW77" i="1"/>
  <c r="EN77" i="1"/>
  <c r="ED77" i="1"/>
  <c r="EK77" i="1"/>
  <c r="CW300" i="1"/>
  <c r="EK300" i="1"/>
  <c r="EN300" i="1"/>
  <c r="ED300" i="1"/>
  <c r="CU319" i="1"/>
  <c r="DV319" i="1"/>
  <c r="BM319" i="1" s="1" a="1"/>
  <c r="BM319" i="1" s="1"/>
  <c r="CU322" i="1"/>
  <c r="DV322" i="1"/>
  <c r="EB52" i="1"/>
  <c r="CW232" i="1"/>
  <c r="EK232" i="1"/>
  <c r="ED232" i="1"/>
  <c r="EN232" i="1"/>
  <c r="EB277" i="1"/>
  <c r="EB269" i="1"/>
  <c r="EK19" i="1"/>
  <c r="ED19" i="1"/>
  <c r="EN19" i="1"/>
  <c r="CU334" i="1"/>
  <c r="DV334" i="1"/>
  <c r="EB127" i="1"/>
  <c r="EK36" i="1"/>
  <c r="ED36" i="1"/>
  <c r="EN36" i="1"/>
  <c r="EB110" i="1"/>
  <c r="EK32" i="1"/>
  <c r="ED32" i="1"/>
  <c r="EN32" i="1"/>
  <c r="CU140" i="1"/>
  <c r="DV140" i="1"/>
  <c r="BM140" i="1" s="1" a="1"/>
  <c r="BM140" i="1" s="1"/>
  <c r="CU290" i="1"/>
  <c r="DV290" i="1"/>
  <c r="BM290" i="1" s="1" a="1"/>
  <c r="BM290" i="1" s="1"/>
  <c r="DV172" i="1"/>
  <c r="BM172" i="1" s="1" a="1"/>
  <c r="BM172" i="1" s="1"/>
  <c r="CU172" i="1"/>
  <c r="EB215" i="1"/>
  <c r="DV24" i="1"/>
  <c r="CU213" i="1"/>
  <c r="DV213" i="1"/>
  <c r="BM213" i="1" s="1" a="1"/>
  <c r="BM213" i="1" s="1"/>
  <c r="CW121" i="1"/>
  <c r="EK121" i="1"/>
  <c r="ED121" i="1"/>
  <c r="EN121" i="1"/>
  <c r="CW117" i="1"/>
  <c r="EK117" i="1"/>
  <c r="ED117" i="1"/>
  <c r="EN117" i="1"/>
  <c r="EB198" i="1"/>
  <c r="EB33" i="1"/>
  <c r="CW284" i="1"/>
  <c r="EK284" i="1"/>
  <c r="EN284" i="1"/>
  <c r="ED284" i="1"/>
  <c r="CU244" i="1"/>
  <c r="DV244" i="1"/>
  <c r="BM244" i="1" s="1" a="1"/>
  <c r="BM244" i="1" s="1"/>
  <c r="EB222" i="1"/>
  <c r="EN267" i="1"/>
  <c r="ED267" i="1"/>
  <c r="EB282" i="1"/>
  <c r="CW316" i="1"/>
  <c r="EK316" i="1"/>
  <c r="EN316" i="1"/>
  <c r="ED316" i="1"/>
  <c r="EB237" i="1"/>
  <c r="CW277" i="1"/>
  <c r="EK277" i="1"/>
  <c r="ED277" i="1"/>
  <c r="EN277" i="1"/>
  <c r="CW269" i="1"/>
  <c r="ED269" i="1"/>
  <c r="EN269" i="1"/>
  <c r="EK269" i="1"/>
  <c r="CU311" i="1"/>
  <c r="DV311" i="1"/>
  <c r="BM311" i="1" s="1" a="1"/>
  <c r="BM311" i="1" s="1"/>
  <c r="EK30" i="1"/>
  <c r="ED30" i="1"/>
  <c r="EN30" i="1"/>
  <c r="CW142" i="1"/>
  <c r="ED142" i="1"/>
  <c r="EK142" i="1"/>
  <c r="EN142" i="1"/>
  <c r="CU160" i="1"/>
  <c r="DV160" i="1"/>
  <c r="BM160" i="1" s="1" a="1"/>
  <c r="BM160" i="1" s="1"/>
  <c r="CU177" i="1"/>
  <c r="DV177" i="1"/>
  <c r="BM177" i="1" s="1" a="1"/>
  <c r="BM177" i="1" s="1"/>
  <c r="CU133" i="1"/>
  <c r="DV133" i="1"/>
  <c r="BM133" i="1" s="1" a="1"/>
  <c r="BM133" i="1" s="1"/>
  <c r="DV185" i="1"/>
  <c r="BM185" i="1" s="1" a="1"/>
  <c r="BM185" i="1" s="1"/>
  <c r="CU185" i="1"/>
  <c r="EB153" i="1"/>
  <c r="CW281" i="1"/>
  <c r="EK281" i="1"/>
  <c r="EN281" i="1"/>
  <c r="ED281" i="1"/>
  <c r="CU61" i="1"/>
  <c r="DV61" i="1"/>
  <c r="BM61" i="1" s="1" a="1"/>
  <c r="BM61" i="1" s="1"/>
  <c r="CW289" i="1"/>
  <c r="EK289" i="1"/>
  <c r="EN289" i="1"/>
  <c r="ED289" i="1"/>
  <c r="CU337" i="1"/>
  <c r="DV337" i="1"/>
  <c r="BM337" i="1" s="1" a="1"/>
  <c r="BM337" i="1" s="1"/>
  <c r="CW254" i="1"/>
  <c r="EK254" i="1"/>
  <c r="EN254" i="1"/>
  <c r="ED254" i="1"/>
  <c r="CW218" i="1"/>
  <c r="EK218" i="1"/>
  <c r="EN218" i="1"/>
  <c r="ED218" i="1"/>
  <c r="CU335" i="1"/>
  <c r="DV335" i="1"/>
  <c r="BM335" i="1" s="1" a="1"/>
  <c r="BM335" i="1" s="1"/>
  <c r="CW271" i="1"/>
  <c r="EK271" i="1"/>
  <c r="EN271" i="1"/>
  <c r="ED271" i="1"/>
  <c r="EK37" i="1"/>
  <c r="ED37" i="1"/>
  <c r="EN37" i="1"/>
  <c r="EB112" i="1"/>
  <c r="CW307" i="1"/>
  <c r="EK307" i="1"/>
  <c r="ED307" i="1"/>
  <c r="EN307" i="1"/>
  <c r="EB298" i="1"/>
  <c r="EK111" i="1"/>
  <c r="EK33" i="1"/>
  <c r="ED33" i="1"/>
  <c r="EN33" i="1"/>
  <c r="CU170" i="1"/>
  <c r="DV170" i="1"/>
  <c r="BM170" i="1" s="1" a="1"/>
  <c r="BM170" i="1" s="1"/>
  <c r="CW282" i="1"/>
  <c r="EK282" i="1"/>
  <c r="EN282" i="1"/>
  <c r="ED282" i="1"/>
  <c r="EB342" i="1"/>
  <c r="CW237" i="1"/>
  <c r="EK237" i="1"/>
  <c r="ED237" i="1"/>
  <c r="EN237" i="1"/>
  <c r="CU194" i="1"/>
  <c r="DV194" i="1"/>
  <c r="BM194" i="1" s="1" a="1"/>
  <c r="BM194" i="1" s="1"/>
  <c r="DV131" i="1"/>
  <c r="BM131" i="1" s="1" a="1"/>
  <c r="BM131" i="1" s="1"/>
  <c r="CU131" i="1"/>
  <c r="CW127" i="1"/>
  <c r="EK127" i="1"/>
  <c r="EN127" i="1"/>
  <c r="ED127" i="1"/>
  <c r="CW187" i="1"/>
  <c r="EK187" i="1"/>
  <c r="EN187" i="1"/>
  <c r="ED187" i="1"/>
  <c r="CW82" i="1"/>
  <c r="EK82" i="1"/>
  <c r="ED82" i="1"/>
  <c r="EN82" i="1"/>
  <c r="CW110" i="1"/>
  <c r="EK110" i="1"/>
  <c r="EN110" i="1"/>
  <c r="ED110" i="1"/>
  <c r="CU249" i="1"/>
  <c r="DV249" i="1"/>
  <c r="BM249" i="1" s="1" a="1"/>
  <c r="BM249" i="1" s="1"/>
  <c r="CU202" i="1"/>
  <c r="DV202" i="1"/>
  <c r="BM202" i="1" s="1" a="1"/>
  <c r="BM202" i="1" s="1"/>
  <c r="EB264" i="1"/>
  <c r="CU55" i="1"/>
  <c r="DV55" i="1"/>
  <c r="BM55" i="1" s="1" a="1"/>
  <c r="BM55" i="1" s="1"/>
  <c r="CU63" i="1"/>
  <c r="DV63" i="1"/>
  <c r="CW153" i="1"/>
  <c r="EK153" i="1"/>
  <c r="ED153" i="1"/>
  <c r="EN153" i="1"/>
  <c r="CU226" i="1"/>
  <c r="DV226" i="1"/>
  <c r="BM226" i="1" s="1" a="1"/>
  <c r="BM226" i="1" s="1"/>
  <c r="CU162" i="1"/>
  <c r="DV162" i="1"/>
  <c r="BM162" i="1" s="1" a="1"/>
  <c r="BM162" i="1" s="1"/>
  <c r="EB90" i="1"/>
  <c r="CU161" i="1"/>
  <c r="DV161" i="1"/>
  <c r="BM161" i="1" s="1" a="1"/>
  <c r="BM161" i="1" s="1"/>
  <c r="EB254" i="1"/>
  <c r="CW51" i="1"/>
  <c r="EK51" i="1"/>
  <c r="EN51" i="1"/>
  <c r="ED51" i="1"/>
  <c r="CU340" i="1"/>
  <c r="DV340" i="1"/>
  <c r="BM340" i="1" s="1" a="1"/>
  <c r="BM340" i="1" s="1"/>
  <c r="CU263" i="1"/>
  <c r="DV263" i="1"/>
  <c r="BM263" i="1" s="1" a="1"/>
  <c r="BM263" i="1" s="1"/>
  <c r="CU39" i="1"/>
  <c r="DV39" i="1"/>
  <c r="CU120" i="1"/>
  <c r="DV120" i="1"/>
  <c r="BM120" i="1" s="1" a="1"/>
  <c r="BM120" i="1" s="1"/>
  <c r="EB117" i="1"/>
  <c r="EB208" i="1"/>
  <c r="CU103" i="1"/>
  <c r="DV103" i="1"/>
  <c r="BM103" i="1" s="1" a="1"/>
  <c r="BM103" i="1" s="1"/>
  <c r="CW112" i="1"/>
  <c r="EK112" i="1"/>
  <c r="EN112" i="1"/>
  <c r="ED112" i="1"/>
  <c r="CW125" i="1"/>
  <c r="EK125" i="1"/>
  <c r="ED125" i="1"/>
  <c r="EN125" i="1"/>
  <c r="DV144" i="1"/>
  <c r="BM144" i="1" s="1" a="1"/>
  <c r="BM144" i="1" s="1"/>
  <c r="CU144" i="1"/>
  <c r="CW222" i="1"/>
  <c r="EK222" i="1"/>
  <c r="ED222" i="1"/>
  <c r="EN222" i="1"/>
  <c r="EB267" i="1"/>
  <c r="EB239" i="1"/>
  <c r="CW342" i="1"/>
  <c r="EK342" i="1"/>
  <c r="ED342" i="1"/>
  <c r="EN342" i="1"/>
  <c r="CU64" i="1"/>
  <c r="DV64" i="1"/>
  <c r="BM64" i="1" s="1" a="1"/>
  <c r="BM64" i="1" s="1"/>
  <c r="DV58" i="1"/>
  <c r="BM58" i="1" s="1" a="1"/>
  <c r="BM58" i="1" s="1"/>
  <c r="CU58" i="1"/>
  <c r="CU95" i="1"/>
  <c r="DV95" i="1"/>
  <c r="BM95" i="1" s="1" a="1"/>
  <c r="BM95" i="1" s="1"/>
  <c r="CW301" i="1"/>
  <c r="EN301" i="1"/>
  <c r="ED301" i="1"/>
  <c r="EK301" i="1"/>
  <c r="CU107" i="1"/>
  <c r="DV107" i="1"/>
  <c r="BM107" i="1" s="1" a="1"/>
  <c r="BM107" i="1" s="1"/>
  <c r="CW78" i="1"/>
  <c r="EK78" i="1"/>
  <c r="EN78" i="1"/>
  <c r="ED78" i="1"/>
  <c r="EB82" i="1"/>
  <c r="CW233" i="1"/>
  <c r="EK233" i="1"/>
  <c r="ED233" i="1"/>
  <c r="EN233" i="1"/>
  <c r="CW167" i="1"/>
  <c r="EK167" i="1"/>
  <c r="ED167" i="1"/>
  <c r="EN167" i="1"/>
  <c r="CU314" i="1"/>
  <c r="DV314" i="1"/>
  <c r="BM314" i="1" s="1" a="1"/>
  <c r="BM314" i="1" s="1"/>
  <c r="CW143" i="1"/>
  <c r="EK143" i="1"/>
  <c r="ED143" i="1"/>
  <c r="EN143" i="1"/>
  <c r="CW264" i="1"/>
  <c r="EK264" i="1"/>
  <c r="ED264" i="1"/>
  <c r="EN264" i="1"/>
  <c r="DV341" i="1"/>
  <c r="BM341" i="1" s="1" a="1"/>
  <c r="BM341" i="1" s="1"/>
  <c r="CU341" i="1"/>
  <c r="CU234" i="1"/>
  <c r="DV234" i="1"/>
  <c r="BM234" i="1" s="1" a="1"/>
  <c r="BM234" i="1" s="1"/>
  <c r="CW97" i="1"/>
  <c r="EK97" i="1"/>
  <c r="EN97" i="1"/>
  <c r="ED97" i="1"/>
  <c r="CU266" i="1"/>
  <c r="DV266" i="1"/>
  <c r="BM266" i="1" s="1" a="1"/>
  <c r="BM266" i="1" s="1"/>
  <c r="EB325" i="1"/>
  <c r="EB204" i="1"/>
  <c r="CW298" i="1"/>
  <c r="ED298" i="1"/>
  <c r="EK298" i="1"/>
  <c r="EN298" i="1"/>
  <c r="EB260" i="1"/>
  <c r="EK310" i="1"/>
  <c r="CW310" i="1"/>
  <c r="ED310" i="1"/>
  <c r="EN310" i="1"/>
  <c r="EB164" i="1"/>
  <c r="CU320" i="1"/>
  <c r="DV320" i="1"/>
  <c r="BM320" i="1" s="1" a="1"/>
  <c r="BM320" i="1" s="1"/>
  <c r="EB139" i="1"/>
  <c r="CW239" i="1"/>
  <c r="EK239" i="1"/>
  <c r="ED239" i="1"/>
  <c r="EN239" i="1"/>
  <c r="EB304" i="1"/>
  <c r="EB141" i="1"/>
  <c r="DV38" i="1"/>
  <c r="BM38" i="1" s="1" a="1"/>
  <c r="BM38" i="1" s="1"/>
  <c r="EK18" i="1"/>
  <c r="ED18" i="1"/>
  <c r="EN18" i="1"/>
  <c r="EB187" i="1"/>
  <c r="EB102" i="1"/>
  <c r="EB67" i="1"/>
  <c r="EB167" i="1"/>
  <c r="EB53" i="1"/>
  <c r="CU211" i="1"/>
  <c r="DV211" i="1"/>
  <c r="BM211" i="1" s="1" a="1"/>
  <c r="BM211" i="1" s="1"/>
  <c r="CW174" i="1"/>
  <c r="EK174" i="1"/>
  <c r="ED174" i="1"/>
  <c r="EN174" i="1"/>
  <c r="DV15" i="1"/>
  <c r="BM15" i="1" s="1" a="1"/>
  <c r="BM15" i="1" s="1"/>
  <c r="DV57" i="1"/>
  <c r="BM57" i="1" s="1" a="1"/>
  <c r="BM57" i="1" s="1"/>
  <c r="CU57" i="1"/>
  <c r="EB329" i="1"/>
  <c r="EB51" i="1"/>
  <c r="EB306" i="1"/>
  <c r="CU190" i="1"/>
  <c r="DV190" i="1"/>
  <c r="BM190" i="1" s="1" a="1"/>
  <c r="BM190" i="1" s="1"/>
  <c r="CW325" i="1"/>
  <c r="EK325" i="1"/>
  <c r="EN325" i="1"/>
  <c r="ED325" i="1"/>
  <c r="EB122" i="1"/>
  <c r="CU323" i="1"/>
  <c r="DV323" i="1"/>
  <c r="BM323" i="1" s="1" a="1"/>
  <c r="BM323" i="1" s="1"/>
  <c r="EB116" i="1"/>
  <c r="EB193" i="1"/>
  <c r="CW139" i="1"/>
  <c r="EK139" i="1"/>
  <c r="EN139" i="1"/>
  <c r="ED139" i="1"/>
  <c r="EB235" i="1"/>
  <c r="EB73" i="1"/>
  <c r="CW304" i="1"/>
  <c r="ED304" i="1"/>
  <c r="EK304" i="1"/>
  <c r="EN304" i="1"/>
  <c r="CU113" i="1"/>
  <c r="DV113" i="1"/>
  <c r="EB78" i="1"/>
  <c r="CU84" i="1"/>
  <c r="DV84" i="1"/>
  <c r="BM84" i="1" s="1" a="1"/>
  <c r="BM84" i="1" s="1"/>
  <c r="EB80" i="1"/>
  <c r="CW67" i="1"/>
  <c r="EK67" i="1"/>
  <c r="ED67" i="1"/>
  <c r="EN67" i="1"/>
  <c r="CW53" i="1"/>
  <c r="ED53" i="1"/>
  <c r="EN53" i="1"/>
  <c r="EK53" i="1"/>
  <c r="EB132" i="1"/>
  <c r="CU278" i="1"/>
  <c r="DV278" i="1"/>
  <c r="BM278" i="1" s="1" a="1"/>
  <c r="BM278" i="1" s="1"/>
  <c r="CU108" i="1"/>
  <c r="DV108" i="1"/>
  <c r="BM108" i="1" s="1" a="1"/>
  <c r="BM108" i="1" s="1"/>
  <c r="CW276" i="1"/>
  <c r="EK276" i="1"/>
  <c r="EN276" i="1"/>
  <c r="ED276" i="1"/>
  <c r="EG25" i="1"/>
  <c r="EA17" i="1"/>
  <c r="CU13" i="1"/>
  <c r="CW13" i="1" s="1"/>
  <c r="DV13" i="1"/>
  <c r="BM13" i="1" s="1" a="1"/>
  <c r="BM13" i="1" s="1"/>
  <c r="L20" i="7"/>
  <c r="L21" i="7" s="1"/>
  <c r="BX13" i="1"/>
  <c r="EN208" i="1" l="1"/>
  <c r="EN83" i="1"/>
  <c r="ED83" i="1"/>
  <c r="EK83" i="1"/>
  <c r="CW207" i="1"/>
  <c r="EK207" i="1"/>
  <c r="EN207" i="1"/>
  <c r="BD203" i="1"/>
  <c r="DH203" i="1" s="1"/>
  <c r="DI203" i="1" s="1"/>
  <c r="DK203" i="1" s="1"/>
  <c r="EN247" i="1"/>
  <c r="BN73" i="1"/>
  <c r="DI197" i="1"/>
  <c r="DK197" i="1" s="1"/>
  <c r="EN191" i="1"/>
  <c r="ED191" i="1"/>
  <c r="CW92" i="1"/>
  <c r="EK267" i="1"/>
  <c r="EK92" i="1"/>
  <c r="CW208" i="1"/>
  <c r="EK256" i="1"/>
  <c r="EN99" i="1"/>
  <c r="CW99" i="1"/>
  <c r="EN102" i="1"/>
  <c r="CW229" i="1"/>
  <c r="ED99" i="1"/>
  <c r="EK208" i="1"/>
  <c r="EK104" i="1"/>
  <c r="EK102" i="1"/>
  <c r="EK203" i="1"/>
  <c r="CW247" i="1"/>
  <c r="EN203" i="1"/>
  <c r="EN119" i="1"/>
  <c r="EN72" i="1"/>
  <c r="BN67" i="1"/>
  <c r="EK72" i="1"/>
  <c r="CW72" i="1"/>
  <c r="ED42" i="1"/>
  <c r="BN111" i="1"/>
  <c r="BN125" i="1"/>
  <c r="EK42" i="1"/>
  <c r="BO111" i="1"/>
  <c r="BO125" i="1"/>
  <c r="EB60" i="1"/>
  <c r="EN87" i="1"/>
  <c r="ED87" i="1"/>
  <c r="BO60" i="1"/>
  <c r="EN104" i="1"/>
  <c r="ED104" i="1"/>
  <c r="BN109" i="1"/>
  <c r="BN22" i="1"/>
  <c r="BN301" i="1"/>
  <c r="BO301" i="1"/>
  <c r="BN20" i="1"/>
  <c r="BO20" i="1"/>
  <c r="EN306" i="1"/>
  <c r="ED306" i="1"/>
  <c r="EK306" i="1"/>
  <c r="EB291" i="1"/>
  <c r="BN43" i="1"/>
  <c r="BO43" i="1"/>
  <c r="BN223" i="1"/>
  <c r="BM232" i="1" a="1"/>
  <c r="BM232" i="1" s="1"/>
  <c r="CW102" i="1"/>
  <c r="BM336" i="1" a="1"/>
  <c r="BM336" i="1" s="1"/>
  <c r="BN336" i="1" s="1"/>
  <c r="BM333" i="1" a="1"/>
  <c r="BM333" i="1" s="1"/>
  <c r="EB333" i="1" s="1"/>
  <c r="BM258" i="1" a="1"/>
  <c r="BM258" i="1" s="1"/>
  <c r="BO258" i="1" s="1"/>
  <c r="BM201" i="1" a="1"/>
  <c r="BM201" i="1" s="1"/>
  <c r="EB201" i="1" s="1"/>
  <c r="BM30" i="1" a="1"/>
  <c r="BM30" i="1" s="1"/>
  <c r="EB30" i="1" s="1"/>
  <c r="BM18" i="1" a="1"/>
  <c r="BM18" i="1" s="1"/>
  <c r="EB18" i="1" s="1"/>
  <c r="BM276" i="1" a="1"/>
  <c r="BM276" i="1" s="1"/>
  <c r="EB276" i="1" s="1"/>
  <c r="BM29" i="1" a="1"/>
  <c r="BM29" i="1" s="1"/>
  <c r="EB29" i="1" s="1"/>
  <c r="BM23" i="1" a="1"/>
  <c r="BM23" i="1" s="1"/>
  <c r="EB23" i="1" s="1"/>
  <c r="BM63" i="1" a="1"/>
  <c r="BM63" i="1" s="1"/>
  <c r="EB63" i="1" s="1"/>
  <c r="BM175" i="1" a="1"/>
  <c r="BM175" i="1" s="1"/>
  <c r="BN175" i="1" s="1"/>
  <c r="BM284" i="1" a="1"/>
  <c r="BM284" i="1" s="1"/>
  <c r="EB284" i="1" s="1"/>
  <c r="BM317" i="1" a="1"/>
  <c r="BM317" i="1" s="1"/>
  <c r="EB317" i="1" s="1"/>
  <c r="BM253" i="1" a="1"/>
  <c r="BM253" i="1" s="1"/>
  <c r="BO253" i="1" s="1"/>
  <c r="BM37" i="1" a="1"/>
  <c r="BM37" i="1" s="1"/>
  <c r="EB37" i="1" s="1"/>
  <c r="BM124" i="1" a="1"/>
  <c r="BM124" i="1" s="1"/>
  <c r="EB124" i="1" s="1"/>
  <c r="EN147" i="1"/>
  <c r="BM41" i="1" a="1"/>
  <c r="BM41" i="1" s="1"/>
  <c r="EB41" i="1" s="1"/>
  <c r="BM310" i="1" a="1"/>
  <c r="BM310" i="1" s="1"/>
  <c r="EB310" i="1" s="1"/>
  <c r="ED147" i="1"/>
  <c r="EB17" i="1"/>
  <c r="BM17" i="1" a="1"/>
  <c r="BM17" i="1" s="1"/>
  <c r="BN17" i="1" s="1"/>
  <c r="BM81" i="1" a="1"/>
  <c r="BM81" i="1" s="1"/>
  <c r="EB81" i="1" s="1"/>
  <c r="BM65" i="1" a="1"/>
  <c r="BM65" i="1" s="1"/>
  <c r="BO65" i="1" s="1"/>
  <c r="EB62" i="1"/>
  <c r="BM62" i="1" a="1"/>
  <c r="BM62" i="1" s="1"/>
  <c r="BM205" i="1" a="1"/>
  <c r="BM205" i="1" s="1"/>
  <c r="EB205" i="1" s="1"/>
  <c r="BM39" i="1" a="1"/>
  <c r="BM39" i="1" s="1"/>
  <c r="EB39" i="1" s="1"/>
  <c r="BM24" i="1" a="1"/>
  <c r="BM24" i="1" s="1"/>
  <c r="EB24" i="1" s="1"/>
  <c r="EK147" i="1"/>
  <c r="BM322" i="1" a="1"/>
  <c r="BM322" i="1" s="1"/>
  <c r="EB322" i="1" s="1"/>
  <c r="BM66" i="1" a="1"/>
  <c r="BM66" i="1" s="1"/>
  <c r="BO66" i="1" s="1"/>
  <c r="BM79" i="1" a="1"/>
  <c r="BM79" i="1" s="1"/>
  <c r="EB79" i="1" s="1"/>
  <c r="BM316" i="1" a="1"/>
  <c r="BM316" i="1" s="1"/>
  <c r="BO316" i="1" s="1"/>
  <c r="BM307" i="1" a="1"/>
  <c r="BM307" i="1" s="1"/>
  <c r="BM59" i="1" a="1"/>
  <c r="BM59" i="1" s="1"/>
  <c r="BO59" i="1" s="1"/>
  <c r="BM113" i="1" a="1"/>
  <c r="BM113" i="1" s="1"/>
  <c r="EB113" i="1" s="1"/>
  <c r="BM334" i="1" a="1"/>
  <c r="BM334" i="1" s="1"/>
  <c r="EB334" i="1" s="1"/>
  <c r="BM123" i="1" a="1"/>
  <c r="BM123" i="1" s="1"/>
  <c r="EB123" i="1" s="1"/>
  <c r="BM273" i="1" a="1"/>
  <c r="BM273" i="1" s="1"/>
  <c r="EB273" i="1" s="1"/>
  <c r="BM248" i="1" a="1"/>
  <c r="BM248" i="1" s="1"/>
  <c r="EB248" i="1" s="1"/>
  <c r="BM19" i="1" a="1"/>
  <c r="BM19" i="1" s="1"/>
  <c r="BO19" i="1" s="1"/>
  <c r="BM159" i="1" a="1"/>
  <c r="BM159" i="1" s="1"/>
  <c r="EB159" i="1" s="1"/>
  <c r="CW42" i="1"/>
  <c r="CW111" i="1"/>
  <c r="EN146" i="1"/>
  <c r="EK146" i="1"/>
  <c r="EN111" i="1"/>
  <c r="BN327" i="1"/>
  <c r="EB327" i="1"/>
  <c r="CK275" i="1"/>
  <c r="CK287" i="1"/>
  <c r="CK342" i="1"/>
  <c r="CK199" i="1"/>
  <c r="CK32" i="1"/>
  <c r="CK145" i="1"/>
  <c r="CK42" i="1"/>
  <c r="CK217" i="1"/>
  <c r="CK278" i="1"/>
  <c r="CK336" i="1"/>
  <c r="CK66" i="1"/>
  <c r="CK108" i="1"/>
  <c r="CK149" i="1"/>
  <c r="CK153" i="1"/>
  <c r="CK282" i="1"/>
  <c r="CK16" i="1"/>
  <c r="CK313" i="1"/>
  <c r="CK208" i="1"/>
  <c r="CK67" i="1"/>
  <c r="CK230" i="1"/>
  <c r="CK311" i="1"/>
  <c r="CK84" i="1"/>
  <c r="CK162" i="1"/>
  <c r="CK127" i="1"/>
  <c r="CK168" i="1"/>
  <c r="CK133" i="1"/>
  <c r="CK46" i="1"/>
  <c r="CK237" i="1"/>
  <c r="CK192" i="1"/>
  <c r="CK150" i="1"/>
  <c r="CK18" i="1"/>
  <c r="CK315" i="1"/>
  <c r="CK163" i="1"/>
  <c r="CK292" i="1"/>
  <c r="CK70" i="1"/>
  <c r="CK288" i="1"/>
  <c r="CK76" i="1"/>
  <c r="CK115" i="1"/>
  <c r="CK90" i="1"/>
  <c r="CK38" i="1"/>
  <c r="CK116" i="1"/>
  <c r="CK86" i="1"/>
  <c r="CK71" i="1"/>
  <c r="CK226" i="1"/>
  <c r="CK324" i="1"/>
  <c r="CK93" i="1"/>
  <c r="CK216" i="1"/>
  <c r="CK50" i="1"/>
  <c r="CK296" i="1"/>
  <c r="CK240" i="1"/>
  <c r="CK307" i="1"/>
  <c r="CK271" i="1"/>
  <c r="CK265" i="1"/>
  <c r="CK104" i="1"/>
  <c r="CK159" i="1"/>
  <c r="CK284" i="1"/>
  <c r="CK155" i="1"/>
  <c r="CK293" i="1"/>
  <c r="CK167" i="1"/>
  <c r="CK323" i="1"/>
  <c r="CK295" i="1"/>
  <c r="CK112" i="1"/>
  <c r="CK174" i="1"/>
  <c r="CK189" i="1"/>
  <c r="CK120" i="1"/>
  <c r="CK193" i="1"/>
  <c r="CK148" i="1"/>
  <c r="CK281" i="1"/>
  <c r="CK184" i="1"/>
  <c r="CK139" i="1"/>
  <c r="CK75" i="1"/>
  <c r="CK290" i="1"/>
  <c r="CK231" i="1"/>
  <c r="CK191" i="1"/>
  <c r="CK196" i="1"/>
  <c r="CK340" i="1"/>
  <c r="CK204" i="1"/>
  <c r="CK36" i="1"/>
  <c r="CK250" i="1"/>
  <c r="CK110" i="1"/>
  <c r="CK60" i="1"/>
  <c r="CK15" i="1"/>
  <c r="CK305" i="1"/>
  <c r="CK244" i="1"/>
  <c r="CK147" i="1"/>
  <c r="CK332" i="1"/>
  <c r="CK221" i="1"/>
  <c r="CK25" i="1"/>
  <c r="CK158" i="1"/>
  <c r="CK99" i="1"/>
  <c r="CK87" i="1"/>
  <c r="CK333" i="1"/>
  <c r="CK135" i="1"/>
  <c r="CK273" i="1"/>
  <c r="CK213" i="1"/>
  <c r="CK73" i="1"/>
  <c r="CK263" i="1"/>
  <c r="CK245" i="1"/>
  <c r="CK267" i="1"/>
  <c r="CK31" i="1"/>
  <c r="CK201" i="1"/>
  <c r="CK171" i="1"/>
  <c r="CK140" i="1"/>
  <c r="CK270" i="1"/>
  <c r="CK98" i="1"/>
  <c r="CK325" i="1"/>
  <c r="CK33" i="1"/>
  <c r="CK146" i="1"/>
  <c r="CK232" i="1"/>
  <c r="CK223" i="1"/>
  <c r="CK169" i="1"/>
  <c r="CK298" i="1"/>
  <c r="CK22" i="1"/>
  <c r="CK279" i="1"/>
  <c r="CK260" i="1"/>
  <c r="CK214" i="1"/>
  <c r="CK200" i="1"/>
  <c r="CK316" i="1"/>
  <c r="CK79" i="1"/>
  <c r="CK186" i="1"/>
  <c r="CK61" i="1"/>
  <c r="CK58" i="1"/>
  <c r="CK100" i="1"/>
  <c r="CK85" i="1"/>
  <c r="CK337" i="1"/>
  <c r="CK82" i="1"/>
  <c r="CK219" i="1"/>
  <c r="CK138" i="1"/>
  <c r="CK165" i="1"/>
  <c r="CK28" i="1"/>
  <c r="CK118" i="1"/>
  <c r="CK143" i="1"/>
  <c r="CK299" i="1"/>
  <c r="CK314" i="1"/>
  <c r="CK130" i="1"/>
  <c r="CK236" i="1"/>
  <c r="CK172" i="1"/>
  <c r="CK190" i="1"/>
  <c r="CK134" i="1"/>
  <c r="CK83" i="1"/>
  <c r="CK215" i="1"/>
  <c r="CK180" i="1"/>
  <c r="CK202" i="1"/>
  <c r="CK198" i="1"/>
  <c r="CK114" i="1"/>
  <c r="CK210" i="1"/>
  <c r="CK246" i="1"/>
  <c r="CK131" i="1"/>
  <c r="CK211" i="1"/>
  <c r="CK124" i="1"/>
  <c r="CK286" i="1"/>
  <c r="CK276" i="1"/>
  <c r="CK91" i="1"/>
  <c r="CK53" i="1"/>
  <c r="CK29" i="1"/>
  <c r="CK176" i="1"/>
  <c r="CK20" i="1"/>
  <c r="CK212" i="1"/>
  <c r="CK242" i="1"/>
  <c r="CK49" i="1"/>
  <c r="CK52" i="1"/>
  <c r="CK283" i="1"/>
  <c r="CK274" i="1"/>
  <c r="CK341" i="1"/>
  <c r="CK177" i="1"/>
  <c r="CK74" i="1"/>
  <c r="CK40" i="1"/>
  <c r="CK229" i="1"/>
  <c r="CK57" i="1"/>
  <c r="CK92" i="1"/>
  <c r="CK103" i="1"/>
  <c r="CK181" i="1"/>
  <c r="CK255" i="1"/>
  <c r="CK321" i="1"/>
  <c r="CK45" i="1"/>
  <c r="CK312" i="1"/>
  <c r="CK96" i="1"/>
  <c r="CK205" i="1"/>
  <c r="CK206" i="1"/>
  <c r="CK160" i="1"/>
  <c r="CK89" i="1"/>
  <c r="CK268" i="1"/>
  <c r="CK222" i="1"/>
  <c r="CK272" i="1"/>
  <c r="CK64" i="1"/>
  <c r="CK136" i="1"/>
  <c r="CK78" i="1"/>
  <c r="CK77" i="1"/>
  <c r="CK129" i="1"/>
  <c r="CK209" i="1"/>
  <c r="CK300" i="1"/>
  <c r="CK48" i="1"/>
  <c r="CK117" i="1"/>
  <c r="CK137" i="1"/>
  <c r="CK187" i="1"/>
  <c r="CK304" i="1"/>
  <c r="CK185" i="1"/>
  <c r="CK102" i="1"/>
  <c r="CK306" i="1"/>
  <c r="CK72" i="1"/>
  <c r="CK121" i="1"/>
  <c r="CK142" i="1"/>
  <c r="CK258" i="1"/>
  <c r="CK188" i="1"/>
  <c r="CK259" i="1"/>
  <c r="CK122" i="1"/>
  <c r="CK297" i="1"/>
  <c r="CK97" i="1"/>
  <c r="CK249" i="1"/>
  <c r="CK319" i="1"/>
  <c r="CK141" i="1"/>
  <c r="CK107" i="1"/>
  <c r="CK294" i="1"/>
  <c r="CK195" i="1"/>
  <c r="CK228" i="1"/>
  <c r="CK55" i="1"/>
  <c r="CK328" i="1"/>
  <c r="CK126" i="1"/>
  <c r="CK152" i="1"/>
  <c r="CK254" i="1"/>
  <c r="CK239" i="1"/>
  <c r="CK264" i="1"/>
  <c r="CK125" i="1"/>
  <c r="CK335" i="1"/>
  <c r="CK227" i="1"/>
  <c r="CK94" i="1"/>
  <c r="CK303" i="1"/>
  <c r="CK256" i="1"/>
  <c r="CK23" i="1"/>
  <c r="CK88" i="1"/>
  <c r="CK234" i="1"/>
  <c r="CK310" i="1"/>
  <c r="CK161" i="1"/>
  <c r="CK164" i="1"/>
  <c r="CK166" i="1"/>
  <c r="CK235" i="1"/>
  <c r="CK277" i="1"/>
  <c r="CK14" i="1"/>
  <c r="CK157" i="1"/>
  <c r="CK51" i="1"/>
  <c r="CK194" i="1"/>
  <c r="CK119" i="1"/>
  <c r="CK302" i="1"/>
  <c r="CK269" i="1"/>
  <c r="CK257" i="1"/>
  <c r="CK320" i="1"/>
  <c r="CK95" i="1"/>
  <c r="CK289" i="1"/>
  <c r="CK144" i="1"/>
  <c r="CK26" i="1"/>
  <c r="CK326" i="1"/>
  <c r="CK80" i="1"/>
  <c r="CK285" i="1"/>
  <c r="CK266" i="1"/>
  <c r="CK329" i="1"/>
  <c r="CK238" i="1"/>
  <c r="CK27" i="1"/>
  <c r="BO151" i="1"/>
  <c r="EB151" i="1"/>
  <c r="AG20" i="1"/>
  <c r="AC22" i="1"/>
  <c r="BO233" i="1"/>
  <c r="EB233" i="1"/>
  <c r="EB59" i="1"/>
  <c r="BO327" i="1"/>
  <c r="BN151" i="1"/>
  <c r="BO138" i="1"/>
  <c r="BN138" i="1"/>
  <c r="BO234" i="1"/>
  <c r="BN234" i="1"/>
  <c r="BO249" i="1"/>
  <c r="BN249" i="1"/>
  <c r="BO337" i="1"/>
  <c r="BN337" i="1"/>
  <c r="BO212" i="1"/>
  <c r="BN212" i="1"/>
  <c r="BO105" i="1"/>
  <c r="BN105" i="1"/>
  <c r="BO45" i="1"/>
  <c r="BN45" i="1"/>
  <c r="BO236" i="1"/>
  <c r="BN236" i="1"/>
  <c r="BO71" i="1"/>
  <c r="BN71" i="1"/>
  <c r="BO294" i="1"/>
  <c r="BN294" i="1"/>
  <c r="BO302" i="1"/>
  <c r="BN302" i="1"/>
  <c r="BO328" i="1"/>
  <c r="BN328" i="1"/>
  <c r="BO95" i="1"/>
  <c r="BN95" i="1"/>
  <c r="BO177" i="1"/>
  <c r="BN177" i="1"/>
  <c r="BO244" i="1"/>
  <c r="BN244" i="1"/>
  <c r="BO16" i="1"/>
  <c r="BN16" i="1"/>
  <c r="BO136" i="1"/>
  <c r="BN136" i="1"/>
  <c r="BO230" i="1"/>
  <c r="BN230" i="1"/>
  <c r="BO126" i="1"/>
  <c r="BN126" i="1"/>
  <c r="BO264" i="1"/>
  <c r="BN264" i="1"/>
  <c r="BO38" i="1"/>
  <c r="BN38" i="1"/>
  <c r="BO341" i="1"/>
  <c r="BN341" i="1"/>
  <c r="BO144" i="1"/>
  <c r="BN144" i="1"/>
  <c r="BO226" i="1"/>
  <c r="BN226" i="1"/>
  <c r="BO131" i="1"/>
  <c r="BN131" i="1"/>
  <c r="BO206" i="1"/>
  <c r="BN206" i="1"/>
  <c r="BO155" i="1"/>
  <c r="BN155" i="1"/>
  <c r="BO168" i="1"/>
  <c r="BN168" i="1"/>
  <c r="BO171" i="1"/>
  <c r="BN171" i="1"/>
  <c r="BO120" i="1"/>
  <c r="BN120" i="1"/>
  <c r="BO194" i="1"/>
  <c r="BN194" i="1"/>
  <c r="BO160" i="1"/>
  <c r="BN160" i="1"/>
  <c r="BO213" i="1"/>
  <c r="BN213" i="1"/>
  <c r="BO158" i="1"/>
  <c r="BN158" i="1"/>
  <c r="BO25" i="1"/>
  <c r="BN25" i="1"/>
  <c r="BO326" i="1"/>
  <c r="BN326" i="1"/>
  <c r="BO321" i="1"/>
  <c r="BN321" i="1"/>
  <c r="BO114" i="1"/>
  <c r="BN114" i="1"/>
  <c r="BO163" i="1"/>
  <c r="BN163" i="1"/>
  <c r="BO32" i="1"/>
  <c r="BN32" i="1"/>
  <c r="BO15" i="1"/>
  <c r="BN15" i="1"/>
  <c r="BO108" i="1"/>
  <c r="BN108" i="1"/>
  <c r="BO323" i="1"/>
  <c r="BN323" i="1"/>
  <c r="BO58" i="1"/>
  <c r="BN58" i="1"/>
  <c r="BO263" i="1"/>
  <c r="BN263" i="1"/>
  <c r="BO335" i="1"/>
  <c r="BN335" i="1"/>
  <c r="BO287" i="1"/>
  <c r="BN287" i="1"/>
  <c r="BO245" i="1"/>
  <c r="BN245" i="1"/>
  <c r="BO129" i="1"/>
  <c r="BN129" i="1"/>
  <c r="BO162" i="1"/>
  <c r="BN162" i="1"/>
  <c r="BO57" i="1"/>
  <c r="BN57" i="1"/>
  <c r="BO64" i="1"/>
  <c r="BN64" i="1"/>
  <c r="BO61" i="1"/>
  <c r="BN61" i="1"/>
  <c r="BO186" i="1"/>
  <c r="BN186" i="1"/>
  <c r="BO200" i="1"/>
  <c r="BN200" i="1"/>
  <c r="BO143" i="1"/>
  <c r="BN143" i="1"/>
  <c r="BO293" i="1"/>
  <c r="BN293" i="1"/>
  <c r="BO84" i="1"/>
  <c r="BN84" i="1"/>
  <c r="BO278" i="1"/>
  <c r="BN278" i="1"/>
  <c r="BO340" i="1"/>
  <c r="BN340" i="1"/>
  <c r="BO26" i="1"/>
  <c r="BN26" i="1"/>
  <c r="BO246" i="1"/>
  <c r="BN246" i="1"/>
  <c r="BO231" i="1"/>
  <c r="BN231" i="1"/>
  <c r="BO312" i="1"/>
  <c r="BN312" i="1"/>
  <c r="BO27" i="1"/>
  <c r="BN27" i="1"/>
  <c r="BO70" i="1"/>
  <c r="BN70" i="1"/>
  <c r="BO75" i="1"/>
  <c r="BN75" i="1"/>
  <c r="BO89" i="1"/>
  <c r="BN89" i="1"/>
  <c r="BO292" i="1"/>
  <c r="BN292" i="1"/>
  <c r="BO172" i="1"/>
  <c r="BN172" i="1"/>
  <c r="BO319" i="1"/>
  <c r="BN319" i="1"/>
  <c r="BO86" i="1"/>
  <c r="BN86" i="1"/>
  <c r="BO238" i="1"/>
  <c r="BN238" i="1"/>
  <c r="BO332" i="1"/>
  <c r="BN332" i="1"/>
  <c r="BO152" i="1"/>
  <c r="BN152" i="1"/>
  <c r="BO285" i="1"/>
  <c r="BN285" i="1"/>
  <c r="BO85" i="1"/>
  <c r="BN85" i="1"/>
  <c r="BO313" i="1"/>
  <c r="BN313" i="1"/>
  <c r="BO130" i="1"/>
  <c r="BN130" i="1"/>
  <c r="BO275" i="1"/>
  <c r="BN275" i="1"/>
  <c r="BO290" i="1"/>
  <c r="BN290" i="1"/>
  <c r="BO334" i="1"/>
  <c r="BN334" i="1"/>
  <c r="BO14" i="1"/>
  <c r="BN14" i="1"/>
  <c r="BO214" i="1"/>
  <c r="BN214" i="1"/>
  <c r="BO50" i="1"/>
  <c r="BN50" i="1"/>
  <c r="BO297" i="1"/>
  <c r="BN297" i="1"/>
  <c r="BO55" i="1"/>
  <c r="BN55" i="1"/>
  <c r="BO196" i="1"/>
  <c r="BN196" i="1"/>
  <c r="BO81" i="1"/>
  <c r="BO242" i="1"/>
  <c r="BN242" i="1"/>
  <c r="BO98" i="1"/>
  <c r="BN98" i="1"/>
  <c r="BO96" i="1"/>
  <c r="BN96" i="1"/>
  <c r="BO36" i="1"/>
  <c r="BN36" i="1"/>
  <c r="BO255" i="1"/>
  <c r="BN255" i="1"/>
  <c r="BO211" i="1"/>
  <c r="BN211" i="1"/>
  <c r="BO320" i="1"/>
  <c r="BN320" i="1"/>
  <c r="BO314" i="1"/>
  <c r="BN314" i="1"/>
  <c r="BO107" i="1"/>
  <c r="BN107" i="1"/>
  <c r="BO140" i="1"/>
  <c r="BN140" i="1"/>
  <c r="BO266" i="1"/>
  <c r="BN266" i="1"/>
  <c r="BO311" i="1"/>
  <c r="BN311" i="1"/>
  <c r="BO166" i="1"/>
  <c r="BN166" i="1"/>
  <c r="BO268" i="1"/>
  <c r="BN268" i="1"/>
  <c r="BO189" i="1"/>
  <c r="BN189" i="1"/>
  <c r="BO169" i="1"/>
  <c r="BN169" i="1"/>
  <c r="BO48" i="1"/>
  <c r="BN48" i="1"/>
  <c r="BO299" i="1"/>
  <c r="BN299" i="1"/>
  <c r="BO184" i="1"/>
  <c r="BN184" i="1"/>
  <c r="BO181" i="1"/>
  <c r="BN181" i="1"/>
  <c r="BO37" i="1"/>
  <c r="BO190" i="1"/>
  <c r="BN190" i="1"/>
  <c r="BO103" i="1"/>
  <c r="BN103" i="1"/>
  <c r="BO161" i="1"/>
  <c r="BN161" i="1"/>
  <c r="BO202" i="1"/>
  <c r="BN202" i="1"/>
  <c r="BO185" i="1"/>
  <c r="BN185" i="1"/>
  <c r="BO209" i="1"/>
  <c r="BN209" i="1"/>
  <c r="BO324" i="1"/>
  <c r="BN324" i="1"/>
  <c r="BO170" i="1"/>
  <c r="CO170" i="1" s="1"/>
  <c r="DR170" i="1" s="1"/>
  <c r="BN170" i="1"/>
  <c r="BO133" i="1"/>
  <c r="BN133" i="1"/>
  <c r="BO227" i="1"/>
  <c r="BN227" i="1"/>
  <c r="BO272" i="1"/>
  <c r="BN272" i="1"/>
  <c r="BO295" i="1"/>
  <c r="BN295" i="1"/>
  <c r="BO165" i="1"/>
  <c r="BN165" i="1"/>
  <c r="BO62" i="1"/>
  <c r="BN62" i="1"/>
  <c r="BO124" i="1"/>
  <c r="BN124" i="1"/>
  <c r="CK132" i="1"/>
  <c r="CK105" i="1"/>
  <c r="EB14" i="1"/>
  <c r="CW113" i="1"/>
  <c r="EK113" i="1"/>
  <c r="ED113" i="1"/>
  <c r="EN113" i="1"/>
  <c r="EB57" i="1"/>
  <c r="EB314" i="1"/>
  <c r="EB58" i="1"/>
  <c r="CW120" i="1"/>
  <c r="ED120" i="1"/>
  <c r="EN120" i="1"/>
  <c r="EK120" i="1"/>
  <c r="CW131" i="1"/>
  <c r="EK131" i="1"/>
  <c r="ED131" i="1"/>
  <c r="EN131" i="1"/>
  <c r="CW337" i="1"/>
  <c r="EK337" i="1"/>
  <c r="EN337" i="1"/>
  <c r="ED337" i="1"/>
  <c r="CW160" i="1"/>
  <c r="ED160" i="1"/>
  <c r="EN160" i="1"/>
  <c r="EK160" i="1"/>
  <c r="EB290" i="1"/>
  <c r="CW186" i="1"/>
  <c r="EN186" i="1"/>
  <c r="EK186" i="1"/>
  <c r="ED186" i="1"/>
  <c r="EB295" i="1"/>
  <c r="EK17" i="1"/>
  <c r="ED17" i="1"/>
  <c r="EN17" i="1"/>
  <c r="EB275" i="1"/>
  <c r="EB26" i="1"/>
  <c r="EB50" i="1"/>
  <c r="EK38" i="1"/>
  <c r="ED38" i="1"/>
  <c r="EN38" i="1"/>
  <c r="EB320" i="1"/>
  <c r="EB161" i="1"/>
  <c r="EB335" i="1"/>
  <c r="CW290" i="1"/>
  <c r="EN290" i="1"/>
  <c r="ED290" i="1"/>
  <c r="EK290" i="1"/>
  <c r="EB287" i="1"/>
  <c r="CW295" i="1"/>
  <c r="EK295" i="1"/>
  <c r="ED295" i="1"/>
  <c r="EN295" i="1"/>
  <c r="CW275" i="1"/>
  <c r="EK275" i="1"/>
  <c r="EN275" i="1"/>
  <c r="ED275" i="1"/>
  <c r="EB136" i="1"/>
  <c r="EB255" i="1"/>
  <c r="CW214" i="1"/>
  <c r="EK214" i="1"/>
  <c r="ED214" i="1"/>
  <c r="EN214" i="1"/>
  <c r="CW81" i="1"/>
  <c r="EK81" i="1"/>
  <c r="EN81" i="1"/>
  <c r="ED81" i="1"/>
  <c r="CW129" i="1"/>
  <c r="EK129" i="1"/>
  <c r="EN129" i="1"/>
  <c r="ED129" i="1"/>
  <c r="CW71" i="1"/>
  <c r="EK71" i="1"/>
  <c r="ED71" i="1"/>
  <c r="EN71" i="1"/>
  <c r="CW123" i="1"/>
  <c r="EK123" i="1"/>
  <c r="ED123" i="1"/>
  <c r="EN123" i="1"/>
  <c r="EB163" i="1"/>
  <c r="CW62" i="1"/>
  <c r="EK62" i="1"/>
  <c r="ED62" i="1"/>
  <c r="EN62" i="1"/>
  <c r="EB108" i="1"/>
  <c r="CW314" i="1"/>
  <c r="EN314" i="1"/>
  <c r="EK314" i="1"/>
  <c r="ED314" i="1"/>
  <c r="EB131" i="1"/>
  <c r="CW335" i="1"/>
  <c r="EK335" i="1"/>
  <c r="EN335" i="1"/>
  <c r="ED335" i="1"/>
  <c r="CW185" i="1"/>
  <c r="EK185" i="1"/>
  <c r="EN185" i="1"/>
  <c r="ED185" i="1"/>
  <c r="EB213" i="1"/>
  <c r="CW287" i="1"/>
  <c r="EK287" i="1"/>
  <c r="ED287" i="1"/>
  <c r="EN287" i="1"/>
  <c r="EB70" i="1"/>
  <c r="EK26" i="1"/>
  <c r="ED26" i="1"/>
  <c r="EN26" i="1"/>
  <c r="CW136" i="1"/>
  <c r="EK136" i="1"/>
  <c r="EN136" i="1"/>
  <c r="ED136" i="1"/>
  <c r="CW255" i="1"/>
  <c r="EK255" i="1"/>
  <c r="ED255" i="1"/>
  <c r="EN255" i="1"/>
  <c r="EB168" i="1"/>
  <c r="CW317" i="1"/>
  <c r="EK317" i="1"/>
  <c r="EN317" i="1"/>
  <c r="ED317" i="1"/>
  <c r="EB214" i="1"/>
  <c r="CW108" i="1"/>
  <c r="ED108" i="1"/>
  <c r="EN108" i="1"/>
  <c r="EK108" i="1"/>
  <c r="EB15" i="1"/>
  <c r="EB38" i="1"/>
  <c r="CW320" i="1"/>
  <c r="EK320" i="1"/>
  <c r="ED320" i="1"/>
  <c r="EN320" i="1"/>
  <c r="EB234" i="1"/>
  <c r="EB64" i="1"/>
  <c r="CW144" i="1"/>
  <c r="EK144" i="1"/>
  <c r="ED144" i="1"/>
  <c r="EN144" i="1"/>
  <c r="CW39" i="1"/>
  <c r="EK39" i="1"/>
  <c r="ED39" i="1"/>
  <c r="EN39" i="1"/>
  <c r="CW161" i="1"/>
  <c r="EN161" i="1"/>
  <c r="EK161" i="1"/>
  <c r="ED161" i="1"/>
  <c r="CW63" i="1"/>
  <c r="EN63" i="1"/>
  <c r="EK63" i="1"/>
  <c r="ED63" i="1"/>
  <c r="EB185" i="1"/>
  <c r="EB292" i="1"/>
  <c r="EB246" i="1"/>
  <c r="CW168" i="1"/>
  <c r="EK168" i="1"/>
  <c r="ED168" i="1"/>
  <c r="EN168" i="1"/>
  <c r="EB231" i="1"/>
  <c r="EB126" i="1"/>
  <c r="EB209" i="1"/>
  <c r="EB114" i="1"/>
  <c r="CW163" i="1"/>
  <c r="EK163" i="1"/>
  <c r="ED163" i="1"/>
  <c r="EN163" i="1"/>
  <c r="CW130" i="1"/>
  <c r="ED130" i="1"/>
  <c r="EN130" i="1"/>
  <c r="EK130" i="1"/>
  <c r="EB278" i="1"/>
  <c r="EK15" i="1"/>
  <c r="ED15" i="1"/>
  <c r="EN15" i="1"/>
  <c r="CW234" i="1"/>
  <c r="EK234" i="1"/>
  <c r="ED234" i="1"/>
  <c r="EN234" i="1"/>
  <c r="CW64" i="1"/>
  <c r="EK64" i="1"/>
  <c r="ED64" i="1"/>
  <c r="EN64" i="1"/>
  <c r="EB144" i="1"/>
  <c r="EB263" i="1"/>
  <c r="CW213" i="1"/>
  <c r="EN213" i="1"/>
  <c r="EK213" i="1"/>
  <c r="ED213" i="1"/>
  <c r="EB140" i="1"/>
  <c r="CW248" i="1"/>
  <c r="EK248" i="1"/>
  <c r="EN248" i="1"/>
  <c r="ED248" i="1"/>
  <c r="EB86" i="1"/>
  <c r="EB189" i="1"/>
  <c r="EB200" i="1"/>
  <c r="CW70" i="1"/>
  <c r="EK70" i="1"/>
  <c r="EN70" i="1"/>
  <c r="ED70" i="1"/>
  <c r="CW292" i="1"/>
  <c r="EK292" i="1"/>
  <c r="EN292" i="1"/>
  <c r="ED292" i="1"/>
  <c r="EK14" i="1"/>
  <c r="ED14" i="1"/>
  <c r="EN14" i="1"/>
  <c r="CW246" i="1"/>
  <c r="EK246" i="1"/>
  <c r="ED246" i="1"/>
  <c r="EN246" i="1"/>
  <c r="CW231" i="1"/>
  <c r="EK231" i="1"/>
  <c r="ED231" i="1"/>
  <c r="EN231" i="1"/>
  <c r="CW138" i="1"/>
  <c r="ED138" i="1"/>
  <c r="EN138" i="1"/>
  <c r="EK138" i="1"/>
  <c r="EB230" i="1"/>
  <c r="CW126" i="1"/>
  <c r="EK126" i="1"/>
  <c r="ED126" i="1"/>
  <c r="EN126" i="1"/>
  <c r="CW114" i="1"/>
  <c r="EK114" i="1"/>
  <c r="EN114" i="1"/>
  <c r="ED114" i="1"/>
  <c r="EB120" i="1"/>
  <c r="EB190" i="1"/>
  <c r="DS197" i="1"/>
  <c r="DO197" i="1"/>
  <c r="DP197" i="1" s="1"/>
  <c r="EL197" i="1" s="1"/>
  <c r="CW190" i="1"/>
  <c r="EK190" i="1"/>
  <c r="EN190" i="1"/>
  <c r="ED190" i="1"/>
  <c r="EB103" i="1"/>
  <c r="EB55" i="1"/>
  <c r="CW170" i="1"/>
  <c r="EK170" i="1"/>
  <c r="ED170" i="1"/>
  <c r="EN170" i="1"/>
  <c r="CW140" i="1"/>
  <c r="EK140" i="1"/>
  <c r="EN140" i="1"/>
  <c r="ED140" i="1"/>
  <c r="CW322" i="1"/>
  <c r="EK322" i="1"/>
  <c r="ED322" i="1"/>
  <c r="EN322" i="1"/>
  <c r="CW86" i="1"/>
  <c r="EK86" i="1"/>
  <c r="EN86" i="1"/>
  <c r="ED86" i="1"/>
  <c r="CW189" i="1"/>
  <c r="EK189" i="1"/>
  <c r="EN189" i="1"/>
  <c r="ED189" i="1"/>
  <c r="EB138" i="1"/>
  <c r="CW41" i="1"/>
  <c r="EK41" i="1"/>
  <c r="ED41" i="1"/>
  <c r="EN41" i="1"/>
  <c r="EB181" i="1"/>
  <c r="CW297" i="1"/>
  <c r="EK297" i="1"/>
  <c r="ED297" i="1"/>
  <c r="EN297" i="1"/>
  <c r="CW209" i="1"/>
  <c r="EK209" i="1"/>
  <c r="EN209" i="1"/>
  <c r="ED209" i="1"/>
  <c r="EB107" i="1"/>
  <c r="CW263" i="1"/>
  <c r="EK263" i="1"/>
  <c r="ED263" i="1"/>
  <c r="EN263" i="1"/>
  <c r="CW55" i="1"/>
  <c r="EK55" i="1"/>
  <c r="ED55" i="1"/>
  <c r="EN55" i="1"/>
  <c r="EB194" i="1"/>
  <c r="EB133" i="1"/>
  <c r="EB319" i="1"/>
  <c r="EB16" i="1"/>
  <c r="CW200" i="1"/>
  <c r="EK200" i="1"/>
  <c r="ED200" i="1"/>
  <c r="EN200" i="1"/>
  <c r="EB152" i="1"/>
  <c r="EB85" i="1"/>
  <c r="EB313" i="1"/>
  <c r="CW230" i="1"/>
  <c r="EK230" i="1"/>
  <c r="ED230" i="1"/>
  <c r="EN230" i="1"/>
  <c r="CW184" i="1"/>
  <c r="EK184" i="1"/>
  <c r="ED184" i="1"/>
  <c r="EN184" i="1"/>
  <c r="CW181" i="1"/>
  <c r="EK181" i="1"/>
  <c r="ED181" i="1"/>
  <c r="EN181" i="1"/>
  <c r="EB297" i="1"/>
  <c r="EB323" i="1"/>
  <c r="CW107" i="1"/>
  <c r="EK107" i="1"/>
  <c r="EN107" i="1"/>
  <c r="ED107" i="1"/>
  <c r="CW103" i="1"/>
  <c r="EK103" i="1"/>
  <c r="EN103" i="1"/>
  <c r="ED103" i="1"/>
  <c r="EB162" i="1"/>
  <c r="CW194" i="1"/>
  <c r="EK194" i="1"/>
  <c r="ED194" i="1"/>
  <c r="EN194" i="1"/>
  <c r="CW133" i="1"/>
  <c r="EK133" i="1"/>
  <c r="ED133" i="1"/>
  <c r="EN133" i="1"/>
  <c r="EB244" i="1"/>
  <c r="EB227" i="1"/>
  <c r="EB75" i="1"/>
  <c r="CW238" i="1"/>
  <c r="EN238" i="1"/>
  <c r="ED238" i="1"/>
  <c r="EK238" i="1"/>
  <c r="EB105" i="1"/>
  <c r="EB48" i="1"/>
  <c r="EB299" i="1"/>
  <c r="CW152" i="1"/>
  <c r="EK152" i="1"/>
  <c r="EN152" i="1"/>
  <c r="ED152" i="1"/>
  <c r="EB285" i="1"/>
  <c r="CW313" i="1"/>
  <c r="EK313" i="1"/>
  <c r="ED313" i="1"/>
  <c r="EN313" i="1"/>
  <c r="CW206" i="1"/>
  <c r="EN206" i="1"/>
  <c r="EK206" i="1"/>
  <c r="ED206" i="1"/>
  <c r="EB129" i="1"/>
  <c r="EB341" i="1"/>
  <c r="CW323" i="1"/>
  <c r="EK323" i="1"/>
  <c r="ED323" i="1"/>
  <c r="EN323" i="1"/>
  <c r="EB340" i="1"/>
  <c r="EB61" i="1"/>
  <c r="CW319" i="1"/>
  <c r="EN319" i="1"/>
  <c r="ED319" i="1"/>
  <c r="EK319" i="1"/>
  <c r="ED16" i="1"/>
  <c r="EN16" i="1"/>
  <c r="EK16" i="1"/>
  <c r="CW227" i="1"/>
  <c r="EN227" i="1"/>
  <c r="EK227" i="1"/>
  <c r="ED227" i="1"/>
  <c r="CW169" i="1"/>
  <c r="ED169" i="1"/>
  <c r="EK169" i="1"/>
  <c r="EN169" i="1"/>
  <c r="EB238" i="1"/>
  <c r="CW105" i="1"/>
  <c r="EN105" i="1"/>
  <c r="EK105" i="1"/>
  <c r="ED105" i="1"/>
  <c r="CW48" i="1"/>
  <c r="EK48" i="1"/>
  <c r="ED48" i="1"/>
  <c r="EN48" i="1"/>
  <c r="CW299" i="1"/>
  <c r="EK299" i="1"/>
  <c r="EN299" i="1"/>
  <c r="ED299" i="1"/>
  <c r="EB196" i="1"/>
  <c r="CW85" i="1"/>
  <c r="EK85" i="1"/>
  <c r="ED85" i="1"/>
  <c r="EN85" i="1"/>
  <c r="EB326" i="1"/>
  <c r="EB184" i="1"/>
  <c r="EB98" i="1"/>
  <c r="EB302" i="1"/>
  <c r="EB211" i="1"/>
  <c r="EB266" i="1"/>
  <c r="CW340" i="1"/>
  <c r="EK340" i="1"/>
  <c r="EN340" i="1"/>
  <c r="ED340" i="1"/>
  <c r="CW162" i="1"/>
  <c r="EN162" i="1"/>
  <c r="EK162" i="1"/>
  <c r="ED162" i="1"/>
  <c r="CW61" i="1"/>
  <c r="EK61" i="1"/>
  <c r="EN61" i="1"/>
  <c r="ED61" i="1"/>
  <c r="CW244" i="1"/>
  <c r="EK244" i="1"/>
  <c r="ED244" i="1"/>
  <c r="EN244" i="1"/>
  <c r="EK24" i="1"/>
  <c r="EN24" i="1"/>
  <c r="ED24" i="1"/>
  <c r="CW75" i="1"/>
  <c r="EK75" i="1"/>
  <c r="ED75" i="1"/>
  <c r="EN75" i="1"/>
  <c r="CW175" i="1"/>
  <c r="EK175" i="1"/>
  <c r="EN175" i="1"/>
  <c r="ED175" i="1"/>
  <c r="EB169" i="1"/>
  <c r="EB155" i="1"/>
  <c r="EB245" i="1"/>
  <c r="ED285" i="1"/>
  <c r="EN285" i="1"/>
  <c r="CW285" i="1"/>
  <c r="EK285" i="1"/>
  <c r="CW326" i="1"/>
  <c r="EK326" i="1"/>
  <c r="EN326" i="1"/>
  <c r="ED326" i="1"/>
  <c r="EB312" i="1"/>
  <c r="CW302" i="1"/>
  <c r="EK302" i="1"/>
  <c r="ED302" i="1"/>
  <c r="EN302" i="1"/>
  <c r="EB172" i="1"/>
  <c r="EB71" i="1"/>
  <c r="CW278" i="1"/>
  <c r="EK278" i="1"/>
  <c r="ED278" i="1"/>
  <c r="EN278" i="1"/>
  <c r="CW266" i="1"/>
  <c r="EK266" i="1"/>
  <c r="ED266" i="1"/>
  <c r="EN266" i="1"/>
  <c r="DS207" i="1"/>
  <c r="DO207" i="1"/>
  <c r="DP207" i="1" s="1"/>
  <c r="EB89" i="1"/>
  <c r="EB332" i="1"/>
  <c r="CW155" i="1"/>
  <c r="EK155" i="1"/>
  <c r="EN155" i="1"/>
  <c r="ED155" i="1"/>
  <c r="CW196" i="1"/>
  <c r="EK196" i="1"/>
  <c r="EN196" i="1"/>
  <c r="ED196" i="1"/>
  <c r="EB171" i="1"/>
  <c r="CW98" i="1"/>
  <c r="EK98" i="1"/>
  <c r="ED98" i="1"/>
  <c r="EN98" i="1"/>
  <c r="EB321" i="1"/>
  <c r="EB324" i="1"/>
  <c r="CW57" i="1"/>
  <c r="EK57" i="1"/>
  <c r="EN57" i="1"/>
  <c r="ED57" i="1"/>
  <c r="EB186" i="1"/>
  <c r="CW341" i="1"/>
  <c r="EK341" i="1"/>
  <c r="ED341" i="1"/>
  <c r="EN341" i="1"/>
  <c r="CW211" i="1"/>
  <c r="EK211" i="1"/>
  <c r="ED211" i="1"/>
  <c r="EN211" i="1"/>
  <c r="EB226" i="1"/>
  <c r="EB202" i="1"/>
  <c r="EB166" i="1"/>
  <c r="CW268" i="1"/>
  <c r="EK268" i="1"/>
  <c r="ED268" i="1"/>
  <c r="EN268" i="1"/>
  <c r="CW272" i="1"/>
  <c r="EK272" i="1"/>
  <c r="EN272" i="1"/>
  <c r="ED272" i="1"/>
  <c r="CW89" i="1"/>
  <c r="EK89" i="1"/>
  <c r="ED89" i="1"/>
  <c r="EN89" i="1"/>
  <c r="CW245" i="1"/>
  <c r="EK245" i="1"/>
  <c r="EN245" i="1"/>
  <c r="ED245" i="1"/>
  <c r="EB293" i="1"/>
  <c r="CW171" i="1"/>
  <c r="EK171" i="1"/>
  <c r="ED171" i="1"/>
  <c r="EN171" i="1"/>
  <c r="CW312" i="1"/>
  <c r="EK312" i="1"/>
  <c r="ED312" i="1"/>
  <c r="EN312" i="1"/>
  <c r="CW321" i="1"/>
  <c r="EK321" i="1"/>
  <c r="ED321" i="1"/>
  <c r="EN321" i="1"/>
  <c r="EB294" i="1"/>
  <c r="CW324" i="1"/>
  <c r="EK324" i="1"/>
  <c r="EN324" i="1"/>
  <c r="ED324" i="1"/>
  <c r="CW249" i="1"/>
  <c r="EK249" i="1"/>
  <c r="EN249" i="1"/>
  <c r="ED249" i="1"/>
  <c r="CW84" i="1"/>
  <c r="ED84" i="1"/>
  <c r="EK84" i="1"/>
  <c r="EN84" i="1"/>
  <c r="CW226" i="1"/>
  <c r="EK226" i="1"/>
  <c r="ED226" i="1"/>
  <c r="EN226" i="1"/>
  <c r="CW202" i="1"/>
  <c r="EK202" i="1"/>
  <c r="ED202" i="1"/>
  <c r="EN202" i="1"/>
  <c r="EB177" i="1"/>
  <c r="EB311" i="1"/>
  <c r="EB158" i="1"/>
  <c r="EB268" i="1"/>
  <c r="CW212" i="1"/>
  <c r="ED212" i="1"/>
  <c r="EK212" i="1"/>
  <c r="EN212" i="1"/>
  <c r="CW332" i="1"/>
  <c r="EK332" i="1"/>
  <c r="ED332" i="1"/>
  <c r="EN332" i="1"/>
  <c r="EB45" i="1"/>
  <c r="EB25" i="1"/>
  <c r="EB165" i="1"/>
  <c r="CW65" i="1"/>
  <c r="EK65" i="1"/>
  <c r="ED65" i="1"/>
  <c r="EN65" i="1"/>
  <c r="EB96" i="1"/>
  <c r="CW328" i="1"/>
  <c r="EN328" i="1"/>
  <c r="EK328" i="1"/>
  <c r="ED328" i="1"/>
  <c r="CW58" i="1"/>
  <c r="EK58" i="1"/>
  <c r="ED58" i="1"/>
  <c r="EN58" i="1"/>
  <c r="EB84" i="1"/>
  <c r="EB95" i="1"/>
  <c r="EB249" i="1"/>
  <c r="CW177" i="1"/>
  <c r="EK177" i="1"/>
  <c r="EN177" i="1"/>
  <c r="ED177" i="1"/>
  <c r="CW311" i="1"/>
  <c r="EK311" i="1"/>
  <c r="ED311" i="1"/>
  <c r="EN311" i="1"/>
  <c r="CW172" i="1"/>
  <c r="EN172" i="1"/>
  <c r="EK172" i="1"/>
  <c r="ED172" i="1"/>
  <c r="CW158" i="1"/>
  <c r="EK158" i="1"/>
  <c r="ED158" i="1"/>
  <c r="EN158" i="1"/>
  <c r="CW166" i="1"/>
  <c r="EK166" i="1"/>
  <c r="EN166" i="1"/>
  <c r="ED166" i="1"/>
  <c r="EB272" i="1"/>
  <c r="CW293" i="1"/>
  <c r="EK293" i="1"/>
  <c r="ED293" i="1"/>
  <c r="EN293" i="1"/>
  <c r="CW236" i="1"/>
  <c r="EK236" i="1"/>
  <c r="EN236" i="1"/>
  <c r="ED236" i="1"/>
  <c r="EB242" i="1"/>
  <c r="CW165" i="1"/>
  <c r="EN165" i="1"/>
  <c r="EK165" i="1"/>
  <c r="ED165" i="1"/>
  <c r="CW294" i="1"/>
  <c r="EK294" i="1"/>
  <c r="ED294" i="1"/>
  <c r="EN294" i="1"/>
  <c r="CW96" i="1"/>
  <c r="ED96" i="1"/>
  <c r="EN96" i="1"/>
  <c r="EK96" i="1"/>
  <c r="EB130" i="1"/>
  <c r="CW95" i="1"/>
  <c r="EK95" i="1"/>
  <c r="ED95" i="1"/>
  <c r="EN95" i="1"/>
  <c r="EB337" i="1"/>
  <c r="EB160" i="1"/>
  <c r="CW334" i="1"/>
  <c r="EK334" i="1"/>
  <c r="ED334" i="1"/>
  <c r="EN334" i="1"/>
  <c r="EB206" i="1"/>
  <c r="DS203" i="1"/>
  <c r="DO203" i="1"/>
  <c r="DP203" i="1" s="1"/>
  <c r="EL203" i="1" s="1"/>
  <c r="EB212" i="1"/>
  <c r="CW45" i="1"/>
  <c r="EN45" i="1"/>
  <c r="EK45" i="1"/>
  <c r="ED45" i="1"/>
  <c r="EB236" i="1"/>
  <c r="CW242" i="1"/>
  <c r="EK242" i="1"/>
  <c r="ED242" i="1"/>
  <c r="EN242" i="1"/>
  <c r="EK25" i="1"/>
  <c r="EN25" i="1"/>
  <c r="ED25" i="1"/>
  <c r="CW50" i="1"/>
  <c r="EK50" i="1"/>
  <c r="ED50" i="1"/>
  <c r="EN50" i="1"/>
  <c r="EB328" i="1"/>
  <c r="CU7" i="1"/>
  <c r="EK13" i="1"/>
  <c r="EA20" i="1"/>
  <c r="EA19" i="1"/>
  <c r="EA18" i="1"/>
  <c r="EG26" i="1"/>
  <c r="EN13" i="1"/>
  <c r="ED13" i="1"/>
  <c r="CC13" i="1"/>
  <c r="CD13" i="1" s="1"/>
  <c r="BN13" i="1"/>
  <c r="BO13" i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BD207" i="1" l="1"/>
  <c r="DM207" i="1" s="1"/>
  <c r="BN39" i="1"/>
  <c r="BO248" i="1"/>
  <c r="BN310" i="1"/>
  <c r="BO175" i="1"/>
  <c r="BN29" i="1"/>
  <c r="BN30" i="1"/>
  <c r="BO29" i="1"/>
  <c r="BO317" i="1"/>
  <c r="BO17" i="1"/>
  <c r="BN333" i="1"/>
  <c r="BO24" i="1"/>
  <c r="BN81" i="1"/>
  <c r="BN273" i="1"/>
  <c r="BN66" i="1"/>
  <c r="BN113" i="1"/>
  <c r="BO113" i="1"/>
  <c r="BO273" i="1"/>
  <c r="BO30" i="1"/>
  <c r="BN317" i="1"/>
  <c r="BO63" i="1"/>
  <c r="BO322" i="1"/>
  <c r="EB66" i="1"/>
  <c r="BN41" i="1"/>
  <c r="BN24" i="1"/>
  <c r="BO201" i="1"/>
  <c r="BO205" i="1"/>
  <c r="BO159" i="1"/>
  <c r="BN37" i="1"/>
  <c r="BO310" i="1"/>
  <c r="BO41" i="1"/>
  <c r="BO39" i="1"/>
  <c r="BO276" i="1"/>
  <c r="BN205" i="1"/>
  <c r="BN201" i="1"/>
  <c r="BN59" i="1"/>
  <c r="BO284" i="1"/>
  <c r="BO79" i="1"/>
  <c r="EB175" i="1"/>
  <c r="BN284" i="1"/>
  <c r="BN79" i="1"/>
  <c r="BN23" i="1"/>
  <c r="BN248" i="1"/>
  <c r="BN322" i="1"/>
  <c r="BN63" i="1"/>
  <c r="EB19" i="1"/>
  <c r="BN19" i="1"/>
  <c r="EB65" i="1"/>
  <c r="EB253" i="1"/>
  <c r="BO18" i="1"/>
  <c r="BN123" i="1"/>
  <c r="BO23" i="1"/>
  <c r="BN316" i="1"/>
  <c r="EB316" i="1"/>
  <c r="BO123" i="1"/>
  <c r="BN276" i="1"/>
  <c r="EB258" i="1"/>
  <c r="BN258" i="1"/>
  <c r="BN18" i="1"/>
  <c r="BN253" i="1"/>
  <c r="BO333" i="1"/>
  <c r="EB336" i="1"/>
  <c r="BO336" i="1"/>
  <c r="BN65" i="1"/>
  <c r="BO307" i="1"/>
  <c r="EB307" i="1"/>
  <c r="EB232" i="1"/>
  <c r="BO232" i="1"/>
  <c r="BN159" i="1"/>
  <c r="BN307" i="1"/>
  <c r="BN232" i="1"/>
  <c r="CD14" i="1"/>
  <c r="CF14" i="1" s="1"/>
  <c r="CM14" i="1" s="1"/>
  <c r="CD15" i="1"/>
  <c r="CF15" i="1" s="1"/>
  <c r="CM15" i="1" s="1"/>
  <c r="AG22" i="1"/>
  <c r="AC23" i="1"/>
  <c r="BO176" i="1"/>
  <c r="BN176" i="1"/>
  <c r="EB176" i="1"/>
  <c r="DX207" i="1"/>
  <c r="CX207" i="1" s="1"/>
  <c r="EL207" i="1"/>
  <c r="DX197" i="1"/>
  <c r="CX197" i="1" s="1"/>
  <c r="DO170" i="1"/>
  <c r="DP170" i="1" s="1"/>
  <c r="DS170" i="1"/>
  <c r="DX203" i="1"/>
  <c r="CX203" i="1" s="1"/>
  <c r="EG27" i="1"/>
  <c r="EA23" i="1"/>
  <c r="EA22" i="1"/>
  <c r="CE13" i="1"/>
  <c r="CF13" i="1" s="1"/>
  <c r="CH13" i="1"/>
  <c r="EB13" i="1" s="1"/>
  <c r="AG13" i="1"/>
  <c r="DH207" i="1" l="1"/>
  <c r="DI207" i="1" s="1"/>
  <c r="DK207" i="1" s="1"/>
  <c r="BD7" i="1"/>
  <c r="BO7" i="1"/>
  <c r="CD16" i="1"/>
  <c r="CF16" i="1" s="1"/>
  <c r="CM16" i="1" s="1"/>
  <c r="AG23" i="1"/>
  <c r="CE23" i="1"/>
  <c r="AC24" i="1"/>
  <c r="DX170" i="1"/>
  <c r="CX170" i="1" s="1"/>
  <c r="EL170" i="1"/>
  <c r="EA24" i="1"/>
  <c r="EG28" i="1"/>
  <c r="CD18" i="1" l="1"/>
  <c r="CF18" i="1" s="1"/>
  <c r="CM18" i="1" s="1"/>
  <c r="AG24" i="1"/>
  <c r="AC25" i="1"/>
  <c r="D19" i="15"/>
  <c r="EG29" i="1"/>
  <c r="EA25" i="1"/>
  <c r="D8" i="15"/>
  <c r="D9" i="15"/>
  <c r="N9" i="15" s="1"/>
  <c r="D47" i="15"/>
  <c r="U47" i="15" s="1"/>
  <c r="D27" i="15"/>
  <c r="D25" i="15"/>
  <c r="D50" i="15"/>
  <c r="U50" i="15" s="1"/>
  <c r="D33" i="15"/>
  <c r="U33" i="15" s="1"/>
  <c r="D31" i="15"/>
  <c r="U31" i="15" s="1"/>
  <c r="D54" i="15"/>
  <c r="U54" i="15" s="1"/>
  <c r="D51" i="15"/>
  <c r="U51" i="15" s="1"/>
  <c r="D34" i="15"/>
  <c r="U34" i="15" s="1"/>
  <c r="N19" i="15"/>
  <c r="D38" i="15"/>
  <c r="U38" i="15" s="1"/>
  <c r="D23" i="15"/>
  <c r="D10" i="15"/>
  <c r="N10" i="15" s="1"/>
  <c r="D46" i="15"/>
  <c r="U46" i="15" s="1"/>
  <c r="D29" i="15"/>
  <c r="D24" i="15"/>
  <c r="D42" i="15"/>
  <c r="U42" i="15" s="1"/>
  <c r="D15" i="15"/>
  <c r="N15" i="15" s="1"/>
  <c r="D30" i="15"/>
  <c r="D49" i="15"/>
  <c r="U49" i="15" s="1"/>
  <c r="D40" i="15"/>
  <c r="U40" i="15" s="1"/>
  <c r="D41" i="15"/>
  <c r="U41" i="15" s="1"/>
  <c r="D57" i="15"/>
  <c r="U57" i="15" s="1"/>
  <c r="W57" i="15" s="1"/>
  <c r="D36" i="15"/>
  <c r="U36" i="15" s="1"/>
  <c r="D48" i="15"/>
  <c r="U48" i="15" s="1"/>
  <c r="D18" i="15"/>
  <c r="D45" i="15"/>
  <c r="U45" i="15" s="1"/>
  <c r="D37" i="15"/>
  <c r="U37" i="15" s="1"/>
  <c r="D22" i="15"/>
  <c r="D26" i="15"/>
  <c r="D35" i="15"/>
  <c r="U35" i="15" s="1"/>
  <c r="D28" i="15"/>
  <c r="D12" i="15"/>
  <c r="N12" i="15" s="1"/>
  <c r="D56" i="15"/>
  <c r="U56" i="15" s="1"/>
  <c r="D44" i="15"/>
  <c r="U44" i="15" s="1"/>
  <c r="D20" i="15"/>
  <c r="D13" i="15"/>
  <c r="N13" i="15" s="1"/>
  <c r="D11" i="15"/>
  <c r="N11" i="15" s="1"/>
  <c r="D43" i="15"/>
  <c r="U43" i="15" s="1"/>
  <c r="D17" i="15"/>
  <c r="N17" i="15" s="1"/>
  <c r="D53" i="15"/>
  <c r="U53" i="15" s="1"/>
  <c r="D55" i="15"/>
  <c r="U55" i="15" s="1"/>
  <c r="D21" i="15"/>
  <c r="D14" i="15"/>
  <c r="N14" i="15" s="1"/>
  <c r="D32" i="15"/>
  <c r="U32" i="15" s="1"/>
  <c r="D16" i="15"/>
  <c r="N16" i="15" s="1"/>
  <c r="D52" i="15"/>
  <c r="U52" i="15" s="1"/>
  <c r="D39" i="15"/>
  <c r="U39" i="15" s="1"/>
  <c r="N8" i="15"/>
  <c r="CD23" i="1" l="1"/>
  <c r="CD26" i="1" s="1"/>
  <c r="AG25" i="1"/>
  <c r="AC26" i="1"/>
  <c r="EG30" i="1"/>
  <c r="EA26" i="1"/>
  <c r="C9" i="15"/>
  <c r="E8" i="15"/>
  <c r="F8" i="15" s="1"/>
  <c r="W56" i="15"/>
  <c r="W55" i="15" s="1"/>
  <c r="W54" i="15" s="1"/>
  <c r="W53" i="15" s="1"/>
  <c r="W52" i="15" s="1"/>
  <c r="W51" i="15" s="1"/>
  <c r="W50" i="15" s="1"/>
  <c r="W49" i="15" s="1"/>
  <c r="W48" i="15" s="1"/>
  <c r="W47" i="15" s="1"/>
  <c r="W46" i="15" s="1"/>
  <c r="W45" i="15" s="1"/>
  <c r="W44" i="15" s="1"/>
  <c r="W43" i="15" s="1"/>
  <c r="W42" i="15" s="1"/>
  <c r="W41" i="15" s="1"/>
  <c r="W40" i="15" s="1"/>
  <c r="W39" i="15" s="1"/>
  <c r="W38" i="15" s="1"/>
  <c r="W37" i="15" s="1"/>
  <c r="W36" i="15" s="1"/>
  <c r="W35" i="15" s="1"/>
  <c r="W34" i="15" s="1"/>
  <c r="W33" i="15" s="1"/>
  <c r="W32" i="15" s="1"/>
  <c r="W31" i="15" s="1"/>
  <c r="C8" i="15"/>
  <c r="E9" i="15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E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B7" i="1"/>
  <c r="CC7" i="1"/>
  <c r="BX7" i="1"/>
  <c r="CD105" i="1" l="1"/>
  <c r="CD112" i="1" s="1"/>
  <c r="CF23" i="1"/>
  <c r="CM23" i="1" s="1"/>
  <c r="AG26" i="1"/>
  <c r="CE26" i="1"/>
  <c r="CF26" i="1" s="1"/>
  <c r="CM26" i="1" s="1"/>
  <c r="AC27" i="1"/>
  <c r="CD131" i="1"/>
  <c r="CD139" i="1" s="1"/>
  <c r="EG31" i="1"/>
  <c r="EA27" i="1"/>
  <c r="G19" i="15"/>
  <c r="F9" i="15"/>
  <c r="G9" i="15" s="1"/>
  <c r="F23" i="15"/>
  <c r="G23" i="15" s="1"/>
  <c r="F27" i="15"/>
  <c r="G27" i="15" s="1"/>
  <c r="G51" i="15"/>
  <c r="F51" i="15"/>
  <c r="F24" i="15"/>
  <c r="G24" i="15" s="1"/>
  <c r="G41" i="15"/>
  <c r="F41" i="15"/>
  <c r="F15" i="15"/>
  <c r="G15" i="15" s="1"/>
  <c r="G49" i="15"/>
  <c r="F49" i="15"/>
  <c r="G55" i="15"/>
  <c r="F55" i="15"/>
  <c r="G52" i="15"/>
  <c r="F52" i="15"/>
  <c r="F28" i="15"/>
  <c r="G28" i="15" s="1"/>
  <c r="F17" i="15"/>
  <c r="G17" i="15" s="1"/>
  <c r="F10" i="15"/>
  <c r="G10" i="15" s="1"/>
  <c r="G35" i="15"/>
  <c r="F35" i="15"/>
  <c r="G44" i="15"/>
  <c r="F44" i="15"/>
  <c r="G31" i="15"/>
  <c r="F31" i="15"/>
  <c r="G43" i="15"/>
  <c r="F43" i="15"/>
  <c r="G36" i="15"/>
  <c r="F36" i="15"/>
  <c r="G56" i="15"/>
  <c r="F56" i="15"/>
  <c r="F20" i="15"/>
  <c r="G20" i="15" s="1"/>
  <c r="F11" i="15"/>
  <c r="G11" i="15" s="1"/>
  <c r="G38" i="15"/>
  <c r="F38" i="15"/>
  <c r="F22" i="15"/>
  <c r="G22" i="15" s="1"/>
  <c r="G47" i="15"/>
  <c r="F47" i="15"/>
  <c r="G39" i="15"/>
  <c r="F39" i="15"/>
  <c r="G33" i="15"/>
  <c r="F33" i="15"/>
  <c r="G34" i="15"/>
  <c r="F34" i="15"/>
  <c r="G48" i="15"/>
  <c r="F48" i="15"/>
  <c r="G32" i="15"/>
  <c r="F32" i="15"/>
  <c r="F25" i="15"/>
  <c r="G25" i="15" s="1"/>
  <c r="G45" i="15"/>
  <c r="F45" i="15"/>
  <c r="F54" i="15"/>
  <c r="G54" i="15"/>
  <c r="G53" i="15"/>
  <c r="F53" i="15"/>
  <c r="F21" i="15"/>
  <c r="G21" i="15" s="1"/>
  <c r="G50" i="15"/>
  <c r="F50" i="15"/>
  <c r="F29" i="15"/>
  <c r="G29" i="15" s="1"/>
  <c r="F30" i="15"/>
  <c r="G30" i="15" s="1"/>
  <c r="G57" i="15"/>
  <c r="F57" i="15"/>
  <c r="G42" i="15"/>
  <c r="F42" i="15"/>
  <c r="G40" i="15"/>
  <c r="F40" i="15"/>
  <c r="G46" i="15"/>
  <c r="F46" i="15"/>
  <c r="F26" i="15"/>
  <c r="G26" i="15" s="1"/>
  <c r="G37" i="15"/>
  <c r="F37" i="15"/>
  <c r="F13" i="15"/>
  <c r="G13" i="15" s="1"/>
  <c r="F18" i="15"/>
  <c r="G18" i="15" s="1"/>
  <c r="F12" i="15"/>
  <c r="G12" i="15" s="1"/>
  <c r="F16" i="15"/>
  <c r="G16" i="15" s="1"/>
  <c r="F14" i="15"/>
  <c r="G14" i="15" s="1"/>
  <c r="G8" i="15"/>
  <c r="AG27" i="1" l="1"/>
  <c r="AC28" i="1"/>
  <c r="EA28" i="1"/>
  <c r="EG32" i="1"/>
  <c r="R30" i="15"/>
  <c r="S50" i="15"/>
  <c r="R50" i="15"/>
  <c r="S47" i="15"/>
  <c r="R47" i="15"/>
  <c r="R15" i="15"/>
  <c r="R29" i="15"/>
  <c r="R16" i="15"/>
  <c r="S36" i="15"/>
  <c r="R36" i="15"/>
  <c r="S34" i="15"/>
  <c r="R34" i="15"/>
  <c r="R18" i="15"/>
  <c r="S43" i="15"/>
  <c r="R43" i="15"/>
  <c r="S51" i="15"/>
  <c r="R51" i="15"/>
  <c r="S46" i="15"/>
  <c r="R46" i="15"/>
  <c r="S35" i="15"/>
  <c r="R35" i="15"/>
  <c r="S40" i="15"/>
  <c r="R40" i="15"/>
  <c r="R17" i="15"/>
  <c r="R28" i="15"/>
  <c r="R9" i="15"/>
  <c r="R10" i="15"/>
  <c r="R23" i="15"/>
  <c r="R11" i="15"/>
  <c r="S42" i="15"/>
  <c r="R42" i="15"/>
  <c r="R20" i="15"/>
  <c r="R8" i="15"/>
  <c r="S32" i="15"/>
  <c r="R32" i="15"/>
  <c r="S52" i="15"/>
  <c r="R52" i="15"/>
  <c r="R12" i="15"/>
  <c r="S49" i="15"/>
  <c r="R49" i="15"/>
  <c r="R21" i="15"/>
  <c r="R22" i="15"/>
  <c r="R27" i="15"/>
  <c r="R45" i="15"/>
  <c r="S45" i="15"/>
  <c r="S38" i="15"/>
  <c r="R38" i="15"/>
  <c r="R25" i="15"/>
  <c r="R14" i="15"/>
  <c r="S57" i="15"/>
  <c r="R57" i="15"/>
  <c r="S56" i="15"/>
  <c r="R56" i="15"/>
  <c r="S48" i="15"/>
  <c r="R48" i="15"/>
  <c r="S55" i="15"/>
  <c r="R55" i="15"/>
  <c r="S33" i="15"/>
  <c r="R33" i="15"/>
  <c r="R13" i="15"/>
  <c r="S31" i="15"/>
  <c r="R31" i="15"/>
  <c r="S41" i="15"/>
  <c r="R41" i="15"/>
  <c r="S37" i="15"/>
  <c r="R37" i="15"/>
  <c r="S53" i="15"/>
  <c r="R53" i="15"/>
  <c r="S39" i="15"/>
  <c r="R39" i="15"/>
  <c r="R24" i="15"/>
  <c r="R26" i="15"/>
  <c r="S54" i="15"/>
  <c r="R54" i="15"/>
  <c r="R44" i="15"/>
  <c r="S44" i="15"/>
  <c r="R19" i="15"/>
  <c r="P50" i="15"/>
  <c r="Q50" i="15"/>
  <c r="Q51" i="15"/>
  <c r="P51" i="15"/>
  <c r="Q33" i="15"/>
  <c r="P33" i="15"/>
  <c r="Q56" i="15"/>
  <c r="P56" i="15"/>
  <c r="P46" i="15"/>
  <c r="Q46" i="15"/>
  <c r="Q53" i="15"/>
  <c r="P53" i="15"/>
  <c r="Q39" i="15"/>
  <c r="P39" i="15"/>
  <c r="Q54" i="15"/>
  <c r="P54" i="15"/>
  <c r="Q36" i="15"/>
  <c r="P36" i="15"/>
  <c r="Q52" i="15"/>
  <c r="P52" i="15"/>
  <c r="Q40" i="15"/>
  <c r="P40" i="15"/>
  <c r="P47" i="15"/>
  <c r="Q47" i="15"/>
  <c r="Q55" i="15"/>
  <c r="P55" i="15"/>
  <c r="Q30" i="15"/>
  <c r="U30" i="15" s="1"/>
  <c r="W30" i="15" s="1"/>
  <c r="Q37" i="15"/>
  <c r="P37" i="15"/>
  <c r="P43" i="15"/>
  <c r="Q43" i="15"/>
  <c r="P42" i="15"/>
  <c r="Q42" i="15"/>
  <c r="P45" i="15"/>
  <c r="Q45" i="15"/>
  <c r="Q31" i="15"/>
  <c r="P31" i="15"/>
  <c r="Q49" i="15"/>
  <c r="P49" i="15"/>
  <c r="Q57" i="15"/>
  <c r="P57" i="15"/>
  <c r="P38" i="15"/>
  <c r="Q38" i="15"/>
  <c r="Q44" i="15"/>
  <c r="P44" i="15"/>
  <c r="Q32" i="15"/>
  <c r="P32" i="15"/>
  <c r="Q35" i="15"/>
  <c r="P35" i="15"/>
  <c r="Q41" i="15"/>
  <c r="P41" i="15"/>
  <c r="Q48" i="15"/>
  <c r="P48" i="15"/>
  <c r="P34" i="15"/>
  <c r="Q34" i="15"/>
  <c r="P8" i="15"/>
  <c r="AG28" i="1" l="1"/>
  <c r="AC29" i="1"/>
  <c r="S205" i="1"/>
  <c r="S191" i="1"/>
  <c r="S193" i="1"/>
  <c r="S199" i="1"/>
  <c r="S184" i="1"/>
  <c r="S198" i="1"/>
  <c r="S208" i="1"/>
  <c r="S186" i="1"/>
  <c r="S188" i="1"/>
  <c r="S194" i="1"/>
  <c r="S204" i="1"/>
  <c r="S190" i="1"/>
  <c r="S196" i="1"/>
  <c r="S202" i="1"/>
  <c r="S189" i="1"/>
  <c r="S197" i="1"/>
  <c r="S192" i="1"/>
  <c r="S206" i="1"/>
  <c r="S200" i="1"/>
  <c r="S207" i="1"/>
  <c r="S185" i="1"/>
  <c r="S203" i="1"/>
  <c r="S187" i="1"/>
  <c r="S201" i="1"/>
  <c r="S195" i="1"/>
  <c r="X18" i="1"/>
  <c r="BQ18" i="1" s="1"/>
  <c r="BR18" i="1" s="1"/>
  <c r="X22" i="1"/>
  <c r="BQ22" i="1" s="1"/>
  <c r="BR22" i="1" s="1"/>
  <c r="X15" i="1"/>
  <c r="BQ15" i="1" s="1"/>
  <c r="BR15" i="1" s="1"/>
  <c r="X20" i="1"/>
  <c r="BQ20" i="1" s="1"/>
  <c r="BR20" i="1" s="1"/>
  <c r="X16" i="1"/>
  <c r="BQ16" i="1" s="1"/>
  <c r="BR16" i="1" s="1"/>
  <c r="X19" i="1"/>
  <c r="BQ19" i="1" s="1"/>
  <c r="BR19" i="1" s="1"/>
  <c r="X17" i="1"/>
  <c r="BQ17" i="1" s="1"/>
  <c r="BR17" i="1" s="1"/>
  <c r="X14" i="1"/>
  <c r="BQ14" i="1" s="1"/>
  <c r="BR14" i="1" s="1"/>
  <c r="X23" i="1"/>
  <c r="BQ23" i="1" s="1"/>
  <c r="BR23" i="1" s="1"/>
  <c r="EQ314" i="1"/>
  <c r="EQ233" i="1"/>
  <c r="EQ234" i="1"/>
  <c r="EG33" i="1"/>
  <c r="EQ302" i="1"/>
  <c r="EQ295" i="1"/>
  <c r="EQ168" i="1"/>
  <c r="EQ158" i="1"/>
  <c r="EQ163" i="1"/>
  <c r="EQ343" i="1"/>
  <c r="EQ26" i="1"/>
  <c r="EQ25" i="1"/>
  <c r="EQ254" i="1"/>
  <c r="EQ262" i="1"/>
  <c r="EQ66" i="1"/>
  <c r="EQ61" i="1"/>
  <c r="EQ148" i="1"/>
  <c r="EQ137" i="1"/>
  <c r="EQ85" i="1"/>
  <c r="EQ73" i="1"/>
  <c r="EQ90" i="1"/>
  <c r="EA29" i="1"/>
  <c r="EQ125" i="1"/>
  <c r="EQ109" i="1"/>
  <c r="EQ119" i="1"/>
  <c r="EQ124" i="1"/>
  <c r="EQ117" i="1"/>
  <c r="EQ110" i="1"/>
  <c r="EQ126" i="1"/>
  <c r="EQ19" i="1"/>
  <c r="EQ346" i="1"/>
  <c r="EQ345" i="1"/>
  <c r="EQ277" i="1"/>
  <c r="EQ275" i="1"/>
  <c r="EQ278" i="1"/>
  <c r="EQ213" i="1"/>
  <c r="EQ211" i="1"/>
  <c r="EQ54" i="1"/>
  <c r="EQ49" i="1"/>
  <c r="EQ57" i="1"/>
  <c r="EQ48" i="1"/>
  <c r="EQ53" i="1"/>
  <c r="EQ56" i="1"/>
  <c r="EQ51" i="1"/>
  <c r="EQ52" i="1"/>
  <c r="EQ181" i="1"/>
  <c r="EQ182" i="1"/>
  <c r="EQ251" i="1"/>
  <c r="EQ249" i="1"/>
  <c r="EQ247" i="1"/>
  <c r="EQ42" i="1"/>
  <c r="EQ44" i="1"/>
  <c r="EQ37" i="1"/>
  <c r="EQ40" i="1"/>
  <c r="EQ39" i="1"/>
  <c r="EQ43" i="1"/>
  <c r="EQ38" i="1"/>
  <c r="EQ338" i="1"/>
  <c r="EQ336" i="1"/>
  <c r="EQ333" i="1"/>
  <c r="EQ335" i="1"/>
  <c r="EQ337" i="1"/>
  <c r="EQ332" i="1"/>
  <c r="EQ334" i="1"/>
  <c r="EQ339" i="1"/>
  <c r="EQ406" i="1"/>
  <c r="EQ401" i="1"/>
  <c r="EQ321" i="1"/>
  <c r="EQ282" i="1"/>
  <c r="EQ218" i="1"/>
  <c r="EQ223" i="1"/>
  <c r="EQ153" i="1"/>
  <c r="EQ139" i="1"/>
  <c r="EQ144" i="1"/>
  <c r="EQ103" i="1"/>
  <c r="EQ97" i="1"/>
  <c r="EQ36" i="1"/>
  <c r="EQ91" i="1"/>
  <c r="EQ118" i="1"/>
  <c r="EQ226" i="1"/>
  <c r="EQ313" i="1"/>
  <c r="EQ69" i="1"/>
  <c r="EQ178" i="1"/>
  <c r="EQ316" i="1"/>
  <c r="EQ391" i="1"/>
  <c r="EQ267" i="1"/>
  <c r="EQ370" i="1"/>
  <c r="EQ386" i="1"/>
  <c r="EQ78" i="1"/>
  <c r="EQ175" i="1"/>
  <c r="EQ293" i="1"/>
  <c r="EQ305" i="1"/>
  <c r="EQ311" i="1"/>
  <c r="EQ17" i="1"/>
  <c r="EQ239" i="1"/>
  <c r="EQ280" i="1"/>
  <c r="EQ342" i="1"/>
  <c r="EQ154" i="1"/>
  <c r="EQ367" i="1"/>
  <c r="EQ390" i="1"/>
  <c r="EQ404" i="1"/>
  <c r="EQ80" i="1"/>
  <c r="EQ166" i="1"/>
  <c r="EQ319" i="1"/>
  <c r="EQ330" i="1"/>
  <c r="EQ99" i="1"/>
  <c r="EQ100" i="1"/>
  <c r="EQ136" i="1"/>
  <c r="EQ210" i="1"/>
  <c r="EQ294" i="1"/>
  <c r="EQ27" i="1"/>
  <c r="EQ62" i="1"/>
  <c r="EQ191" i="1"/>
  <c r="EQ242" i="1"/>
  <c r="EQ304" i="1"/>
  <c r="EQ361" i="1"/>
  <c r="EQ382" i="1"/>
  <c r="EQ88" i="1"/>
  <c r="EQ84" i="1"/>
  <c r="EQ106" i="1"/>
  <c r="EQ217" i="1"/>
  <c r="EQ231" i="1"/>
  <c r="EQ22" i="1"/>
  <c r="EQ150" i="1"/>
  <c r="EQ151" i="1"/>
  <c r="EQ173" i="1"/>
  <c r="EQ271" i="1"/>
  <c r="EQ297" i="1"/>
  <c r="EQ326" i="1"/>
  <c r="EQ377" i="1"/>
  <c r="EQ147" i="1"/>
  <c r="EQ359" i="1"/>
  <c r="EQ95" i="1"/>
  <c r="EQ81" i="1"/>
  <c r="EQ122" i="1"/>
  <c r="EQ155" i="1"/>
  <c r="EQ227" i="1"/>
  <c r="EQ269" i="1"/>
  <c r="EQ318" i="1"/>
  <c r="EQ353" i="1"/>
  <c r="EQ128" i="1"/>
  <c r="EQ220" i="1"/>
  <c r="EQ194" i="1"/>
  <c r="EQ75" i="1"/>
  <c r="EQ115" i="1"/>
  <c r="EQ281" i="1"/>
  <c r="EQ372" i="1"/>
  <c r="EQ389" i="1"/>
  <c r="EQ307" i="1"/>
  <c r="EQ207" i="1"/>
  <c r="EQ279" i="1"/>
  <c r="EQ135" i="1"/>
  <c r="EQ331" i="1"/>
  <c r="EQ238" i="1"/>
  <c r="EQ384" i="1"/>
  <c r="EQ354" i="1"/>
  <c r="EQ140" i="1"/>
  <c r="EQ162" i="1"/>
  <c r="EQ292" i="1"/>
  <c r="EQ28" i="1"/>
  <c r="EQ104" i="1"/>
  <c r="EQ107" i="1"/>
  <c r="EQ363" i="1"/>
  <c r="EQ260" i="1"/>
  <c r="EQ403" i="1"/>
  <c r="EQ360" i="1"/>
  <c r="EQ14" i="1"/>
  <c r="EQ399" i="1"/>
  <c r="EQ232" i="1"/>
  <c r="EQ352" i="1"/>
  <c r="EQ164" i="1"/>
  <c r="EQ323" i="1"/>
  <c r="EQ198" i="1"/>
  <c r="EQ340" i="1"/>
  <c r="EQ161" i="1"/>
  <c r="EQ369" i="1"/>
  <c r="EQ398" i="1"/>
  <c r="EQ397" i="1"/>
  <c r="EQ252" i="1"/>
  <c r="EQ131" i="1"/>
  <c r="EQ407" i="1"/>
  <c r="EQ265" i="1"/>
  <c r="EQ214" i="1"/>
  <c r="EQ101" i="1"/>
  <c r="EQ18" i="1"/>
  <c r="EQ24" i="1"/>
  <c r="EQ373" i="1"/>
  <c r="EQ82" i="1"/>
  <c r="EQ317" i="1"/>
  <c r="EQ169" i="1"/>
  <c r="EQ291" i="1"/>
  <c r="EQ230" i="1"/>
  <c r="EQ108" i="1"/>
  <c r="EQ411" i="1"/>
  <c r="EQ94" i="1"/>
  <c r="EQ120" i="1"/>
  <c r="EQ170" i="1"/>
  <c r="EQ112" i="1"/>
  <c r="EQ74" i="1"/>
  <c r="EQ255" i="1"/>
  <c r="EQ310" i="1"/>
  <c r="EQ237" i="1"/>
  <c r="EQ222" i="1"/>
  <c r="EQ132" i="1"/>
  <c r="EQ256" i="1"/>
  <c r="EQ385" i="1"/>
  <c r="EQ408" i="1"/>
  <c r="EQ356" i="1"/>
  <c r="EQ215" i="1"/>
  <c r="EQ375" i="1"/>
  <c r="EQ58" i="1"/>
  <c r="EQ228" i="1"/>
  <c r="EQ263" i="1"/>
  <c r="EQ20" i="1"/>
  <c r="EQ328" i="1"/>
  <c r="EQ379" i="1"/>
  <c r="EQ402" i="1"/>
  <c r="EQ123" i="1"/>
  <c r="EQ341" i="1"/>
  <c r="EQ257" i="1"/>
  <c r="EQ145" i="1"/>
  <c r="EQ300" i="1"/>
  <c r="EQ176" i="1"/>
  <c r="EQ327" i="1"/>
  <c r="EQ259" i="1"/>
  <c r="EQ272" i="1"/>
  <c r="EQ146" i="1"/>
  <c r="EQ261" i="1"/>
  <c r="EQ358" i="1"/>
  <c r="EQ298" i="1"/>
  <c r="EQ142" i="1"/>
  <c r="EQ368" i="1"/>
  <c r="EQ395" i="1"/>
  <c r="EQ348" i="1"/>
  <c r="EQ303" i="1"/>
  <c r="EQ179" i="1"/>
  <c r="EQ50" i="1"/>
  <c r="EQ32" i="1"/>
  <c r="EQ31" i="1"/>
  <c r="EQ160" i="1"/>
  <c r="EQ229" i="1"/>
  <c r="EQ287" i="1"/>
  <c r="EQ133" i="1"/>
  <c r="EQ116" i="1"/>
  <c r="EQ152" i="1"/>
  <c r="EQ114" i="1"/>
  <c r="EQ76" i="1"/>
  <c r="EQ253" i="1"/>
  <c r="EQ412" i="1"/>
  <c r="EQ388" i="1"/>
  <c r="EQ245" i="1"/>
  <c r="EQ219" i="1"/>
  <c r="EQ67" i="1"/>
  <c r="EQ394" i="1"/>
  <c r="EQ355" i="1"/>
  <c r="EQ197" i="1"/>
  <c r="EQ240" i="1"/>
  <c r="EQ87" i="1"/>
  <c r="EQ362" i="1"/>
  <c r="EQ301" i="1"/>
  <c r="EQ70" i="1"/>
  <c r="EQ248" i="1"/>
  <c r="EQ77" i="1"/>
  <c r="EQ409" i="1"/>
  <c r="EQ357" i="1"/>
  <c r="EQ221" i="1"/>
  <c r="EQ93" i="1"/>
  <c r="EQ195" i="1"/>
  <c r="EQ83" i="1"/>
  <c r="EQ392" i="1"/>
  <c r="EQ156" i="1"/>
  <c r="EQ141" i="1"/>
  <c r="EQ309" i="1"/>
  <c r="EQ250" i="1"/>
  <c r="EQ396" i="1"/>
  <c r="EQ350" i="1"/>
  <c r="EQ285" i="1"/>
  <c r="EQ111" i="1"/>
  <c r="EQ55" i="1"/>
  <c r="EQ344" i="1"/>
  <c r="EQ60" i="1"/>
  <c r="EQ34" i="1"/>
  <c r="EQ273" i="1"/>
  <c r="EQ127" i="1"/>
  <c r="EQ79" i="1"/>
  <c r="EQ68" i="1"/>
  <c r="EQ374" i="1"/>
  <c r="EQ236" i="1"/>
  <c r="EQ270" i="1"/>
  <c r="EQ290" i="1"/>
  <c r="EQ47" i="1"/>
  <c r="EQ410" i="1"/>
  <c r="EQ322" i="1"/>
  <c r="EQ306" i="1"/>
  <c r="EQ63" i="1"/>
  <c r="EQ65" i="1"/>
  <c r="EQ138" i="1"/>
  <c r="EQ134" i="1"/>
  <c r="EQ143" i="1"/>
  <c r="EQ276" i="1"/>
  <c r="EQ315" i="1"/>
  <c r="EQ45" i="1"/>
  <c r="EQ296" i="1"/>
  <c r="EQ378" i="1"/>
  <c r="EQ320" i="1"/>
  <c r="EQ183" i="1"/>
  <c r="EQ98" i="1"/>
  <c r="EQ86" i="1"/>
  <c r="EQ216" i="1"/>
  <c r="EQ129" i="1"/>
  <c r="EQ286" i="1"/>
  <c r="EQ203" i="1"/>
  <c r="EQ33" i="1"/>
  <c r="EQ351" i="1"/>
  <c r="EQ274" i="1"/>
  <c r="EQ16" i="1"/>
  <c r="EQ371" i="1"/>
  <c r="EQ387" i="1"/>
  <c r="EQ167" i="1"/>
  <c r="EQ349" i="1"/>
  <c r="EQ308" i="1"/>
  <c r="EQ159" i="1"/>
  <c r="EQ324" i="1"/>
  <c r="EQ41" i="1"/>
  <c r="EQ224" i="1"/>
  <c r="EQ171" i="1"/>
  <c r="EQ366" i="1"/>
  <c r="EQ180" i="1"/>
  <c r="EQ71" i="1"/>
  <c r="EQ268" i="1"/>
  <c r="EQ381" i="1"/>
  <c r="EQ209" i="1"/>
  <c r="EQ113" i="1"/>
  <c r="EQ347" i="1"/>
  <c r="EQ325" i="1"/>
  <c r="EQ204" i="1"/>
  <c r="EQ225" i="1"/>
  <c r="EQ235" i="1"/>
  <c r="EQ105" i="1"/>
  <c r="EQ15" i="1"/>
  <c r="EQ266" i="1"/>
  <c r="EQ177" i="1"/>
  <c r="EQ380" i="1"/>
  <c r="EQ165" i="1"/>
  <c r="EQ72" i="1"/>
  <c r="EQ241" i="1"/>
  <c r="EQ299" i="1"/>
  <c r="EQ393" i="1"/>
  <c r="EQ405" i="1"/>
  <c r="EQ21" i="1"/>
  <c r="EQ188" i="1"/>
  <c r="EQ23" i="1"/>
  <c r="EQ212" i="1"/>
  <c r="EQ46" i="1"/>
  <c r="EQ244" i="1"/>
  <c r="EQ172" i="1"/>
  <c r="EQ400" i="1"/>
  <c r="EQ246" i="1"/>
  <c r="EQ96" i="1"/>
  <c r="EQ35" i="1"/>
  <c r="EQ283" i="1"/>
  <c r="EQ243" i="1"/>
  <c r="EQ284" i="1"/>
  <c r="EQ89" i="1"/>
  <c r="EQ64" i="1"/>
  <c r="EQ29" i="1"/>
  <c r="EQ200" i="1"/>
  <c r="EQ376" i="1"/>
  <c r="EQ365" i="1"/>
  <c r="EQ312" i="1"/>
  <c r="EQ264" i="1"/>
  <c r="EQ258" i="1"/>
  <c r="EQ121" i="1"/>
  <c r="EQ364" i="1"/>
  <c r="EQ383" i="1"/>
  <c r="EQ289" i="1"/>
  <c r="S24" i="15"/>
  <c r="S25" i="15"/>
  <c r="S30" i="15"/>
  <c r="S23" i="15"/>
  <c r="L29" i="5"/>
  <c r="L20" i="5"/>
  <c r="L27" i="5"/>
  <c r="M27" i="5" s="1"/>
  <c r="L19" i="5"/>
  <c r="M19" i="5" s="1"/>
  <c r="L13" i="5"/>
  <c r="L16" i="5"/>
  <c r="L15" i="5"/>
  <c r="L9" i="5"/>
  <c r="S11" i="15"/>
  <c r="S10" i="15"/>
  <c r="L14" i="5"/>
  <c r="L18" i="5"/>
  <c r="S16" i="15"/>
  <c r="L11" i="5"/>
  <c r="L25" i="5"/>
  <c r="L10" i="5"/>
  <c r="S13" i="1"/>
  <c r="S26" i="15"/>
  <c r="L24" i="5"/>
  <c r="L23" i="5"/>
  <c r="L21" i="5"/>
  <c r="S18" i="15"/>
  <c r="S17" i="15"/>
  <c r="L17" i="5"/>
  <c r="L22" i="5"/>
  <c r="S29" i="15"/>
  <c r="S22" i="15"/>
  <c r="L8" i="5"/>
  <c r="L28" i="5"/>
  <c r="S13" i="15"/>
  <c r="L26" i="5"/>
  <c r="S8" i="15"/>
  <c r="S14" i="15"/>
  <c r="S21" i="15"/>
  <c r="S20" i="15"/>
  <c r="S9" i="15"/>
  <c r="S28" i="15"/>
  <c r="S15" i="15"/>
  <c r="S12" i="15"/>
  <c r="L12" i="5"/>
  <c r="S19" i="15"/>
  <c r="S27" i="15"/>
  <c r="P9" i="15"/>
  <c r="X33" i="1" s="1"/>
  <c r="BQ33" i="1" s="1"/>
  <c r="BR33" i="1" s="1"/>
  <c r="W202" i="1" l="1"/>
  <c r="DF202" i="1"/>
  <c r="W196" i="1"/>
  <c r="DF196" i="1"/>
  <c r="W190" i="1"/>
  <c r="DF190" i="1"/>
  <c r="W204" i="1"/>
  <c r="DF204" i="1"/>
  <c r="W194" i="1"/>
  <c r="DF194" i="1"/>
  <c r="W195" i="1"/>
  <c r="EC195" i="1" s="1"/>
  <c r="DF195" i="1"/>
  <c r="W188" i="1"/>
  <c r="DF188" i="1"/>
  <c r="W201" i="1"/>
  <c r="DF201" i="1"/>
  <c r="W186" i="1"/>
  <c r="DF186" i="1"/>
  <c r="W187" i="1"/>
  <c r="DF187" i="1"/>
  <c r="W208" i="1"/>
  <c r="DF208" i="1"/>
  <c r="W203" i="1"/>
  <c r="DF203" i="1"/>
  <c r="DD203" i="1" s="1"/>
  <c r="W198" i="1"/>
  <c r="DF198" i="1"/>
  <c r="W185" i="1"/>
  <c r="EC185" i="1" s="1"/>
  <c r="DF185" i="1"/>
  <c r="W184" i="1"/>
  <c r="DF184" i="1"/>
  <c r="W207" i="1"/>
  <c r="DF207" i="1"/>
  <c r="DD207" i="1" s="1"/>
  <c r="W199" i="1"/>
  <c r="DF199" i="1"/>
  <c r="W200" i="1"/>
  <c r="DF200" i="1"/>
  <c r="W193" i="1"/>
  <c r="DF193" i="1"/>
  <c r="W206" i="1"/>
  <c r="DF206" i="1"/>
  <c r="W191" i="1"/>
  <c r="DF191" i="1"/>
  <c r="W192" i="1"/>
  <c r="EC192" i="1" s="1"/>
  <c r="DF192" i="1"/>
  <c r="W205" i="1"/>
  <c r="DF205" i="1"/>
  <c r="W197" i="1"/>
  <c r="DF197" i="1"/>
  <c r="DD197" i="1" s="1"/>
  <c r="W13" i="1"/>
  <c r="X13" i="1" s="1"/>
  <c r="DF13" i="1"/>
  <c r="W189" i="1"/>
  <c r="DF189" i="1"/>
  <c r="EQ187" i="1"/>
  <c r="EQ196" i="1"/>
  <c r="EQ189" i="1"/>
  <c r="EQ190" i="1"/>
  <c r="EQ201" i="1"/>
  <c r="EQ192" i="1"/>
  <c r="EQ208" i="1"/>
  <c r="EQ199" i="1"/>
  <c r="EQ184" i="1"/>
  <c r="EQ186" i="1"/>
  <c r="EQ202" i="1"/>
  <c r="EQ185" i="1"/>
  <c r="EQ193" i="1"/>
  <c r="AG29" i="1"/>
  <c r="AC30" i="1"/>
  <c r="EQ206" i="1"/>
  <c r="BT33" i="1"/>
  <c r="BV33" i="1"/>
  <c r="BS33" i="1"/>
  <c r="BV23" i="1"/>
  <c r="BT23" i="1"/>
  <c r="BS23" i="1"/>
  <c r="BV14" i="1"/>
  <c r="BT14" i="1"/>
  <c r="BS14" i="1"/>
  <c r="BV17" i="1"/>
  <c r="BT17" i="1"/>
  <c r="BS17" i="1"/>
  <c r="BS19" i="1"/>
  <c r="BT19" i="1"/>
  <c r="BV19" i="1"/>
  <c r="BT16" i="1"/>
  <c r="BV16" i="1"/>
  <c r="BS16" i="1"/>
  <c r="BV20" i="1"/>
  <c r="BS20" i="1"/>
  <c r="BT20" i="1"/>
  <c r="BS15" i="1"/>
  <c r="BV15" i="1"/>
  <c r="BT15" i="1"/>
  <c r="BS22" i="1"/>
  <c r="BT22" i="1"/>
  <c r="BV22" i="1"/>
  <c r="BT18" i="1"/>
  <c r="BV18" i="1"/>
  <c r="BS18" i="1"/>
  <c r="X29" i="1"/>
  <c r="BQ29" i="1" s="1"/>
  <c r="BR29" i="1" s="1"/>
  <c r="X25" i="1"/>
  <c r="BQ25" i="1" s="1"/>
  <c r="BR25" i="1" s="1"/>
  <c r="X27" i="1"/>
  <c r="BQ27" i="1" s="1"/>
  <c r="BR27" i="1" s="1"/>
  <c r="X28" i="1"/>
  <c r="BQ28" i="1" s="1"/>
  <c r="BR28" i="1" s="1"/>
  <c r="X26" i="1"/>
  <c r="BQ26" i="1" s="1"/>
  <c r="BR26" i="1" s="1"/>
  <c r="X24" i="1"/>
  <c r="BQ24" i="1" s="1"/>
  <c r="BR24" i="1" s="1"/>
  <c r="X32" i="1"/>
  <c r="BQ32" i="1" s="1"/>
  <c r="BR32" i="1" s="1"/>
  <c r="X30" i="1"/>
  <c r="BQ30" i="1" s="1"/>
  <c r="BR30" i="1" s="1"/>
  <c r="X31" i="1"/>
  <c r="BQ31" i="1" s="1"/>
  <c r="BR31" i="1" s="1"/>
  <c r="X36" i="1"/>
  <c r="BQ36" i="1" s="1"/>
  <c r="BR36" i="1" s="1"/>
  <c r="EQ13" i="1"/>
  <c r="EC205" i="1"/>
  <c r="EC149" i="1"/>
  <c r="EC30" i="1"/>
  <c r="EC329" i="1"/>
  <c r="EC289" i="1"/>
  <c r="EC115" i="1"/>
  <c r="EC120" i="1"/>
  <c r="EC190" i="1"/>
  <c r="EC90" i="1"/>
  <c r="EC73" i="1"/>
  <c r="EC95" i="1"/>
  <c r="EC151" i="1"/>
  <c r="EC134" i="1"/>
  <c r="EC176" i="1"/>
  <c r="EC161" i="1"/>
  <c r="EC292" i="1"/>
  <c r="EC324" i="1"/>
  <c r="EC102" i="1"/>
  <c r="EC177" i="1"/>
  <c r="EC157" i="1"/>
  <c r="EQ30" i="1"/>
  <c r="EC181" i="1"/>
  <c r="EC210" i="1"/>
  <c r="EC287" i="1"/>
  <c r="EC110" i="1"/>
  <c r="EC125" i="1"/>
  <c r="EC186" i="1"/>
  <c r="EC77" i="1"/>
  <c r="EC96" i="1"/>
  <c r="EC147" i="1"/>
  <c r="EC256" i="1"/>
  <c r="EC31" i="1"/>
  <c r="EC172" i="1"/>
  <c r="EC305" i="1"/>
  <c r="EC291" i="1"/>
  <c r="EC237" i="1"/>
  <c r="EC327" i="1"/>
  <c r="EC130" i="1"/>
  <c r="EC174" i="1"/>
  <c r="EC233" i="1"/>
  <c r="EQ130" i="1"/>
  <c r="EC52" i="1"/>
  <c r="EC217" i="1"/>
  <c r="EC272" i="1"/>
  <c r="EC117" i="1"/>
  <c r="EC206" i="1"/>
  <c r="EC193" i="1"/>
  <c r="EA30" i="1"/>
  <c r="EC98" i="1"/>
  <c r="EC76" i="1"/>
  <c r="EC143" i="1"/>
  <c r="EC155" i="1"/>
  <c r="EC255" i="1"/>
  <c r="EC221" i="1"/>
  <c r="EC28" i="1"/>
  <c r="EE28" i="1" s="1"/>
  <c r="EM28" i="1" s="1"/>
  <c r="EC167" i="1"/>
  <c r="EC300" i="1"/>
  <c r="EC229" i="1"/>
  <c r="EC317" i="1"/>
  <c r="EC109" i="1"/>
  <c r="EC85" i="1"/>
  <c r="EC59" i="1"/>
  <c r="EC302" i="1"/>
  <c r="EQ174" i="1"/>
  <c r="EQ205" i="1"/>
  <c r="EC334" i="1"/>
  <c r="EC246" i="1"/>
  <c r="EC51" i="1"/>
  <c r="EC209" i="1"/>
  <c r="EC284" i="1"/>
  <c r="EC281" i="1"/>
  <c r="EC19" i="1"/>
  <c r="EE19" i="1" s="1"/>
  <c r="EM19" i="1" s="1"/>
  <c r="EC113" i="1"/>
  <c r="EC208" i="1"/>
  <c r="EC203" i="1"/>
  <c r="EC82" i="1"/>
  <c r="EC99" i="1"/>
  <c r="EC140" i="1"/>
  <c r="EC260" i="1"/>
  <c r="EC24" i="1"/>
  <c r="EE24" i="1" s="1"/>
  <c r="EM24" i="1" s="1"/>
  <c r="EC170" i="1"/>
  <c r="EC311" i="1"/>
  <c r="EC297" i="1"/>
  <c r="EC316" i="1"/>
  <c r="EC92" i="1"/>
  <c r="EC332" i="1"/>
  <c r="EC247" i="1"/>
  <c r="EC215" i="1"/>
  <c r="EC268" i="1"/>
  <c r="EC271" i="1"/>
  <c r="EC124" i="1"/>
  <c r="EC197" i="1"/>
  <c r="EC196" i="1"/>
  <c r="EC104" i="1"/>
  <c r="EC88" i="1"/>
  <c r="EC153" i="1"/>
  <c r="EC258" i="1"/>
  <c r="EC171" i="1"/>
  <c r="EC298" i="1"/>
  <c r="EC293" i="1"/>
  <c r="EC238" i="1"/>
  <c r="EC325" i="1"/>
  <c r="EC42" i="1"/>
  <c r="EQ149" i="1"/>
  <c r="EC337" i="1"/>
  <c r="EC45" i="1"/>
  <c r="EC248" i="1"/>
  <c r="EC55" i="1"/>
  <c r="EC212" i="1"/>
  <c r="EC269" i="1"/>
  <c r="EC270" i="1"/>
  <c r="EC20" i="1"/>
  <c r="EE20" i="1" s="1"/>
  <c r="EM20" i="1" s="1"/>
  <c r="DF20" i="1"/>
  <c r="EC111" i="1"/>
  <c r="EC207" i="1"/>
  <c r="EC79" i="1"/>
  <c r="EC107" i="1"/>
  <c r="EC133" i="1"/>
  <c r="EC67" i="1"/>
  <c r="EC259" i="1"/>
  <c r="EC223" i="1"/>
  <c r="EC162" i="1"/>
  <c r="EC304" i="1"/>
  <c r="EC307" i="1"/>
  <c r="EC236" i="1"/>
  <c r="EC320" i="1"/>
  <c r="EC335" i="1"/>
  <c r="EC250" i="1"/>
  <c r="EC53" i="1"/>
  <c r="EC218" i="1"/>
  <c r="EC279" i="1"/>
  <c r="EC267" i="1"/>
  <c r="EC17" i="1"/>
  <c r="EE17" i="1" s="1"/>
  <c r="EM17" i="1" s="1"/>
  <c r="EC122" i="1"/>
  <c r="EC184" i="1"/>
  <c r="EC188" i="1"/>
  <c r="EC84" i="1"/>
  <c r="EC137" i="1"/>
  <c r="EC61" i="1"/>
  <c r="EC257" i="1"/>
  <c r="EC222" i="1"/>
  <c r="EC160" i="1"/>
  <c r="EC310" i="1"/>
  <c r="EG36" i="1"/>
  <c r="EC230" i="1"/>
  <c r="EC318" i="1"/>
  <c r="EC333" i="1"/>
  <c r="EC38" i="1"/>
  <c r="EC245" i="1"/>
  <c r="EC50" i="1"/>
  <c r="EC211" i="1"/>
  <c r="EC273" i="1"/>
  <c r="EC22" i="1"/>
  <c r="EE22" i="1" s="1"/>
  <c r="EM22" i="1" s="1"/>
  <c r="EC127" i="1"/>
  <c r="EC191" i="1"/>
  <c r="EC199" i="1"/>
  <c r="EC86" i="1"/>
  <c r="EC83" i="1"/>
  <c r="EC148" i="1"/>
  <c r="EC66" i="1"/>
  <c r="EC36" i="1"/>
  <c r="EC164" i="1"/>
  <c r="EC296" i="1"/>
  <c r="EC232" i="1"/>
  <c r="EC288" i="1"/>
  <c r="EC336" i="1"/>
  <c r="EC43" i="1"/>
  <c r="EC48" i="1"/>
  <c r="EC213" i="1"/>
  <c r="EC266" i="1"/>
  <c r="EC274" i="1"/>
  <c r="EC14" i="1"/>
  <c r="EE14" i="1" s="1"/>
  <c r="EM14" i="1" s="1"/>
  <c r="EC112" i="1"/>
  <c r="EC198" i="1"/>
  <c r="EC91" i="1"/>
  <c r="EC97" i="1"/>
  <c r="EC144" i="1"/>
  <c r="EC152" i="1"/>
  <c r="EC62" i="1"/>
  <c r="EC254" i="1"/>
  <c r="EC25" i="1"/>
  <c r="EE25" i="1" s="1"/>
  <c r="EM25" i="1" s="1"/>
  <c r="EC342" i="1"/>
  <c r="EC169" i="1"/>
  <c r="EC306" i="1"/>
  <c r="EC231" i="1"/>
  <c r="EC242" i="1"/>
  <c r="EC315" i="1"/>
  <c r="EC46" i="1"/>
  <c r="EC244" i="1"/>
  <c r="EC57" i="1"/>
  <c r="EC219" i="1"/>
  <c r="EC285" i="1"/>
  <c r="EC264" i="1"/>
  <c r="EC16" i="1"/>
  <c r="EE16" i="1" s="1"/>
  <c r="EM16" i="1" s="1"/>
  <c r="EC116" i="1"/>
  <c r="EC200" i="1"/>
  <c r="EC189" i="1"/>
  <c r="EC75" i="1"/>
  <c r="EC81" i="1"/>
  <c r="EC145" i="1"/>
  <c r="EC131" i="1"/>
  <c r="EC58" i="1"/>
  <c r="EC26" i="1"/>
  <c r="EE26" i="1" s="1"/>
  <c r="EM26" i="1" s="1"/>
  <c r="EC301" i="1"/>
  <c r="EC240" i="1"/>
  <c r="EC239" i="1"/>
  <c r="EC326" i="1"/>
  <c r="EQ288" i="1"/>
  <c r="EC39" i="1"/>
  <c r="EC249" i="1"/>
  <c r="EC49" i="1"/>
  <c r="EC216" i="1"/>
  <c r="EC283" i="1"/>
  <c r="EC265" i="1"/>
  <c r="EC23" i="1"/>
  <c r="EE23" i="1" s="1"/>
  <c r="EM23" i="1" s="1"/>
  <c r="EC121" i="1"/>
  <c r="EC201" i="1"/>
  <c r="EC187" i="1"/>
  <c r="EC93" i="1"/>
  <c r="EC78" i="1"/>
  <c r="EC142" i="1"/>
  <c r="EC141" i="1"/>
  <c r="EC64" i="1"/>
  <c r="EC253" i="1"/>
  <c r="EC27" i="1"/>
  <c r="EE27" i="1" s="1"/>
  <c r="EM27" i="1" s="1"/>
  <c r="EC340" i="1"/>
  <c r="EC166" i="1"/>
  <c r="EC290" i="1"/>
  <c r="EC228" i="1"/>
  <c r="EC313" i="1"/>
  <c r="EQ92" i="1"/>
  <c r="EC40" i="1"/>
  <c r="EC282" i="1"/>
  <c r="EC286" i="1"/>
  <c r="EC15" i="1"/>
  <c r="EE15" i="1" s="1"/>
  <c r="EM15" i="1" s="1"/>
  <c r="EC119" i="1"/>
  <c r="EC202" i="1"/>
  <c r="EC103" i="1"/>
  <c r="EC105" i="1"/>
  <c r="EC146" i="1"/>
  <c r="EC136" i="1"/>
  <c r="EC70" i="1"/>
  <c r="EC263" i="1"/>
  <c r="EC32" i="1"/>
  <c r="EC341" i="1"/>
  <c r="EC159" i="1"/>
  <c r="EC299" i="1"/>
  <c r="EC227" i="1"/>
  <c r="EC323" i="1"/>
  <c r="EC322" i="1"/>
  <c r="EQ329" i="1"/>
  <c r="EC41" i="1"/>
  <c r="EC214" i="1"/>
  <c r="EC278" i="1"/>
  <c r="EC276" i="1"/>
  <c r="EC18" i="1"/>
  <c r="EE18" i="1" s="1"/>
  <c r="EM18" i="1" s="1"/>
  <c r="EC123" i="1"/>
  <c r="EC80" i="1"/>
  <c r="EC108" i="1"/>
  <c r="EC72" i="1"/>
  <c r="EC150" i="1"/>
  <c r="EC60" i="1"/>
  <c r="EC29" i="1"/>
  <c r="EE29" i="1" s="1"/>
  <c r="EM29" i="1" s="1"/>
  <c r="EC165" i="1"/>
  <c r="EC294" i="1"/>
  <c r="EC235" i="1"/>
  <c r="EC319" i="1"/>
  <c r="EC312" i="1"/>
  <c r="EQ102" i="1"/>
  <c r="EC37" i="1"/>
  <c r="EC275" i="1"/>
  <c r="EC114" i="1"/>
  <c r="EC129" i="1"/>
  <c r="EC204" i="1"/>
  <c r="EC94" i="1"/>
  <c r="EC89" i="1"/>
  <c r="EC71" i="1"/>
  <c r="EC135" i="1"/>
  <c r="EC132" i="1"/>
  <c r="EC63" i="1"/>
  <c r="EC33" i="1"/>
  <c r="EC158" i="1"/>
  <c r="EC295" i="1"/>
  <c r="EC226" i="1"/>
  <c r="EC321" i="1"/>
  <c r="EC328" i="1"/>
  <c r="EC126" i="1"/>
  <c r="EQ59" i="1"/>
  <c r="EQ157" i="1"/>
  <c r="EC180" i="1"/>
  <c r="EC277" i="1"/>
  <c r="EC118" i="1"/>
  <c r="EC194" i="1"/>
  <c r="EC87" i="1"/>
  <c r="EC74" i="1"/>
  <c r="EC100" i="1"/>
  <c r="EC138" i="1"/>
  <c r="EC139" i="1"/>
  <c r="EC65" i="1"/>
  <c r="EC175" i="1"/>
  <c r="EC163" i="1"/>
  <c r="EC168" i="1"/>
  <c r="EC303" i="1"/>
  <c r="EC234" i="1"/>
  <c r="EC314" i="1"/>
  <c r="M29" i="5"/>
  <c r="M20" i="5"/>
  <c r="M15" i="5"/>
  <c r="M16" i="5"/>
  <c r="M13" i="5"/>
  <c r="M17" i="5"/>
  <c r="M25" i="5"/>
  <c r="M18" i="5"/>
  <c r="M21" i="5"/>
  <c r="M23" i="5"/>
  <c r="M11" i="5"/>
  <c r="M14" i="5"/>
  <c r="M12" i="5"/>
  <c r="M10" i="5"/>
  <c r="M26" i="5"/>
  <c r="M9" i="5"/>
  <c r="M24" i="5"/>
  <c r="M22" i="5"/>
  <c r="M8" i="5"/>
  <c r="U8" i="5" s="1"/>
  <c r="J8" i="5" s="1"/>
  <c r="M28" i="5"/>
  <c r="EC13" i="1"/>
  <c r="EE13" i="1" s="1"/>
  <c r="EM13" i="1" s="1"/>
  <c r="M33" i="7"/>
  <c r="P10" i="15"/>
  <c r="M22" i="7"/>
  <c r="AG30" i="1" l="1"/>
  <c r="AC31" i="1"/>
  <c r="BT25" i="1"/>
  <c r="BV25" i="1"/>
  <c r="BS25" i="1"/>
  <c r="BV29" i="1"/>
  <c r="BS29" i="1"/>
  <c r="BT29" i="1"/>
  <c r="BV36" i="1"/>
  <c r="BT36" i="1"/>
  <c r="BS36" i="1"/>
  <c r="BT31" i="1"/>
  <c r="BV31" i="1"/>
  <c r="BS31" i="1"/>
  <c r="BS30" i="1"/>
  <c r="BV30" i="1"/>
  <c r="BT30" i="1"/>
  <c r="BV32" i="1"/>
  <c r="BS32" i="1"/>
  <c r="BT32" i="1"/>
  <c r="BV24" i="1"/>
  <c r="BT24" i="1"/>
  <c r="BS24" i="1"/>
  <c r="BV26" i="1"/>
  <c r="BT26" i="1"/>
  <c r="BS26" i="1"/>
  <c r="BV28" i="1"/>
  <c r="BT28" i="1"/>
  <c r="BS28" i="1"/>
  <c r="BT27" i="1"/>
  <c r="BV27" i="1"/>
  <c r="BS27" i="1"/>
  <c r="X41" i="1"/>
  <c r="BQ41" i="1" s="1"/>
  <c r="BR41" i="1" s="1"/>
  <c r="X42" i="1"/>
  <c r="BQ42" i="1" s="1"/>
  <c r="BR42" i="1" s="1"/>
  <c r="X37" i="1"/>
  <c r="BQ37" i="1" s="1"/>
  <c r="BR37" i="1" s="1"/>
  <c r="X43" i="1"/>
  <c r="BQ43" i="1" s="1"/>
  <c r="BR43" i="1" s="1"/>
  <c r="X45" i="1"/>
  <c r="BQ45" i="1" s="1"/>
  <c r="BR45" i="1" s="1"/>
  <c r="X39" i="1"/>
  <c r="BQ39" i="1" s="1"/>
  <c r="BR39" i="1" s="1"/>
  <c r="X46" i="1"/>
  <c r="BQ46" i="1" s="1"/>
  <c r="BR46" i="1" s="1"/>
  <c r="X40" i="1"/>
  <c r="BQ40" i="1" s="1"/>
  <c r="BR40" i="1" s="1"/>
  <c r="X38" i="1"/>
  <c r="BQ38" i="1" s="1"/>
  <c r="BR38" i="1" s="1"/>
  <c r="EE30" i="1"/>
  <c r="EM30" i="1" s="1"/>
  <c r="EP47" i="1"/>
  <c r="EP44" i="1"/>
  <c r="EW35" i="1"/>
  <c r="EP35" i="1"/>
  <c r="EH14" i="1"/>
  <c r="EH23" i="1"/>
  <c r="EH25" i="1"/>
  <c r="EH22" i="1"/>
  <c r="EA31" i="1"/>
  <c r="EE31" i="1" s="1"/>
  <c r="EM31" i="1" s="1"/>
  <c r="EH33" i="1"/>
  <c r="EG37" i="1"/>
  <c r="EW34" i="1"/>
  <c r="EP34" i="1"/>
  <c r="EH27" i="1"/>
  <c r="EW21" i="1"/>
  <c r="EP21" i="1"/>
  <c r="EH36" i="1"/>
  <c r="EH17" i="1"/>
  <c r="EH30" i="1"/>
  <c r="EH15" i="1"/>
  <c r="EH16" i="1"/>
  <c r="EH19" i="1"/>
  <c r="EH18" i="1"/>
  <c r="EH26" i="1"/>
  <c r="EH32" i="1"/>
  <c r="EH24" i="1"/>
  <c r="EH31" i="1"/>
  <c r="DH20" i="1"/>
  <c r="DD20" i="1"/>
  <c r="EH29" i="1"/>
  <c r="EH20" i="1"/>
  <c r="EH28" i="1"/>
  <c r="EH13" i="1"/>
  <c r="BQ13" i="1"/>
  <c r="BR13" i="1" s="1"/>
  <c r="P11" i="15"/>
  <c r="AG31" i="1" l="1"/>
  <c r="AC32" i="1"/>
  <c r="BT43" i="1"/>
  <c r="BV43" i="1"/>
  <c r="BS43" i="1"/>
  <c r="BV37" i="1"/>
  <c r="BT37" i="1"/>
  <c r="BS37" i="1"/>
  <c r="BV42" i="1"/>
  <c r="BT42" i="1"/>
  <c r="BS42" i="1"/>
  <c r="EP42" i="1" s="1"/>
  <c r="BS38" i="1"/>
  <c r="EP38" i="1" s="1"/>
  <c r="BT38" i="1"/>
  <c r="BV38" i="1"/>
  <c r="BV41" i="1"/>
  <c r="BT41" i="1"/>
  <c r="BS41" i="1"/>
  <c r="BV40" i="1"/>
  <c r="BS40" i="1"/>
  <c r="EP40" i="1" s="1"/>
  <c r="BT40" i="1"/>
  <c r="BS46" i="1"/>
  <c r="EP46" i="1" s="1"/>
  <c r="BV46" i="1"/>
  <c r="BT46" i="1"/>
  <c r="BT39" i="1"/>
  <c r="BV39" i="1"/>
  <c r="BS39" i="1"/>
  <c r="BS45" i="1"/>
  <c r="EP45" i="1" s="1"/>
  <c r="BV45" i="1"/>
  <c r="BT45" i="1"/>
  <c r="EH37" i="1"/>
  <c r="X57" i="1"/>
  <c r="BQ57" i="1" s="1"/>
  <c r="BR57" i="1" s="1"/>
  <c r="X50" i="1"/>
  <c r="BQ50" i="1" s="1"/>
  <c r="BR50" i="1" s="1"/>
  <c r="X55" i="1"/>
  <c r="BQ55" i="1" s="1"/>
  <c r="BR55" i="1" s="1"/>
  <c r="X51" i="1"/>
  <c r="BQ51" i="1" s="1"/>
  <c r="BR51" i="1" s="1"/>
  <c r="X48" i="1"/>
  <c r="BQ48" i="1" s="1"/>
  <c r="BR48" i="1" s="1"/>
  <c r="X53" i="1"/>
  <c r="BQ53" i="1" s="1"/>
  <c r="BR53" i="1" s="1"/>
  <c r="X49" i="1"/>
  <c r="BQ49" i="1" s="1"/>
  <c r="BR49" i="1" s="1"/>
  <c r="X52" i="1"/>
  <c r="BQ52" i="1" s="1"/>
  <c r="BR52" i="1" s="1"/>
  <c r="EH40" i="1"/>
  <c r="EH38" i="1"/>
  <c r="EW47" i="1"/>
  <c r="EH41" i="1"/>
  <c r="EH42" i="1"/>
  <c r="EH46" i="1"/>
  <c r="EH45" i="1"/>
  <c r="EH39" i="1"/>
  <c r="EW44" i="1"/>
  <c r="EH43" i="1"/>
  <c r="EP27" i="1"/>
  <c r="EP16" i="1"/>
  <c r="EP36" i="1"/>
  <c r="EP31" i="1"/>
  <c r="EP26" i="1"/>
  <c r="EP14" i="1"/>
  <c r="EP29" i="1"/>
  <c r="EP15" i="1"/>
  <c r="EP22" i="1"/>
  <c r="EG38" i="1"/>
  <c r="EA32" i="1"/>
  <c r="EE32" i="1" s="1"/>
  <c r="EM32" i="1" s="1"/>
  <c r="EP32" i="1"/>
  <c r="EP25" i="1"/>
  <c r="EP18" i="1"/>
  <c r="EP23" i="1"/>
  <c r="EP20" i="1"/>
  <c r="EP33" i="1"/>
  <c r="EP28" i="1"/>
  <c r="BV13" i="1"/>
  <c r="BT13" i="1"/>
  <c r="BS13" i="1"/>
  <c r="P12" i="15"/>
  <c r="AG32" i="1" l="1"/>
  <c r="AC33" i="1"/>
  <c r="BV53" i="1"/>
  <c r="BT53" i="1"/>
  <c r="BS53" i="1"/>
  <c r="BV48" i="1"/>
  <c r="BT48" i="1"/>
  <c r="BS48" i="1"/>
  <c r="BT51" i="1"/>
  <c r="BS51" i="1"/>
  <c r="BV51" i="1"/>
  <c r="BV55" i="1"/>
  <c r="BT55" i="1"/>
  <c r="BS55" i="1"/>
  <c r="BS50" i="1"/>
  <c r="BV50" i="1"/>
  <c r="BT50" i="1"/>
  <c r="BS52" i="1"/>
  <c r="BV52" i="1"/>
  <c r="BT52" i="1"/>
  <c r="BS57" i="1"/>
  <c r="BV57" i="1"/>
  <c r="BT57" i="1"/>
  <c r="BV49" i="1"/>
  <c r="BT49" i="1"/>
  <c r="BS49" i="1"/>
  <c r="X65" i="1"/>
  <c r="BQ65" i="1" s="1"/>
  <c r="BR65" i="1" s="1"/>
  <c r="X58" i="1"/>
  <c r="BQ58" i="1" s="1"/>
  <c r="BR58" i="1" s="1"/>
  <c r="X59" i="1"/>
  <c r="BQ59" i="1" s="1"/>
  <c r="BR59" i="1" s="1"/>
  <c r="X64" i="1"/>
  <c r="BQ64" i="1" s="1"/>
  <c r="BR64" i="1" s="1"/>
  <c r="X66" i="1"/>
  <c r="BQ66" i="1" s="1"/>
  <c r="BR66" i="1" s="1"/>
  <c r="X67" i="1"/>
  <c r="BQ67" i="1" s="1"/>
  <c r="BR67" i="1" s="1"/>
  <c r="X63" i="1"/>
  <c r="BQ63" i="1" s="1"/>
  <c r="BR63" i="1" s="1"/>
  <c r="X62" i="1"/>
  <c r="BQ62" i="1" s="1"/>
  <c r="BR62" i="1" s="1"/>
  <c r="X60" i="1"/>
  <c r="BQ60" i="1" s="1"/>
  <c r="BR60" i="1" s="1"/>
  <c r="X61" i="1"/>
  <c r="BQ61" i="1" s="1"/>
  <c r="BR61" i="1" s="1"/>
  <c r="X70" i="1"/>
  <c r="BQ70" i="1" s="1"/>
  <c r="BR70" i="1" s="1"/>
  <c r="EH55" i="1"/>
  <c r="EP54" i="1"/>
  <c r="EW54" i="1"/>
  <c r="EH48" i="1"/>
  <c r="EP56" i="1"/>
  <c r="EW56" i="1"/>
  <c r="EH49" i="1"/>
  <c r="EH50" i="1"/>
  <c r="EH53" i="1"/>
  <c r="EH51" i="1"/>
  <c r="EH52" i="1"/>
  <c r="EH57" i="1"/>
  <c r="EG39" i="1"/>
  <c r="EA33" i="1"/>
  <c r="EE33" i="1" s="1"/>
  <c r="EM33" i="1" s="1"/>
  <c r="P13" i="15"/>
  <c r="AG33" i="1" l="1"/>
  <c r="AC36" i="1"/>
  <c r="BV60" i="1"/>
  <c r="BT60" i="1"/>
  <c r="BS60" i="1"/>
  <c r="BT62" i="1"/>
  <c r="BV62" i="1"/>
  <c r="BS62" i="1"/>
  <c r="BV58" i="1"/>
  <c r="BT58" i="1"/>
  <c r="BS58" i="1"/>
  <c r="BV70" i="1"/>
  <c r="BT70" i="1"/>
  <c r="BS70" i="1"/>
  <c r="BS65" i="1"/>
  <c r="BV65" i="1"/>
  <c r="BT65" i="1"/>
  <c r="BS61" i="1"/>
  <c r="BT61" i="1"/>
  <c r="BV61" i="1"/>
  <c r="BV63" i="1"/>
  <c r="BT63" i="1"/>
  <c r="BS63" i="1"/>
  <c r="BS67" i="1"/>
  <c r="BV67" i="1"/>
  <c r="BT67" i="1"/>
  <c r="BV66" i="1"/>
  <c r="BS66" i="1"/>
  <c r="BT66" i="1"/>
  <c r="BV64" i="1"/>
  <c r="BT64" i="1"/>
  <c r="BS64" i="1"/>
  <c r="BT59" i="1"/>
  <c r="BS59" i="1"/>
  <c r="BV59" i="1"/>
  <c r="X96" i="1"/>
  <c r="BQ96" i="1" s="1"/>
  <c r="BR96" i="1" s="1"/>
  <c r="X79" i="1"/>
  <c r="BQ79" i="1" s="1"/>
  <c r="BR79" i="1" s="1"/>
  <c r="X97" i="1"/>
  <c r="BQ97" i="1" s="1"/>
  <c r="BR97" i="1" s="1"/>
  <c r="X91" i="1"/>
  <c r="BQ91" i="1" s="1"/>
  <c r="BR91" i="1" s="1"/>
  <c r="X107" i="1"/>
  <c r="BQ107" i="1" s="1"/>
  <c r="BR107" i="1" s="1"/>
  <c r="X72" i="1"/>
  <c r="BQ72" i="1" s="1"/>
  <c r="BR72" i="1" s="1"/>
  <c r="X95" i="1"/>
  <c r="BQ95" i="1" s="1"/>
  <c r="BR95" i="1" s="1"/>
  <c r="X82" i="1"/>
  <c r="BQ82" i="1" s="1"/>
  <c r="BR82" i="1" s="1"/>
  <c r="X104" i="1"/>
  <c r="BQ104" i="1" s="1"/>
  <c r="BR104" i="1" s="1"/>
  <c r="X78" i="1"/>
  <c r="BQ78" i="1" s="1"/>
  <c r="BR78" i="1" s="1"/>
  <c r="X99" i="1"/>
  <c r="BQ99" i="1" s="1"/>
  <c r="BR99" i="1" s="1"/>
  <c r="X102" i="1"/>
  <c r="BQ102" i="1" s="1"/>
  <c r="BR102" i="1" s="1"/>
  <c r="X105" i="1"/>
  <c r="BQ105" i="1" s="1"/>
  <c r="BR105" i="1" s="1"/>
  <c r="X94" i="1"/>
  <c r="BQ94" i="1" s="1"/>
  <c r="BR94" i="1" s="1"/>
  <c r="X89" i="1"/>
  <c r="BQ89" i="1" s="1"/>
  <c r="BR89" i="1" s="1"/>
  <c r="X84" i="1"/>
  <c r="BQ84" i="1" s="1"/>
  <c r="BR84" i="1" s="1"/>
  <c r="X81" i="1"/>
  <c r="BQ81" i="1" s="1"/>
  <c r="BR81" i="1" s="1"/>
  <c r="X75" i="1"/>
  <c r="BQ75" i="1" s="1"/>
  <c r="BR75" i="1" s="1"/>
  <c r="X86" i="1"/>
  <c r="BQ86" i="1" s="1"/>
  <c r="BR86" i="1" s="1"/>
  <c r="X76" i="1"/>
  <c r="BQ76" i="1" s="1"/>
  <c r="BR76" i="1" s="1"/>
  <c r="X77" i="1"/>
  <c r="BQ77" i="1" s="1"/>
  <c r="BR77" i="1" s="1"/>
  <c r="X73" i="1"/>
  <c r="BQ73" i="1" s="1"/>
  <c r="BR73" i="1" s="1"/>
  <c r="X74" i="1"/>
  <c r="BQ74" i="1" s="1"/>
  <c r="BR74" i="1" s="1"/>
  <c r="X103" i="1"/>
  <c r="BQ103" i="1" s="1"/>
  <c r="BR103" i="1" s="1"/>
  <c r="X80" i="1"/>
  <c r="BQ80" i="1" s="1"/>
  <c r="BR80" i="1" s="1"/>
  <c r="X71" i="1"/>
  <c r="BQ71" i="1" s="1"/>
  <c r="BR71" i="1" s="1"/>
  <c r="X90" i="1"/>
  <c r="BQ90" i="1" s="1"/>
  <c r="BR90" i="1" s="1"/>
  <c r="X100" i="1"/>
  <c r="BQ100" i="1" s="1"/>
  <c r="BR100" i="1" s="1"/>
  <c r="X88" i="1"/>
  <c r="BQ88" i="1" s="1"/>
  <c r="BR88" i="1" s="1"/>
  <c r="X108" i="1"/>
  <c r="BQ108" i="1" s="1"/>
  <c r="BR108" i="1" s="1"/>
  <c r="X92" i="1"/>
  <c r="BQ92" i="1" s="1"/>
  <c r="BR92" i="1" s="1"/>
  <c r="X83" i="1"/>
  <c r="BQ83" i="1" s="1"/>
  <c r="BR83" i="1" s="1"/>
  <c r="X87" i="1"/>
  <c r="BQ87" i="1" s="1"/>
  <c r="BR87" i="1" s="1"/>
  <c r="X98" i="1"/>
  <c r="BQ98" i="1" s="1"/>
  <c r="BR98" i="1" s="1"/>
  <c r="X93" i="1"/>
  <c r="BQ93" i="1" s="1"/>
  <c r="BR93" i="1" s="1"/>
  <c r="X85" i="1"/>
  <c r="BQ85" i="1" s="1"/>
  <c r="BR85" i="1" s="1"/>
  <c r="EH60" i="1"/>
  <c r="EH70" i="1"/>
  <c r="EP50" i="1"/>
  <c r="EP53" i="1"/>
  <c r="EP49" i="1"/>
  <c r="EH64" i="1"/>
  <c r="EP51" i="1"/>
  <c r="EH62" i="1"/>
  <c r="EH63" i="1"/>
  <c r="EH66" i="1"/>
  <c r="EP48" i="1"/>
  <c r="EP69" i="1"/>
  <c r="EW69" i="1"/>
  <c r="EH59" i="1"/>
  <c r="EH58" i="1"/>
  <c r="EW68" i="1"/>
  <c r="EP68" i="1"/>
  <c r="EH67" i="1"/>
  <c r="EP57" i="1"/>
  <c r="EP52" i="1"/>
  <c r="EH65" i="1"/>
  <c r="EH61" i="1"/>
  <c r="EP55" i="1"/>
  <c r="EG40" i="1"/>
  <c r="EA36" i="1"/>
  <c r="EE36" i="1" s="1"/>
  <c r="EM36" i="1" s="1"/>
  <c r="P14" i="15"/>
  <c r="AG36" i="1" l="1"/>
  <c r="AC37" i="1"/>
  <c r="BV73" i="1"/>
  <c r="BT73" i="1"/>
  <c r="BS73" i="1"/>
  <c r="BT98" i="1"/>
  <c r="BV98" i="1"/>
  <c r="BS98" i="1"/>
  <c r="BS75" i="1"/>
  <c r="BV75" i="1"/>
  <c r="BT75" i="1"/>
  <c r="BT81" i="1"/>
  <c r="BV81" i="1"/>
  <c r="BS81" i="1"/>
  <c r="BS96" i="1"/>
  <c r="BT96" i="1"/>
  <c r="BV96" i="1"/>
  <c r="BT83" i="1"/>
  <c r="BV83" i="1"/>
  <c r="BS83" i="1"/>
  <c r="BT84" i="1"/>
  <c r="BS84" i="1"/>
  <c r="BV84" i="1"/>
  <c r="BV92" i="1"/>
  <c r="BT92" i="1"/>
  <c r="BS92" i="1"/>
  <c r="BV89" i="1"/>
  <c r="BT89" i="1"/>
  <c r="BS89" i="1"/>
  <c r="BS85" i="1"/>
  <c r="BV85" i="1"/>
  <c r="BT85" i="1"/>
  <c r="BT105" i="1"/>
  <c r="BS105" i="1"/>
  <c r="BV105" i="1"/>
  <c r="BV74" i="1"/>
  <c r="BS74" i="1"/>
  <c r="BT74" i="1"/>
  <c r="BV93" i="1"/>
  <c r="BT93" i="1"/>
  <c r="BS93" i="1"/>
  <c r="BT88" i="1"/>
  <c r="BV88" i="1"/>
  <c r="BS88" i="1"/>
  <c r="BS77" i="1"/>
  <c r="BT77" i="1"/>
  <c r="BV77" i="1"/>
  <c r="BV108" i="1"/>
  <c r="BS108" i="1"/>
  <c r="BT108" i="1"/>
  <c r="BS94" i="1"/>
  <c r="BV94" i="1"/>
  <c r="BT94" i="1"/>
  <c r="BV100" i="1"/>
  <c r="BT100" i="1"/>
  <c r="BS100" i="1"/>
  <c r="BV102" i="1"/>
  <c r="BT102" i="1"/>
  <c r="BS102" i="1"/>
  <c r="BV90" i="1"/>
  <c r="BT90" i="1"/>
  <c r="BS90" i="1"/>
  <c r="BV99" i="1"/>
  <c r="BT99" i="1"/>
  <c r="BS99" i="1"/>
  <c r="BV71" i="1"/>
  <c r="BS71" i="1"/>
  <c r="BT71" i="1"/>
  <c r="BV78" i="1"/>
  <c r="BS78" i="1"/>
  <c r="BT78" i="1"/>
  <c r="BS80" i="1"/>
  <c r="BV80" i="1"/>
  <c r="BT80" i="1"/>
  <c r="BT104" i="1"/>
  <c r="BV104" i="1"/>
  <c r="BS104" i="1"/>
  <c r="BT82" i="1"/>
  <c r="BV82" i="1"/>
  <c r="BS82" i="1"/>
  <c r="BV95" i="1"/>
  <c r="BT95" i="1"/>
  <c r="BS95" i="1"/>
  <c r="BT72" i="1"/>
  <c r="BV72" i="1"/>
  <c r="BS72" i="1"/>
  <c r="BT107" i="1"/>
  <c r="BV107" i="1"/>
  <c r="BS107" i="1"/>
  <c r="BT103" i="1"/>
  <c r="BV103" i="1"/>
  <c r="BS103" i="1"/>
  <c r="BV91" i="1"/>
  <c r="BS91" i="1"/>
  <c r="BT91" i="1"/>
  <c r="BV97" i="1"/>
  <c r="BT97" i="1"/>
  <c r="BS97" i="1"/>
  <c r="BS76" i="1"/>
  <c r="BV76" i="1"/>
  <c r="BT76" i="1"/>
  <c r="BV79" i="1"/>
  <c r="BT79" i="1"/>
  <c r="BS79" i="1"/>
  <c r="BS87" i="1"/>
  <c r="BT87" i="1"/>
  <c r="BV87" i="1"/>
  <c r="BV86" i="1"/>
  <c r="BS86" i="1"/>
  <c r="BT86" i="1"/>
  <c r="X117" i="1"/>
  <c r="BQ117" i="1" s="1"/>
  <c r="BR117" i="1" s="1"/>
  <c r="X118" i="1"/>
  <c r="BQ118" i="1" s="1"/>
  <c r="BR118" i="1" s="1"/>
  <c r="X115" i="1"/>
  <c r="BQ115" i="1" s="1"/>
  <c r="BR115" i="1" s="1"/>
  <c r="X122" i="1"/>
  <c r="BQ122" i="1" s="1"/>
  <c r="BR122" i="1" s="1"/>
  <c r="X113" i="1"/>
  <c r="BQ113" i="1" s="1"/>
  <c r="BR113" i="1" s="1"/>
  <c r="X119" i="1"/>
  <c r="BQ119" i="1" s="1"/>
  <c r="BR119" i="1" s="1"/>
  <c r="X125" i="1"/>
  <c r="BQ125" i="1" s="1"/>
  <c r="BR125" i="1" s="1"/>
  <c r="X126" i="1"/>
  <c r="BQ126" i="1" s="1"/>
  <c r="BR126" i="1" s="1"/>
  <c r="X123" i="1"/>
  <c r="BQ123" i="1" s="1"/>
  <c r="BR123" i="1" s="1"/>
  <c r="X121" i="1"/>
  <c r="BQ121" i="1" s="1"/>
  <c r="BR121" i="1" s="1"/>
  <c r="X112" i="1"/>
  <c r="BQ112" i="1" s="1"/>
  <c r="BR112" i="1" s="1"/>
  <c r="X114" i="1"/>
  <c r="BQ114" i="1" s="1"/>
  <c r="BR114" i="1" s="1"/>
  <c r="X116" i="1"/>
  <c r="BQ116" i="1" s="1"/>
  <c r="BR116" i="1" s="1"/>
  <c r="X111" i="1"/>
  <c r="BQ111" i="1" s="1"/>
  <c r="BR111" i="1" s="1"/>
  <c r="X129" i="1"/>
  <c r="BQ129" i="1" s="1"/>
  <c r="BR129" i="1" s="1"/>
  <c r="X120" i="1"/>
  <c r="BQ120" i="1" s="1"/>
  <c r="BR120" i="1" s="1"/>
  <c r="X110" i="1"/>
  <c r="BQ110" i="1" s="1"/>
  <c r="BR110" i="1" s="1"/>
  <c r="X124" i="1"/>
  <c r="BQ124" i="1" s="1"/>
  <c r="BR124" i="1" s="1"/>
  <c r="X109" i="1"/>
  <c r="BQ109" i="1" s="1"/>
  <c r="BR109" i="1" s="1"/>
  <c r="X127" i="1"/>
  <c r="BQ127" i="1" s="1"/>
  <c r="BR127" i="1" s="1"/>
  <c r="EH82" i="1"/>
  <c r="EH103" i="1"/>
  <c r="EH98" i="1"/>
  <c r="EH88" i="1"/>
  <c r="EH81" i="1"/>
  <c r="EH80" i="1"/>
  <c r="EP64" i="1"/>
  <c r="EP66" i="1"/>
  <c r="EH85" i="1"/>
  <c r="EP67" i="1"/>
  <c r="EH104" i="1"/>
  <c r="EH94" i="1"/>
  <c r="EH91" i="1"/>
  <c r="EH102" i="1"/>
  <c r="EH74" i="1"/>
  <c r="EH73" i="1"/>
  <c r="EH75" i="1"/>
  <c r="EH76" i="1"/>
  <c r="EH107" i="1"/>
  <c r="EH78" i="1"/>
  <c r="EH71" i="1"/>
  <c r="EW106" i="1"/>
  <c r="EP106" i="1"/>
  <c r="EH83" i="1"/>
  <c r="EP58" i="1"/>
  <c r="EH93" i="1"/>
  <c r="EH79" i="1"/>
  <c r="EH77" i="1"/>
  <c r="EH100" i="1"/>
  <c r="EH108" i="1"/>
  <c r="EH72" i="1"/>
  <c r="EH89" i="1"/>
  <c r="EH105" i="1"/>
  <c r="EH86" i="1"/>
  <c r="EH87" i="1"/>
  <c r="EH92" i="1"/>
  <c r="EP61" i="1"/>
  <c r="EP101" i="1"/>
  <c r="EW101" i="1"/>
  <c r="EH95" i="1"/>
  <c r="EP70" i="1"/>
  <c r="EH99" i="1"/>
  <c r="EH90" i="1"/>
  <c r="EH97" i="1"/>
  <c r="EH84" i="1"/>
  <c r="EH96" i="1"/>
  <c r="EP60" i="1"/>
  <c r="EG41" i="1"/>
  <c r="EA37" i="1"/>
  <c r="EE37" i="1" s="1"/>
  <c r="EM37" i="1" s="1"/>
  <c r="P15" i="15"/>
  <c r="AG37" i="1" l="1"/>
  <c r="AC38" i="1"/>
  <c r="BT114" i="1"/>
  <c r="BS114" i="1"/>
  <c r="BV114" i="1"/>
  <c r="BV113" i="1"/>
  <c r="BT113" i="1"/>
  <c r="BS113" i="1"/>
  <c r="BV127" i="1"/>
  <c r="BT127" i="1"/>
  <c r="BS127" i="1"/>
  <c r="BV122" i="1"/>
  <c r="BS122" i="1"/>
  <c r="BT122" i="1"/>
  <c r="BV116" i="1"/>
  <c r="BT116" i="1"/>
  <c r="BS116" i="1"/>
  <c r="BS112" i="1"/>
  <c r="BT112" i="1"/>
  <c r="BV112" i="1"/>
  <c r="BT119" i="1"/>
  <c r="BV119" i="1"/>
  <c r="BS119" i="1"/>
  <c r="BV115" i="1"/>
  <c r="BT115" i="1"/>
  <c r="BS115" i="1"/>
  <c r="BS118" i="1"/>
  <c r="BV118" i="1"/>
  <c r="BT118" i="1"/>
  <c r="BV117" i="1"/>
  <c r="BT117" i="1"/>
  <c r="BS117" i="1"/>
  <c r="BV120" i="1"/>
  <c r="BT120" i="1"/>
  <c r="BS120" i="1"/>
  <c r="BT109" i="1"/>
  <c r="BV109" i="1"/>
  <c r="BS109" i="1"/>
  <c r="BV124" i="1"/>
  <c r="BT124" i="1"/>
  <c r="BS124" i="1"/>
  <c r="BV110" i="1"/>
  <c r="BT110" i="1"/>
  <c r="BS110" i="1"/>
  <c r="BT129" i="1"/>
  <c r="BS129" i="1"/>
  <c r="BV129" i="1"/>
  <c r="BV111" i="1"/>
  <c r="BS111" i="1"/>
  <c r="BT111" i="1"/>
  <c r="BS121" i="1"/>
  <c r="BT121" i="1"/>
  <c r="BV121" i="1"/>
  <c r="BV123" i="1"/>
  <c r="BT123" i="1"/>
  <c r="BS123" i="1"/>
  <c r="BS126" i="1"/>
  <c r="BV126" i="1"/>
  <c r="BT126" i="1"/>
  <c r="BV125" i="1"/>
  <c r="BS125" i="1"/>
  <c r="BT125" i="1"/>
  <c r="X141" i="1"/>
  <c r="BQ141" i="1" s="1"/>
  <c r="BR141" i="1" s="1"/>
  <c r="X138" i="1"/>
  <c r="BQ138" i="1" s="1"/>
  <c r="BR138" i="1" s="1"/>
  <c r="X137" i="1"/>
  <c r="BQ137" i="1" s="1"/>
  <c r="BR137" i="1" s="1"/>
  <c r="X153" i="1"/>
  <c r="BQ153" i="1" s="1"/>
  <c r="BR153" i="1" s="1"/>
  <c r="X149" i="1"/>
  <c r="BQ149" i="1" s="1"/>
  <c r="BR149" i="1" s="1"/>
  <c r="X155" i="1"/>
  <c r="BQ155" i="1" s="1"/>
  <c r="BR155" i="1" s="1"/>
  <c r="X143" i="1"/>
  <c r="BQ143" i="1" s="1"/>
  <c r="BR143" i="1" s="1"/>
  <c r="X145" i="1"/>
  <c r="BQ145" i="1" s="1"/>
  <c r="BR145" i="1" s="1"/>
  <c r="X133" i="1"/>
  <c r="BQ133" i="1" s="1"/>
  <c r="BR133" i="1" s="1"/>
  <c r="X144" i="1"/>
  <c r="BQ144" i="1" s="1"/>
  <c r="BR144" i="1" s="1"/>
  <c r="X150" i="1"/>
  <c r="BQ150" i="1" s="1"/>
  <c r="BR150" i="1" s="1"/>
  <c r="X147" i="1"/>
  <c r="BQ147" i="1" s="1"/>
  <c r="BR147" i="1" s="1"/>
  <c r="X139" i="1"/>
  <c r="BQ139" i="1" s="1"/>
  <c r="BR139" i="1" s="1"/>
  <c r="X140" i="1"/>
  <c r="BQ140" i="1" s="1"/>
  <c r="BR140" i="1" s="1"/>
  <c r="X134" i="1"/>
  <c r="BQ134" i="1" s="1"/>
  <c r="BR134" i="1" s="1"/>
  <c r="X131" i="1"/>
  <c r="BQ131" i="1" s="1"/>
  <c r="BR131" i="1" s="1"/>
  <c r="X152" i="1"/>
  <c r="BQ152" i="1" s="1"/>
  <c r="BR152" i="1" s="1"/>
  <c r="X151" i="1"/>
  <c r="BQ151" i="1" s="1"/>
  <c r="BR151" i="1" s="1"/>
  <c r="X146" i="1"/>
  <c r="BQ146" i="1" s="1"/>
  <c r="BR146" i="1" s="1"/>
  <c r="X132" i="1"/>
  <c r="BQ132" i="1" s="1"/>
  <c r="BR132" i="1" s="1"/>
  <c r="X130" i="1"/>
  <c r="BQ130" i="1" s="1"/>
  <c r="BR130" i="1" s="1"/>
  <c r="X148" i="1"/>
  <c r="BQ148" i="1" s="1"/>
  <c r="BR148" i="1" s="1"/>
  <c r="X135" i="1"/>
  <c r="BQ135" i="1" s="1"/>
  <c r="BR135" i="1" s="1"/>
  <c r="X142" i="1"/>
  <c r="BQ142" i="1" s="1"/>
  <c r="BR142" i="1" s="1"/>
  <c r="X136" i="1"/>
  <c r="BQ136" i="1" s="1"/>
  <c r="BR136" i="1" s="1"/>
  <c r="EH117" i="1"/>
  <c r="EP72" i="1"/>
  <c r="EP74" i="1"/>
  <c r="EP102" i="1"/>
  <c r="EH110" i="1"/>
  <c r="EH123" i="1"/>
  <c r="EP97" i="1"/>
  <c r="EH120" i="1"/>
  <c r="EP100" i="1"/>
  <c r="EP71" i="1"/>
  <c r="EP91" i="1"/>
  <c r="EH112" i="1"/>
  <c r="EP80" i="1"/>
  <c r="EP89" i="1"/>
  <c r="EH124" i="1"/>
  <c r="EP77" i="1"/>
  <c r="EP78" i="1"/>
  <c r="EP94" i="1"/>
  <c r="EP105" i="1"/>
  <c r="EH121" i="1"/>
  <c r="EP108" i="1"/>
  <c r="EP92" i="1"/>
  <c r="EH115" i="1"/>
  <c r="EP79" i="1"/>
  <c r="EP107" i="1"/>
  <c r="EP104" i="1"/>
  <c r="EP90" i="1"/>
  <c r="EP76" i="1"/>
  <c r="EP88" i="1"/>
  <c r="EP95" i="1"/>
  <c r="EP87" i="1"/>
  <c r="EH114" i="1"/>
  <c r="EH129" i="1"/>
  <c r="EP93" i="1"/>
  <c r="EH109" i="1"/>
  <c r="EH122" i="1"/>
  <c r="EP98" i="1"/>
  <c r="EP84" i="1"/>
  <c r="EH125" i="1"/>
  <c r="EP99" i="1"/>
  <c r="EP86" i="1"/>
  <c r="EH116" i="1"/>
  <c r="EH113" i="1"/>
  <c r="EP75" i="1"/>
  <c r="EP103" i="1"/>
  <c r="EH111" i="1"/>
  <c r="EH118" i="1"/>
  <c r="EP73" i="1"/>
  <c r="EP85" i="1"/>
  <c r="EP128" i="1"/>
  <c r="EW128" i="1"/>
  <c r="EH126" i="1"/>
  <c r="EP82" i="1"/>
  <c r="EH127" i="1"/>
  <c r="EP96" i="1"/>
  <c r="EH119" i="1"/>
  <c r="EP83" i="1"/>
  <c r="EA38" i="1"/>
  <c r="EE38" i="1" s="1"/>
  <c r="EM38" i="1" s="1"/>
  <c r="EG42" i="1"/>
  <c r="P16" i="15"/>
  <c r="AG38" i="1" l="1"/>
  <c r="AC39" i="1"/>
  <c r="BT153" i="1"/>
  <c r="BS153" i="1"/>
  <c r="BV153" i="1"/>
  <c r="BS151" i="1"/>
  <c r="BV151" i="1"/>
  <c r="BT151" i="1"/>
  <c r="BT138" i="1"/>
  <c r="BV138" i="1"/>
  <c r="BS138" i="1"/>
  <c r="BV132" i="1"/>
  <c r="BS132" i="1"/>
  <c r="BT132" i="1"/>
  <c r="BT137" i="1"/>
  <c r="BV137" i="1"/>
  <c r="BS137" i="1"/>
  <c r="BS141" i="1"/>
  <c r="BV141" i="1"/>
  <c r="BT141" i="1"/>
  <c r="BT146" i="1"/>
  <c r="BS146" i="1"/>
  <c r="BV146" i="1"/>
  <c r="BV152" i="1"/>
  <c r="BS152" i="1"/>
  <c r="BT152" i="1"/>
  <c r="BT131" i="1"/>
  <c r="BV131" i="1"/>
  <c r="BS131" i="1"/>
  <c r="BT134" i="1"/>
  <c r="BV134" i="1"/>
  <c r="BS134" i="1"/>
  <c r="BT140" i="1"/>
  <c r="BV140" i="1"/>
  <c r="BS140" i="1"/>
  <c r="BT139" i="1"/>
  <c r="BV139" i="1"/>
  <c r="BS139" i="1"/>
  <c r="BS147" i="1"/>
  <c r="BV147" i="1"/>
  <c r="BT147" i="1"/>
  <c r="BV150" i="1"/>
  <c r="BT150" i="1"/>
  <c r="BS150" i="1"/>
  <c r="BV144" i="1"/>
  <c r="BT144" i="1"/>
  <c r="BS144" i="1"/>
  <c r="BT136" i="1"/>
  <c r="BS136" i="1"/>
  <c r="BV136" i="1"/>
  <c r="BV133" i="1"/>
  <c r="BT133" i="1"/>
  <c r="BS133" i="1"/>
  <c r="BV142" i="1"/>
  <c r="BT142" i="1"/>
  <c r="BS142" i="1"/>
  <c r="BT145" i="1"/>
  <c r="BV145" i="1"/>
  <c r="BS145" i="1"/>
  <c r="BV135" i="1"/>
  <c r="BT135" i="1"/>
  <c r="BS135" i="1"/>
  <c r="BT143" i="1"/>
  <c r="BV143" i="1"/>
  <c r="BS143" i="1"/>
  <c r="BV148" i="1"/>
  <c r="BT148" i="1"/>
  <c r="BS148" i="1"/>
  <c r="BV155" i="1"/>
  <c r="BT155" i="1"/>
  <c r="BS155" i="1"/>
  <c r="BV130" i="1"/>
  <c r="BT130" i="1"/>
  <c r="BS130" i="1"/>
  <c r="BT149" i="1"/>
  <c r="BS149" i="1"/>
  <c r="BV149" i="1"/>
  <c r="X166" i="1"/>
  <c r="BQ166" i="1" s="1"/>
  <c r="BR166" i="1" s="1"/>
  <c r="X174" i="1"/>
  <c r="BQ174" i="1" s="1"/>
  <c r="BR174" i="1" s="1"/>
  <c r="X171" i="1"/>
  <c r="BQ171" i="1" s="1"/>
  <c r="BR171" i="1" s="1"/>
  <c r="X168" i="1"/>
  <c r="BQ168" i="1" s="1"/>
  <c r="BR168" i="1" s="1"/>
  <c r="X159" i="1"/>
  <c r="BQ159" i="1" s="1"/>
  <c r="BR159" i="1" s="1"/>
  <c r="X160" i="1"/>
  <c r="BQ160" i="1" s="1"/>
  <c r="BR160" i="1" s="1"/>
  <c r="X169" i="1"/>
  <c r="BQ169" i="1" s="1"/>
  <c r="BR169" i="1" s="1"/>
  <c r="X172" i="1"/>
  <c r="BQ172" i="1" s="1"/>
  <c r="BR172" i="1" s="1"/>
  <c r="X165" i="1"/>
  <c r="BQ165" i="1" s="1"/>
  <c r="BR165" i="1" s="1"/>
  <c r="X161" i="1"/>
  <c r="BQ161" i="1" s="1"/>
  <c r="BR161" i="1" s="1"/>
  <c r="X170" i="1"/>
  <c r="BQ170" i="1" s="1"/>
  <c r="BR170" i="1" s="1"/>
  <c r="X162" i="1"/>
  <c r="BQ162" i="1" s="1"/>
  <c r="BR162" i="1" s="1"/>
  <c r="X164" i="1"/>
  <c r="BQ164" i="1" s="1"/>
  <c r="BR164" i="1" s="1"/>
  <c r="X158" i="1"/>
  <c r="BQ158" i="1" s="1"/>
  <c r="BR158" i="1" s="1"/>
  <c r="X157" i="1"/>
  <c r="BQ157" i="1" s="1"/>
  <c r="BR157" i="1" s="1"/>
  <c r="X163" i="1"/>
  <c r="BQ163" i="1" s="1"/>
  <c r="BR163" i="1" s="1"/>
  <c r="X167" i="1"/>
  <c r="BQ167" i="1" s="1"/>
  <c r="BR167" i="1" s="1"/>
  <c r="EH142" i="1"/>
  <c r="EH148" i="1"/>
  <c r="EP115" i="1"/>
  <c r="EP112" i="1"/>
  <c r="EH155" i="1"/>
  <c r="EP118" i="1"/>
  <c r="EH135" i="1"/>
  <c r="EP119" i="1"/>
  <c r="EH139" i="1"/>
  <c r="EP110" i="1"/>
  <c r="EP129" i="1"/>
  <c r="EH150" i="1"/>
  <c r="EH143" i="1"/>
  <c r="EH147" i="1"/>
  <c r="EH138" i="1"/>
  <c r="EP125" i="1"/>
  <c r="EH134" i="1"/>
  <c r="EH131" i="1"/>
  <c r="EP114" i="1"/>
  <c r="EH146" i="1"/>
  <c r="EH141" i="1"/>
  <c r="EH137" i="1"/>
  <c r="EH153" i="1"/>
  <c r="EH140" i="1"/>
  <c r="EW154" i="1"/>
  <c r="EP154" i="1"/>
  <c r="EP127" i="1"/>
  <c r="EW156" i="1"/>
  <c r="EP156" i="1"/>
  <c r="EP124" i="1"/>
  <c r="EP126" i="1"/>
  <c r="EH144" i="1"/>
  <c r="EH136" i="1"/>
  <c r="EH133" i="1"/>
  <c r="EH130" i="1"/>
  <c r="EP121" i="1"/>
  <c r="EH151" i="1"/>
  <c r="EP120" i="1"/>
  <c r="EH132" i="1"/>
  <c r="EP116" i="1"/>
  <c r="EP122" i="1"/>
  <c r="EP117" i="1"/>
  <c r="EH152" i="1"/>
  <c r="EH145" i="1"/>
  <c r="EH149" i="1"/>
  <c r="EA39" i="1"/>
  <c r="EE39" i="1" s="1"/>
  <c r="EM39" i="1" s="1"/>
  <c r="EG43" i="1"/>
  <c r="P17" i="15"/>
  <c r="AT7" i="1"/>
  <c r="AG39" i="1" l="1"/>
  <c r="AC40" i="1"/>
  <c r="BV169" i="1"/>
  <c r="BS169" i="1"/>
  <c r="BT169" i="1"/>
  <c r="BS159" i="1"/>
  <c r="BT159" i="1"/>
  <c r="BV159" i="1"/>
  <c r="BV168" i="1"/>
  <c r="BS168" i="1"/>
  <c r="BT168" i="1"/>
  <c r="BT171" i="1"/>
  <c r="BV171" i="1"/>
  <c r="BS171" i="1"/>
  <c r="BV167" i="1"/>
  <c r="BT167" i="1"/>
  <c r="BS167" i="1"/>
  <c r="BV166" i="1"/>
  <c r="BS166" i="1"/>
  <c r="BT166" i="1"/>
  <c r="BT165" i="1"/>
  <c r="BS165" i="1"/>
  <c r="BV165" i="1"/>
  <c r="BV174" i="1"/>
  <c r="BT174" i="1"/>
  <c r="BS174" i="1"/>
  <c r="BV163" i="1"/>
  <c r="BT163" i="1"/>
  <c r="BS163" i="1"/>
  <c r="BV157" i="1"/>
  <c r="BS157" i="1"/>
  <c r="BT157" i="1"/>
  <c r="BV164" i="1"/>
  <c r="BT164" i="1"/>
  <c r="BS164" i="1"/>
  <c r="BV158" i="1"/>
  <c r="BS158" i="1"/>
  <c r="BT158" i="1"/>
  <c r="BT162" i="1"/>
  <c r="BS162" i="1"/>
  <c r="BV162" i="1"/>
  <c r="BV170" i="1"/>
  <c r="BT170" i="1"/>
  <c r="BS170" i="1"/>
  <c r="BT172" i="1"/>
  <c r="BV172" i="1"/>
  <c r="BS172" i="1"/>
  <c r="BV161" i="1"/>
  <c r="BT161" i="1"/>
  <c r="BS161" i="1"/>
  <c r="BT160" i="1"/>
  <c r="BV160" i="1"/>
  <c r="BS160" i="1"/>
  <c r="X175" i="1"/>
  <c r="BQ175" i="1" s="1"/>
  <c r="BR175" i="1" s="1"/>
  <c r="X177" i="1"/>
  <c r="BQ177" i="1" s="1"/>
  <c r="BR177" i="1" s="1"/>
  <c r="X176" i="1"/>
  <c r="BQ176" i="1" s="1"/>
  <c r="BR176" i="1" s="1"/>
  <c r="EH165" i="1"/>
  <c r="EH169" i="1"/>
  <c r="EP137" i="1"/>
  <c r="EP138" i="1"/>
  <c r="EH174" i="1"/>
  <c r="EP155" i="1"/>
  <c r="EH157" i="1"/>
  <c r="EP141" i="1"/>
  <c r="EP147" i="1"/>
  <c r="EH162" i="1"/>
  <c r="EH166" i="1"/>
  <c r="EP139" i="1"/>
  <c r="EH172" i="1"/>
  <c r="EH171" i="1"/>
  <c r="EP133" i="1"/>
  <c r="EP150" i="1"/>
  <c r="EH161" i="1"/>
  <c r="EP130" i="1"/>
  <c r="EH168" i="1"/>
  <c r="EP135" i="1"/>
  <c r="EP149" i="1"/>
  <c r="EW173" i="1"/>
  <c r="EP173" i="1"/>
  <c r="EP148" i="1"/>
  <c r="EP131" i="1"/>
  <c r="EH163" i="1"/>
  <c r="EP146" i="1"/>
  <c r="EP132" i="1"/>
  <c r="EP145" i="1"/>
  <c r="EP144" i="1"/>
  <c r="EH164" i="1"/>
  <c r="EH158" i="1"/>
  <c r="EP136" i="1"/>
  <c r="EP152" i="1"/>
  <c r="EP140" i="1"/>
  <c r="EP134" i="1"/>
  <c r="EH167" i="1"/>
  <c r="EH170" i="1"/>
  <c r="EU170" i="1" s="1"/>
  <c r="EH159" i="1"/>
  <c r="EP143" i="1"/>
  <c r="EP153" i="1"/>
  <c r="EH160" i="1"/>
  <c r="EP142" i="1"/>
  <c r="EA40" i="1"/>
  <c r="EE40" i="1" s="1"/>
  <c r="EM40" i="1" s="1"/>
  <c r="EG45" i="1"/>
  <c r="P18" i="15"/>
  <c r="AG40" i="1" l="1"/>
  <c r="AC41" i="1"/>
  <c r="BV176" i="1"/>
  <c r="BT176" i="1"/>
  <c r="BS176" i="1"/>
  <c r="BT175" i="1"/>
  <c r="BV175" i="1"/>
  <c r="BS175" i="1"/>
  <c r="BV177" i="1"/>
  <c r="BT177" i="1"/>
  <c r="BS177" i="1"/>
  <c r="X181" i="1"/>
  <c r="BQ181" i="1" s="1"/>
  <c r="BR181" i="1" s="1"/>
  <c r="X180" i="1"/>
  <c r="BQ180" i="1" s="1"/>
  <c r="BR180" i="1" s="1"/>
  <c r="EP157" i="1"/>
  <c r="EP170" i="1"/>
  <c r="EP172" i="1"/>
  <c r="EH176" i="1"/>
  <c r="EP166" i="1"/>
  <c r="EP174" i="1"/>
  <c r="EP168" i="1"/>
  <c r="EP179" i="1"/>
  <c r="EW179" i="1"/>
  <c r="EP167" i="1"/>
  <c r="EP161" i="1"/>
  <c r="EH177" i="1"/>
  <c r="EP162" i="1"/>
  <c r="EP158" i="1"/>
  <c r="EP159" i="1"/>
  <c r="EP163" i="1"/>
  <c r="EP164" i="1"/>
  <c r="EP169" i="1"/>
  <c r="EP178" i="1"/>
  <c r="EW178" i="1"/>
  <c r="EH175" i="1"/>
  <c r="EP160" i="1"/>
  <c r="EP171" i="1"/>
  <c r="EP165" i="1"/>
  <c r="EA41" i="1"/>
  <c r="EE41" i="1" s="1"/>
  <c r="EM41" i="1" s="1"/>
  <c r="EG46" i="1"/>
  <c r="P19" i="15"/>
  <c r="AG41" i="1" l="1"/>
  <c r="AC42" i="1"/>
  <c r="BV180" i="1"/>
  <c r="BT180" i="1"/>
  <c r="BS180" i="1"/>
  <c r="BS181" i="1"/>
  <c r="BV181" i="1"/>
  <c r="BT181" i="1"/>
  <c r="X197" i="1"/>
  <c r="BQ197" i="1" s="1"/>
  <c r="BR197" i="1" s="1"/>
  <c r="X192" i="1"/>
  <c r="BQ192" i="1" s="1"/>
  <c r="BR192" i="1" s="1"/>
  <c r="X199" i="1"/>
  <c r="BQ199" i="1" s="1"/>
  <c r="BR199" i="1" s="1"/>
  <c r="X191" i="1"/>
  <c r="BQ191" i="1" s="1"/>
  <c r="BR191" i="1" s="1"/>
  <c r="X201" i="1"/>
  <c r="BQ201" i="1" s="1"/>
  <c r="BR201" i="1" s="1"/>
  <c r="X202" i="1"/>
  <c r="BQ202" i="1" s="1"/>
  <c r="BR202" i="1" s="1"/>
  <c r="X195" i="1"/>
  <c r="BQ195" i="1" s="1"/>
  <c r="BR195" i="1" s="1"/>
  <c r="X194" i="1"/>
  <c r="BQ194" i="1" s="1"/>
  <c r="BR194" i="1" s="1"/>
  <c r="X208" i="1"/>
  <c r="BQ208" i="1" s="1"/>
  <c r="BR208" i="1" s="1"/>
  <c r="X189" i="1"/>
  <c r="BQ189" i="1" s="1"/>
  <c r="BR189" i="1" s="1"/>
  <c r="X198" i="1"/>
  <c r="BQ198" i="1" s="1"/>
  <c r="BR198" i="1" s="1"/>
  <c r="X187" i="1"/>
  <c r="BQ187" i="1" s="1"/>
  <c r="BR187" i="1" s="1"/>
  <c r="X204" i="1"/>
  <c r="BQ204" i="1" s="1"/>
  <c r="BR204" i="1" s="1"/>
  <c r="X200" i="1"/>
  <c r="BQ200" i="1" s="1"/>
  <c r="BR200" i="1" s="1"/>
  <c r="X188" i="1"/>
  <c r="BQ188" i="1" s="1"/>
  <c r="BR188" i="1" s="1"/>
  <c r="X193" i="1"/>
  <c r="BQ193" i="1" s="1"/>
  <c r="BR193" i="1" s="1"/>
  <c r="X190" i="1"/>
  <c r="BQ190" i="1" s="1"/>
  <c r="BR190" i="1" s="1"/>
  <c r="X205" i="1"/>
  <c r="BQ205" i="1" s="1"/>
  <c r="BR205" i="1" s="1"/>
  <c r="X184" i="1"/>
  <c r="BQ184" i="1" s="1"/>
  <c r="BR184" i="1" s="1"/>
  <c r="X203" i="1"/>
  <c r="BQ203" i="1" s="1"/>
  <c r="BR203" i="1" s="1"/>
  <c r="X185" i="1"/>
  <c r="BQ185" i="1" s="1"/>
  <c r="BR185" i="1" s="1"/>
  <c r="X207" i="1"/>
  <c r="BQ207" i="1" s="1"/>
  <c r="BR207" i="1" s="1"/>
  <c r="X196" i="1"/>
  <c r="BQ196" i="1" s="1"/>
  <c r="BR196" i="1" s="1"/>
  <c r="X206" i="1"/>
  <c r="BQ206" i="1" s="1"/>
  <c r="BR206" i="1" s="1"/>
  <c r="X186" i="1"/>
  <c r="BQ186" i="1" s="1"/>
  <c r="BR186" i="1" s="1"/>
  <c r="EP176" i="1"/>
  <c r="EW183" i="1"/>
  <c r="EP183" i="1"/>
  <c r="EH181" i="1"/>
  <c r="EH180" i="1"/>
  <c r="EP177" i="1"/>
  <c r="EW182" i="1"/>
  <c r="EP182" i="1"/>
  <c r="EA42" i="1"/>
  <c r="EE42" i="1" s="1"/>
  <c r="EM42" i="1" s="1"/>
  <c r="EG48" i="1"/>
  <c r="P20" i="15"/>
  <c r="AG42" i="1" l="1"/>
  <c r="AC43" i="1"/>
  <c r="BV187" i="1"/>
  <c r="BT187" i="1"/>
  <c r="BS187" i="1"/>
  <c r="BV198" i="1"/>
  <c r="BT198" i="1"/>
  <c r="BS198" i="1"/>
  <c r="BT189" i="1"/>
  <c r="BV189" i="1"/>
  <c r="BS189" i="1"/>
  <c r="BV208" i="1"/>
  <c r="BS208" i="1"/>
  <c r="BT208" i="1"/>
  <c r="BT206" i="1"/>
  <c r="BV206" i="1"/>
  <c r="BS206" i="1"/>
  <c r="BT185" i="1"/>
  <c r="BV185" i="1"/>
  <c r="BS185" i="1"/>
  <c r="BS186" i="1"/>
  <c r="BT186" i="1"/>
  <c r="BV186" i="1"/>
  <c r="BS194" i="1"/>
  <c r="BV194" i="1"/>
  <c r="BT194" i="1"/>
  <c r="BV196" i="1"/>
  <c r="BS196" i="1"/>
  <c r="BT196" i="1"/>
  <c r="BS195" i="1"/>
  <c r="BT195" i="1"/>
  <c r="BV195" i="1"/>
  <c r="BV207" i="1"/>
  <c r="BS207" i="1"/>
  <c r="BT207" i="1"/>
  <c r="BT202" i="1"/>
  <c r="BS202" i="1"/>
  <c r="BV202" i="1"/>
  <c r="BS201" i="1"/>
  <c r="BV201" i="1"/>
  <c r="BT201" i="1"/>
  <c r="BS191" i="1"/>
  <c r="BV191" i="1"/>
  <c r="BT191" i="1"/>
  <c r="BT199" i="1"/>
  <c r="BV199" i="1"/>
  <c r="BS199" i="1"/>
  <c r="BT205" i="1"/>
  <c r="BS205" i="1"/>
  <c r="BV205" i="1"/>
  <c r="BV192" i="1"/>
  <c r="BT192" i="1"/>
  <c r="BS192" i="1"/>
  <c r="BT197" i="1"/>
  <c r="BV197" i="1"/>
  <c r="BS197" i="1"/>
  <c r="BT193" i="1"/>
  <c r="BS193" i="1"/>
  <c r="BV193" i="1"/>
  <c r="BV184" i="1"/>
  <c r="BT184" i="1"/>
  <c r="BS184" i="1"/>
  <c r="BT200" i="1"/>
  <c r="BV200" i="1"/>
  <c r="BS200" i="1"/>
  <c r="BV203" i="1"/>
  <c r="BT203" i="1"/>
  <c r="BS203" i="1"/>
  <c r="BV190" i="1"/>
  <c r="BT190" i="1"/>
  <c r="BS190" i="1"/>
  <c r="BV188" i="1"/>
  <c r="BT188" i="1"/>
  <c r="BS188" i="1"/>
  <c r="BT204" i="1"/>
  <c r="BS204" i="1"/>
  <c r="BV204" i="1"/>
  <c r="X214" i="1"/>
  <c r="BQ214" i="1" s="1"/>
  <c r="BR214" i="1" s="1"/>
  <c r="X211" i="1"/>
  <c r="BQ211" i="1" s="1"/>
  <c r="BR211" i="1" s="1"/>
  <c r="X210" i="1"/>
  <c r="BQ210" i="1" s="1"/>
  <c r="BR210" i="1" s="1"/>
  <c r="X215" i="1"/>
  <c r="BQ215" i="1" s="1"/>
  <c r="BR215" i="1" s="1"/>
  <c r="X213" i="1"/>
  <c r="BQ213" i="1" s="1"/>
  <c r="BR213" i="1" s="1"/>
  <c r="X217" i="1"/>
  <c r="BQ217" i="1" s="1"/>
  <c r="BR217" i="1" s="1"/>
  <c r="X216" i="1"/>
  <c r="BQ216" i="1" s="1"/>
  <c r="BR216" i="1" s="1"/>
  <c r="X219" i="1"/>
  <c r="BQ219" i="1" s="1"/>
  <c r="BR219" i="1" s="1"/>
  <c r="X212" i="1"/>
  <c r="BQ212" i="1" s="1"/>
  <c r="BR212" i="1" s="1"/>
  <c r="X218" i="1"/>
  <c r="BQ218" i="1" s="1"/>
  <c r="BR218" i="1" s="1"/>
  <c r="X209" i="1"/>
  <c r="BQ209" i="1" s="1"/>
  <c r="BR209" i="1" s="1"/>
  <c r="EH203" i="1"/>
  <c r="EU203" i="1" s="1"/>
  <c r="EH202" i="1"/>
  <c r="EH208" i="1"/>
  <c r="EH193" i="1"/>
  <c r="EH200" i="1"/>
  <c r="EH195" i="1"/>
  <c r="EH205" i="1"/>
  <c r="EH194" i="1"/>
  <c r="EH206" i="1"/>
  <c r="EH192" i="1"/>
  <c r="EP180" i="1"/>
  <c r="EH190" i="1"/>
  <c r="EH207" i="1"/>
  <c r="EU207" i="1" s="1"/>
  <c r="EH189" i="1"/>
  <c r="EH187" i="1"/>
  <c r="EH197" i="1"/>
  <c r="EU197" i="1" s="1"/>
  <c r="EH185" i="1"/>
  <c r="EH186" i="1"/>
  <c r="EH204" i="1"/>
  <c r="EH184" i="1"/>
  <c r="EH198" i="1"/>
  <c r="EH201" i="1"/>
  <c r="EH196" i="1"/>
  <c r="EP181" i="1"/>
  <c r="EH191" i="1"/>
  <c r="EH199" i="1"/>
  <c r="EH188" i="1"/>
  <c r="EG49" i="1"/>
  <c r="EA43" i="1"/>
  <c r="EE43" i="1" s="1"/>
  <c r="EM43" i="1" s="1"/>
  <c r="P21" i="15"/>
  <c r="AG43" i="1" l="1"/>
  <c r="AC45" i="1"/>
  <c r="BV218" i="1"/>
  <c r="BS218" i="1"/>
  <c r="BT218" i="1"/>
  <c r="BT216" i="1"/>
  <c r="BV216" i="1"/>
  <c r="BS216" i="1"/>
  <c r="BV217" i="1"/>
  <c r="BT217" i="1"/>
  <c r="BS217" i="1"/>
  <c r="BS213" i="1"/>
  <c r="BV213" i="1"/>
  <c r="BT213" i="1"/>
  <c r="BV215" i="1"/>
  <c r="BS215" i="1"/>
  <c r="BT215" i="1"/>
  <c r="BV210" i="1"/>
  <c r="BT210" i="1"/>
  <c r="BS210" i="1"/>
  <c r="BV211" i="1"/>
  <c r="BT211" i="1"/>
  <c r="BS211" i="1"/>
  <c r="BT214" i="1"/>
  <c r="BS214" i="1"/>
  <c r="BV214" i="1"/>
  <c r="BT209" i="1"/>
  <c r="BV209" i="1"/>
  <c r="BS209" i="1"/>
  <c r="BS212" i="1"/>
  <c r="BV212" i="1"/>
  <c r="BT212" i="1"/>
  <c r="BV219" i="1"/>
  <c r="BT219" i="1"/>
  <c r="BS219" i="1"/>
  <c r="X222" i="1"/>
  <c r="BQ222" i="1" s="1"/>
  <c r="BR222" i="1" s="1"/>
  <c r="X223" i="1"/>
  <c r="BQ223" i="1" s="1"/>
  <c r="BR223" i="1" s="1"/>
  <c r="X221" i="1"/>
  <c r="BQ221" i="1" s="1"/>
  <c r="BR221" i="1" s="1"/>
  <c r="EP194" i="1"/>
  <c r="EP205" i="1"/>
  <c r="EP195" i="1"/>
  <c r="EP201" i="1"/>
  <c r="EP200" i="1"/>
  <c r="EH215" i="1"/>
  <c r="EP190" i="1"/>
  <c r="EP196" i="1"/>
  <c r="EH209" i="1"/>
  <c r="EP193" i="1"/>
  <c r="EH210" i="1"/>
  <c r="EP198" i="1"/>
  <c r="EP184" i="1"/>
  <c r="EH214" i="1"/>
  <c r="EP189" i="1"/>
  <c r="EH216" i="1"/>
  <c r="EP204" i="1"/>
  <c r="EH218" i="1"/>
  <c r="EP208" i="1"/>
  <c r="EH211" i="1"/>
  <c r="EH219" i="1"/>
  <c r="EP186" i="1"/>
  <c r="EP199" i="1"/>
  <c r="EH212" i="1"/>
  <c r="EP192" i="1"/>
  <c r="EP202" i="1"/>
  <c r="EP197" i="1"/>
  <c r="EH213" i="1"/>
  <c r="EP207" i="1"/>
  <c r="EW220" i="1"/>
  <c r="EP220" i="1"/>
  <c r="EP185" i="1"/>
  <c r="EP187" i="1"/>
  <c r="EH217" i="1"/>
  <c r="EP188" i="1"/>
  <c r="EP191" i="1"/>
  <c r="EP206" i="1"/>
  <c r="EP203" i="1"/>
  <c r="EA45" i="1"/>
  <c r="EE45" i="1" s="1"/>
  <c r="EM45" i="1" s="1"/>
  <c r="EG50" i="1"/>
  <c r="P22" i="15"/>
  <c r="AG45" i="1" l="1"/>
  <c r="AC46" i="1"/>
  <c r="BS222" i="1"/>
  <c r="BV222" i="1"/>
  <c r="BT222" i="1"/>
  <c r="BS221" i="1"/>
  <c r="BV221" i="1"/>
  <c r="BT221" i="1"/>
  <c r="BT223" i="1"/>
  <c r="BV223" i="1"/>
  <c r="BS223" i="1"/>
  <c r="X238" i="1"/>
  <c r="BQ238" i="1" s="1"/>
  <c r="BR238" i="1" s="1"/>
  <c r="X228" i="1"/>
  <c r="BQ228" i="1" s="1"/>
  <c r="BR228" i="1" s="1"/>
  <c r="X229" i="1"/>
  <c r="BQ229" i="1" s="1"/>
  <c r="BR229" i="1" s="1"/>
  <c r="X237" i="1"/>
  <c r="BQ237" i="1" s="1"/>
  <c r="BR237" i="1" s="1"/>
  <c r="X240" i="1"/>
  <c r="BQ240" i="1" s="1"/>
  <c r="BR240" i="1" s="1"/>
  <c r="X230" i="1"/>
  <c r="BQ230" i="1" s="1"/>
  <c r="BR230" i="1" s="1"/>
  <c r="X234" i="1"/>
  <c r="BQ234" i="1" s="1"/>
  <c r="BR234" i="1" s="1"/>
  <c r="X226" i="1"/>
  <c r="BQ226" i="1" s="1"/>
  <c r="BR226" i="1" s="1"/>
  <c r="X231" i="1"/>
  <c r="BQ231" i="1" s="1"/>
  <c r="BR231" i="1" s="1"/>
  <c r="X242" i="1"/>
  <c r="BQ242" i="1" s="1"/>
  <c r="BR242" i="1" s="1"/>
  <c r="X232" i="1"/>
  <c r="BQ232" i="1" s="1"/>
  <c r="BR232" i="1" s="1"/>
  <c r="X233" i="1"/>
  <c r="BQ233" i="1" s="1"/>
  <c r="BR233" i="1" s="1"/>
  <c r="X227" i="1"/>
  <c r="BQ227" i="1" s="1"/>
  <c r="BR227" i="1" s="1"/>
  <c r="X235" i="1"/>
  <c r="BQ235" i="1" s="1"/>
  <c r="BR235" i="1" s="1"/>
  <c r="X239" i="1"/>
  <c r="BQ239" i="1" s="1"/>
  <c r="BR239" i="1" s="1"/>
  <c r="X236" i="1"/>
  <c r="BQ236" i="1" s="1"/>
  <c r="BR236" i="1" s="1"/>
  <c r="EP216" i="1"/>
  <c r="EP209" i="1"/>
  <c r="EP211" i="1"/>
  <c r="EP215" i="1"/>
  <c r="EP217" i="1"/>
  <c r="EP212" i="1"/>
  <c r="EH222" i="1"/>
  <c r="EP213" i="1"/>
  <c r="EW225" i="1"/>
  <c r="EP225" i="1"/>
  <c r="EP214" i="1"/>
  <c r="EP210" i="1"/>
  <c r="EH221" i="1"/>
  <c r="EP219" i="1"/>
  <c r="EH223" i="1"/>
  <c r="EW224" i="1"/>
  <c r="EP224" i="1"/>
  <c r="EG51" i="1"/>
  <c r="EA46" i="1"/>
  <c r="EE46" i="1" s="1"/>
  <c r="EM46" i="1" s="1"/>
  <c r="P23" i="15"/>
  <c r="AG46" i="1" l="1"/>
  <c r="AC48" i="1"/>
  <c r="BS233" i="1"/>
  <c r="BT233" i="1"/>
  <c r="BV233" i="1"/>
  <c r="BS242" i="1"/>
  <c r="BV242" i="1"/>
  <c r="BT242" i="1"/>
  <c r="BV231" i="1"/>
  <c r="BT231" i="1"/>
  <c r="BS231" i="1"/>
  <c r="BT226" i="1"/>
  <c r="BV226" i="1"/>
  <c r="BS226" i="1"/>
  <c r="BV234" i="1"/>
  <c r="BT234" i="1"/>
  <c r="BS234" i="1"/>
  <c r="BV230" i="1"/>
  <c r="BS230" i="1"/>
  <c r="BT230" i="1"/>
  <c r="BV240" i="1"/>
  <c r="BT240" i="1"/>
  <c r="BS240" i="1"/>
  <c r="BS237" i="1"/>
  <c r="BV237" i="1"/>
  <c r="BT237" i="1"/>
  <c r="BV229" i="1"/>
  <c r="BT229" i="1"/>
  <c r="BS229" i="1"/>
  <c r="BS228" i="1"/>
  <c r="BV228" i="1"/>
  <c r="BT228" i="1"/>
  <c r="BV238" i="1"/>
  <c r="BT238" i="1"/>
  <c r="BS238" i="1"/>
  <c r="BT236" i="1"/>
  <c r="BV236" i="1"/>
  <c r="BS236" i="1"/>
  <c r="BT239" i="1"/>
  <c r="BV239" i="1"/>
  <c r="BS239" i="1"/>
  <c r="BS227" i="1"/>
  <c r="BT227" i="1"/>
  <c r="BV227" i="1"/>
  <c r="BV235" i="1"/>
  <c r="BS235" i="1"/>
  <c r="BT235" i="1"/>
  <c r="BT232" i="1"/>
  <c r="BV232" i="1"/>
  <c r="BS232" i="1"/>
  <c r="X245" i="1"/>
  <c r="BQ245" i="1" s="1"/>
  <c r="BR245" i="1" s="1"/>
  <c r="X246" i="1"/>
  <c r="BQ246" i="1" s="1"/>
  <c r="BR246" i="1" s="1"/>
  <c r="X249" i="1"/>
  <c r="BQ249" i="1" s="1"/>
  <c r="BR249" i="1" s="1"/>
  <c r="X250" i="1"/>
  <c r="BQ250" i="1" s="1"/>
  <c r="BR250" i="1" s="1"/>
  <c r="X248" i="1"/>
  <c r="BQ248" i="1" s="1"/>
  <c r="BR248" i="1" s="1"/>
  <c r="X244" i="1"/>
  <c r="BQ244" i="1" s="1"/>
  <c r="BR244" i="1" s="1"/>
  <c r="X247" i="1"/>
  <c r="BQ247" i="1" s="1"/>
  <c r="BR247" i="1" s="1"/>
  <c r="EH232" i="1"/>
  <c r="EH242" i="1"/>
  <c r="EH227" i="1"/>
  <c r="EP223" i="1"/>
  <c r="EH233" i="1"/>
  <c r="EH228" i="1"/>
  <c r="EP222" i="1"/>
  <c r="EH236" i="1"/>
  <c r="EH231" i="1"/>
  <c r="EH239" i="1"/>
  <c r="EP221" i="1"/>
  <c r="EH229" i="1"/>
  <c r="EH237" i="1"/>
  <c r="EW241" i="1"/>
  <c r="EP241" i="1"/>
  <c r="EH230" i="1"/>
  <c r="EW243" i="1"/>
  <c r="EP243" i="1"/>
  <c r="EH226" i="1"/>
  <c r="EH235" i="1"/>
  <c r="EH238" i="1"/>
  <c r="EH234" i="1"/>
  <c r="EH240" i="1"/>
  <c r="P24" i="15"/>
  <c r="EA48" i="1"/>
  <c r="EE48" i="1" s="1"/>
  <c r="EM48" i="1" s="1"/>
  <c r="EG52" i="1"/>
  <c r="AG48" i="1" l="1"/>
  <c r="AC49" i="1"/>
  <c r="BV244" i="1"/>
  <c r="BT244" i="1"/>
  <c r="BS244" i="1"/>
  <c r="BS245" i="1"/>
  <c r="BV245" i="1"/>
  <c r="BT245" i="1"/>
  <c r="BS247" i="1"/>
  <c r="BV247" i="1"/>
  <c r="BT247" i="1"/>
  <c r="BS246" i="1"/>
  <c r="BT246" i="1"/>
  <c r="BV246" i="1"/>
  <c r="BV248" i="1"/>
  <c r="BT248" i="1"/>
  <c r="BS248" i="1"/>
  <c r="BS250" i="1"/>
  <c r="BV250" i="1"/>
  <c r="BT250" i="1"/>
  <c r="BS249" i="1"/>
  <c r="BV249" i="1"/>
  <c r="BT249" i="1"/>
  <c r="X258" i="1"/>
  <c r="BQ258" i="1" s="1"/>
  <c r="BR258" i="1" s="1"/>
  <c r="X259" i="1"/>
  <c r="BQ259" i="1" s="1"/>
  <c r="BR259" i="1" s="1"/>
  <c r="X254" i="1"/>
  <c r="BQ254" i="1" s="1"/>
  <c r="BR254" i="1" s="1"/>
  <c r="X263" i="1"/>
  <c r="BQ263" i="1" s="1"/>
  <c r="BR263" i="1" s="1"/>
  <c r="X257" i="1"/>
  <c r="BQ257" i="1" s="1"/>
  <c r="BR257" i="1" s="1"/>
  <c r="X256" i="1"/>
  <c r="BQ256" i="1" s="1"/>
  <c r="BR256" i="1" s="1"/>
  <c r="X255" i="1"/>
  <c r="BQ255" i="1" s="1"/>
  <c r="BR255" i="1" s="1"/>
  <c r="X253" i="1"/>
  <c r="BQ253" i="1" s="1"/>
  <c r="BR253" i="1" s="1"/>
  <c r="X260" i="1"/>
  <c r="BQ260" i="1" s="1"/>
  <c r="BR260" i="1" s="1"/>
  <c r="EW252" i="1"/>
  <c r="EP252" i="1"/>
  <c r="EH249" i="1"/>
  <c r="EH245" i="1"/>
  <c r="EH246" i="1"/>
  <c r="EH250" i="1"/>
  <c r="EP236" i="1"/>
  <c r="EP240" i="1"/>
  <c r="EP239" i="1"/>
  <c r="EH247" i="1"/>
  <c r="EP228" i="1"/>
  <c r="EP237" i="1"/>
  <c r="EP238" i="1"/>
  <c r="EP229" i="1"/>
  <c r="EP227" i="1"/>
  <c r="EP234" i="1"/>
  <c r="EP235" i="1"/>
  <c r="EP242" i="1"/>
  <c r="EP230" i="1"/>
  <c r="EP251" i="1"/>
  <c r="EW251" i="1"/>
  <c r="EP232" i="1"/>
  <c r="EP231" i="1"/>
  <c r="P25" i="15"/>
  <c r="EH244" i="1"/>
  <c r="EP226" i="1"/>
  <c r="EH248" i="1"/>
  <c r="EG53" i="1"/>
  <c r="EA49" i="1"/>
  <c r="EE49" i="1" s="1"/>
  <c r="EM49" i="1" s="1"/>
  <c r="AG49" i="1" l="1"/>
  <c r="AC50" i="1"/>
  <c r="BV257" i="1"/>
  <c r="BS257" i="1"/>
  <c r="BT257" i="1"/>
  <c r="BT260" i="1"/>
  <c r="BS260" i="1"/>
  <c r="BV260" i="1"/>
  <c r="BT253" i="1"/>
  <c r="BS253" i="1"/>
  <c r="BV253" i="1"/>
  <c r="BS255" i="1"/>
  <c r="BV255" i="1"/>
  <c r="BT255" i="1"/>
  <c r="BS256" i="1"/>
  <c r="BT256" i="1"/>
  <c r="BV256" i="1"/>
  <c r="BT263" i="1"/>
  <c r="BV263" i="1"/>
  <c r="BS263" i="1"/>
  <c r="BV254" i="1"/>
  <c r="BS254" i="1"/>
  <c r="BT254" i="1"/>
  <c r="BT259" i="1"/>
  <c r="BV259" i="1"/>
  <c r="BS259" i="1"/>
  <c r="BV258" i="1"/>
  <c r="BT258" i="1"/>
  <c r="BS258" i="1"/>
  <c r="P26" i="15"/>
  <c r="P27" i="15" s="1"/>
  <c r="X265" i="1"/>
  <c r="BQ265" i="1" s="1"/>
  <c r="BR265" i="1" s="1"/>
  <c r="X287" i="1"/>
  <c r="BQ287" i="1" s="1"/>
  <c r="BR287" i="1" s="1"/>
  <c r="X266" i="1"/>
  <c r="BQ266" i="1" s="1"/>
  <c r="BR266" i="1" s="1"/>
  <c r="X276" i="1"/>
  <c r="BQ276" i="1" s="1"/>
  <c r="BR276" i="1" s="1"/>
  <c r="X281" i="1"/>
  <c r="BQ281" i="1" s="1"/>
  <c r="BR281" i="1" s="1"/>
  <c r="X285" i="1"/>
  <c r="BQ285" i="1" s="1"/>
  <c r="BR285" i="1" s="1"/>
  <c r="X277" i="1"/>
  <c r="BQ277" i="1" s="1"/>
  <c r="BR277" i="1" s="1"/>
  <c r="X264" i="1"/>
  <c r="BQ264" i="1" s="1"/>
  <c r="BR264" i="1" s="1"/>
  <c r="X270" i="1"/>
  <c r="BQ270" i="1" s="1"/>
  <c r="BR270" i="1" s="1"/>
  <c r="X289" i="1"/>
  <c r="BQ289" i="1" s="1"/>
  <c r="BR289" i="1" s="1"/>
  <c r="X272" i="1"/>
  <c r="BQ272" i="1" s="1"/>
  <c r="BR272" i="1" s="1"/>
  <c r="X284" i="1"/>
  <c r="BQ284" i="1" s="1"/>
  <c r="BR284" i="1" s="1"/>
  <c r="X288" i="1"/>
  <c r="BQ288" i="1" s="1"/>
  <c r="BR288" i="1" s="1"/>
  <c r="X269" i="1"/>
  <c r="BQ269" i="1" s="1"/>
  <c r="BR269" i="1" s="1"/>
  <c r="X271" i="1"/>
  <c r="BQ271" i="1" s="1"/>
  <c r="BR271" i="1" s="1"/>
  <c r="X283" i="1"/>
  <c r="BQ283" i="1" s="1"/>
  <c r="BR283" i="1" s="1"/>
  <c r="X274" i="1"/>
  <c r="BQ274" i="1" s="1"/>
  <c r="BR274" i="1" s="1"/>
  <c r="X275" i="1"/>
  <c r="BQ275" i="1" s="1"/>
  <c r="BR275" i="1" s="1"/>
  <c r="X273" i="1"/>
  <c r="BQ273" i="1" s="1"/>
  <c r="BR273" i="1" s="1"/>
  <c r="X286" i="1"/>
  <c r="BQ286" i="1" s="1"/>
  <c r="BR286" i="1" s="1"/>
  <c r="X282" i="1"/>
  <c r="BQ282" i="1" s="1"/>
  <c r="BR282" i="1" s="1"/>
  <c r="X267" i="1"/>
  <c r="BQ267" i="1" s="1"/>
  <c r="BR267" i="1" s="1"/>
  <c r="X279" i="1"/>
  <c r="BQ279" i="1" s="1"/>
  <c r="BR279" i="1" s="1"/>
  <c r="X268" i="1"/>
  <c r="BQ268" i="1" s="1"/>
  <c r="BR268" i="1" s="1"/>
  <c r="X278" i="1"/>
  <c r="BQ278" i="1" s="1"/>
  <c r="BR278" i="1" s="1"/>
  <c r="EW262" i="1"/>
  <c r="EP262" i="1"/>
  <c r="EH257" i="1"/>
  <c r="EH258" i="1"/>
  <c r="EP244" i="1"/>
  <c r="EP250" i="1"/>
  <c r="EH263" i="1"/>
  <c r="EP246" i="1"/>
  <c r="EH259" i="1"/>
  <c r="EH260" i="1"/>
  <c r="EP245" i="1"/>
  <c r="EH255" i="1"/>
  <c r="EP249" i="1"/>
  <c r="EW261" i="1"/>
  <c r="EP261" i="1"/>
  <c r="EH254" i="1"/>
  <c r="EH256" i="1"/>
  <c r="EH253" i="1"/>
  <c r="EA50" i="1"/>
  <c r="EE50" i="1" s="1"/>
  <c r="EM50" i="1" s="1"/>
  <c r="EG55" i="1"/>
  <c r="AG50" i="1" l="1"/>
  <c r="AC51" i="1"/>
  <c r="BT278" i="1"/>
  <c r="BS278" i="1"/>
  <c r="BV278" i="1"/>
  <c r="BV277" i="1"/>
  <c r="BT277" i="1"/>
  <c r="BS277" i="1"/>
  <c r="BV282" i="1"/>
  <c r="BT282" i="1"/>
  <c r="BS282" i="1"/>
  <c r="BS286" i="1"/>
  <c r="BT286" i="1"/>
  <c r="BV286" i="1"/>
  <c r="BT276" i="1"/>
  <c r="BV276" i="1"/>
  <c r="BS276" i="1"/>
  <c r="BS273" i="1"/>
  <c r="BT273" i="1"/>
  <c r="BV273" i="1"/>
  <c r="BV266" i="1"/>
  <c r="BT266" i="1"/>
  <c r="BS266" i="1"/>
  <c r="BV275" i="1"/>
  <c r="BT275" i="1"/>
  <c r="BS275" i="1"/>
  <c r="BS287" i="1"/>
  <c r="BV287" i="1"/>
  <c r="BT287" i="1"/>
  <c r="BT265" i="1"/>
  <c r="BS265" i="1"/>
  <c r="BV265" i="1"/>
  <c r="BV283" i="1"/>
  <c r="BT283" i="1"/>
  <c r="BS283" i="1"/>
  <c r="BV274" i="1"/>
  <c r="BS274" i="1"/>
  <c r="BT274" i="1"/>
  <c r="BS271" i="1"/>
  <c r="BT271" i="1"/>
  <c r="BV271" i="1"/>
  <c r="BT269" i="1"/>
  <c r="BS269" i="1"/>
  <c r="BV269" i="1"/>
  <c r="BV288" i="1"/>
  <c r="BT288" i="1"/>
  <c r="BS288" i="1"/>
  <c r="BT284" i="1"/>
  <c r="BV284" i="1"/>
  <c r="BS284" i="1"/>
  <c r="BV272" i="1"/>
  <c r="BT272" i="1"/>
  <c r="BS272" i="1"/>
  <c r="BT289" i="1"/>
  <c r="BS289" i="1"/>
  <c r="BV289" i="1"/>
  <c r="BS270" i="1"/>
  <c r="BV270" i="1"/>
  <c r="BT270" i="1"/>
  <c r="BV268" i="1"/>
  <c r="BT268" i="1"/>
  <c r="BS268" i="1"/>
  <c r="BT264" i="1"/>
  <c r="BS264" i="1"/>
  <c r="BV264" i="1"/>
  <c r="BV267" i="1"/>
  <c r="BS267" i="1"/>
  <c r="BT267" i="1"/>
  <c r="BS285" i="1"/>
  <c r="BT285" i="1"/>
  <c r="BV285" i="1"/>
  <c r="BV279" i="1"/>
  <c r="BT279" i="1"/>
  <c r="BS279" i="1"/>
  <c r="BT281" i="1"/>
  <c r="BV281" i="1"/>
  <c r="BS281" i="1"/>
  <c r="X325" i="1"/>
  <c r="BQ325" i="1" s="1"/>
  <c r="BR325" i="1" s="1"/>
  <c r="X319" i="1"/>
  <c r="BQ319" i="1" s="1"/>
  <c r="BR319" i="1" s="1"/>
  <c r="X317" i="1"/>
  <c r="BQ317" i="1" s="1"/>
  <c r="BR317" i="1" s="1"/>
  <c r="X320" i="1"/>
  <c r="BQ320" i="1" s="1"/>
  <c r="BR320" i="1" s="1"/>
  <c r="X313" i="1"/>
  <c r="BQ313" i="1" s="1"/>
  <c r="BR313" i="1" s="1"/>
  <c r="X315" i="1"/>
  <c r="BQ315" i="1" s="1"/>
  <c r="BR315" i="1" s="1"/>
  <c r="X327" i="1"/>
  <c r="BQ327" i="1" s="1"/>
  <c r="BR327" i="1" s="1"/>
  <c r="X314" i="1"/>
  <c r="BQ314" i="1" s="1"/>
  <c r="BR314" i="1" s="1"/>
  <c r="X326" i="1"/>
  <c r="BQ326" i="1" s="1"/>
  <c r="BR326" i="1" s="1"/>
  <c r="X321" i="1"/>
  <c r="BQ321" i="1" s="1"/>
  <c r="BR321" i="1" s="1"/>
  <c r="X323" i="1"/>
  <c r="BQ323" i="1" s="1"/>
  <c r="BR323" i="1" s="1"/>
  <c r="X329" i="1"/>
  <c r="BQ329" i="1" s="1"/>
  <c r="BR329" i="1" s="1"/>
  <c r="X316" i="1"/>
  <c r="BQ316" i="1" s="1"/>
  <c r="BR316" i="1" s="1"/>
  <c r="X318" i="1"/>
  <c r="BQ318" i="1" s="1"/>
  <c r="BR318" i="1" s="1"/>
  <c r="X328" i="1"/>
  <c r="BQ328" i="1" s="1"/>
  <c r="BR328" i="1" s="1"/>
  <c r="X312" i="1"/>
  <c r="BQ312" i="1" s="1"/>
  <c r="BR312" i="1" s="1"/>
  <c r="X322" i="1"/>
  <c r="BQ322" i="1" s="1"/>
  <c r="BR322" i="1" s="1"/>
  <c r="X324" i="1"/>
  <c r="BQ324" i="1" s="1"/>
  <c r="BR324" i="1" s="1"/>
  <c r="X295" i="1"/>
  <c r="BQ295" i="1" s="1"/>
  <c r="BR295" i="1" s="1"/>
  <c r="X301" i="1"/>
  <c r="BQ301" i="1" s="1"/>
  <c r="BR301" i="1" s="1"/>
  <c r="X299" i="1"/>
  <c r="BQ299" i="1" s="1"/>
  <c r="BR299" i="1" s="1"/>
  <c r="X292" i="1"/>
  <c r="X298" i="1"/>
  <c r="X300" i="1"/>
  <c r="BQ300" i="1" s="1"/>
  <c r="BR300" i="1" s="1"/>
  <c r="X310" i="1"/>
  <c r="X290" i="1"/>
  <c r="BQ290" i="1" s="1"/>
  <c r="BR290" i="1" s="1"/>
  <c r="X296" i="1"/>
  <c r="BQ296" i="1" s="1"/>
  <c r="BR296" i="1" s="1"/>
  <c r="X311" i="1"/>
  <c r="X304" i="1"/>
  <c r="BQ304" i="1" s="1"/>
  <c r="BR304" i="1" s="1"/>
  <c r="X302" i="1"/>
  <c r="X293" i="1"/>
  <c r="BQ293" i="1" s="1"/>
  <c r="BR293" i="1" s="1"/>
  <c r="X306" i="1"/>
  <c r="X297" i="1"/>
  <c r="BQ297" i="1" s="1"/>
  <c r="BR297" i="1" s="1"/>
  <c r="X305" i="1"/>
  <c r="X291" i="1"/>
  <c r="X294" i="1"/>
  <c r="X307" i="1"/>
  <c r="BQ307" i="1" s="1"/>
  <c r="BR307" i="1" s="1"/>
  <c r="X303" i="1"/>
  <c r="BQ303" i="1" s="1"/>
  <c r="BR303" i="1" s="1"/>
  <c r="EP308" i="1"/>
  <c r="EW308" i="1"/>
  <c r="EH274" i="1"/>
  <c r="EP260" i="1"/>
  <c r="EP257" i="1"/>
  <c r="EP309" i="1"/>
  <c r="EW309" i="1"/>
  <c r="EP258" i="1"/>
  <c r="EH281" i="1"/>
  <c r="EP259" i="1"/>
  <c r="EH288" i="1"/>
  <c r="EH273" i="1"/>
  <c r="EH287" i="1"/>
  <c r="EH283" i="1"/>
  <c r="EP254" i="1"/>
  <c r="EH286" i="1"/>
  <c r="EH282" i="1"/>
  <c r="EH289" i="1"/>
  <c r="EH279" i="1"/>
  <c r="EH285" i="1"/>
  <c r="EP263" i="1"/>
  <c r="EP280" i="1"/>
  <c r="EW280" i="1"/>
  <c r="EP256" i="1"/>
  <c r="EH270" i="1"/>
  <c r="EP255" i="1"/>
  <c r="EH272" i="1"/>
  <c r="EH275" i="1"/>
  <c r="EH277" i="1"/>
  <c r="EH271" i="1"/>
  <c r="EH265" i="1"/>
  <c r="EH276" i="1"/>
  <c r="EH278" i="1"/>
  <c r="EH267" i="1"/>
  <c r="EH264" i="1"/>
  <c r="EH284" i="1"/>
  <c r="EH266" i="1"/>
  <c r="EH268" i="1"/>
  <c r="EH269" i="1"/>
  <c r="EG57" i="1"/>
  <c r="EA51" i="1"/>
  <c r="EE51" i="1" s="1"/>
  <c r="EM51" i="1" s="1"/>
  <c r="P28" i="15"/>
  <c r="AG51" i="1" l="1"/>
  <c r="AC52" i="1"/>
  <c r="BT303" i="1"/>
  <c r="BV303" i="1"/>
  <c r="BS303" i="1"/>
  <c r="EP303" i="1" s="1"/>
  <c r="EH292" i="1"/>
  <c r="BQ292" i="1"/>
  <c r="BR292" i="1" s="1"/>
  <c r="BV307" i="1"/>
  <c r="BT307" i="1"/>
  <c r="BS307" i="1"/>
  <c r="EP307" i="1" s="1"/>
  <c r="BT299" i="1"/>
  <c r="BS299" i="1"/>
  <c r="EP299" i="1" s="1"/>
  <c r="BV299" i="1"/>
  <c r="BS313" i="1"/>
  <c r="BT313" i="1"/>
  <c r="BV313" i="1"/>
  <c r="BV301" i="1"/>
  <c r="BS301" i="1"/>
  <c r="BT301" i="1"/>
  <c r="BS320" i="1"/>
  <c r="BT320" i="1"/>
  <c r="BV320" i="1"/>
  <c r="BS317" i="1"/>
  <c r="BT317" i="1"/>
  <c r="BV317" i="1"/>
  <c r="EH305" i="1"/>
  <c r="BQ305" i="1"/>
  <c r="BR305" i="1" s="1"/>
  <c r="BS324" i="1"/>
  <c r="BV324" i="1"/>
  <c r="BT324" i="1"/>
  <c r="BT319" i="1"/>
  <c r="BS319" i="1"/>
  <c r="BV319" i="1"/>
  <c r="EH302" i="1"/>
  <c r="BQ302" i="1"/>
  <c r="BR302" i="1" s="1"/>
  <c r="EH294" i="1"/>
  <c r="BQ294" i="1"/>
  <c r="BR294" i="1" s="1"/>
  <c r="EH291" i="1"/>
  <c r="BQ291" i="1"/>
  <c r="BR291" i="1" s="1"/>
  <c r="BV297" i="1"/>
  <c r="BS297" i="1"/>
  <c r="EP297" i="1" s="1"/>
  <c r="BT297" i="1"/>
  <c r="BV322" i="1"/>
  <c r="BT322" i="1"/>
  <c r="BS322" i="1"/>
  <c r="BS325" i="1"/>
  <c r="BT325" i="1"/>
  <c r="BV325" i="1"/>
  <c r="BT318" i="1"/>
  <c r="BV318" i="1"/>
  <c r="BS318" i="1"/>
  <c r="BV295" i="1"/>
  <c r="BS295" i="1"/>
  <c r="EP295" i="1" s="1"/>
  <c r="BT295" i="1"/>
  <c r="EH306" i="1"/>
  <c r="BQ306" i="1"/>
  <c r="BR306" i="1" s="1"/>
  <c r="BV312" i="1"/>
  <c r="BT312" i="1"/>
  <c r="BS312" i="1"/>
  <c r="BS293" i="1"/>
  <c r="EP293" i="1" s="1"/>
  <c r="BV293" i="1"/>
  <c r="BT293" i="1"/>
  <c r="BV328" i="1"/>
  <c r="BT328" i="1"/>
  <c r="BS328" i="1"/>
  <c r="BV304" i="1"/>
  <c r="BS304" i="1"/>
  <c r="EP304" i="1" s="1"/>
  <c r="BT304" i="1"/>
  <c r="BT316" i="1"/>
  <c r="BS316" i="1"/>
  <c r="BV316" i="1"/>
  <c r="BT329" i="1"/>
  <c r="BS329" i="1"/>
  <c r="BV329" i="1"/>
  <c r="BV323" i="1"/>
  <c r="BT323" i="1"/>
  <c r="BS323" i="1"/>
  <c r="EH311" i="1"/>
  <c r="BQ311" i="1"/>
  <c r="BR311" i="1" s="1"/>
  <c r="BS290" i="1"/>
  <c r="EP290" i="1" s="1"/>
  <c r="BV290" i="1"/>
  <c r="BT290" i="1"/>
  <c r="BT296" i="1"/>
  <c r="BS296" i="1"/>
  <c r="EP296" i="1" s="1"/>
  <c r="BV296" i="1"/>
  <c r="BS321" i="1"/>
  <c r="BT321" i="1"/>
  <c r="BV321" i="1"/>
  <c r="EH310" i="1"/>
  <c r="BQ310" i="1"/>
  <c r="BR310" i="1" s="1"/>
  <c r="BT326" i="1"/>
  <c r="BS326" i="1"/>
  <c r="BV326" i="1"/>
  <c r="BT300" i="1"/>
  <c r="BV300" i="1"/>
  <c r="BS300" i="1"/>
  <c r="EP300" i="1" s="1"/>
  <c r="BT314" i="1"/>
  <c r="BS314" i="1"/>
  <c r="BV314" i="1"/>
  <c r="EH298" i="1"/>
  <c r="BQ298" i="1"/>
  <c r="BR298" i="1" s="1"/>
  <c r="BV327" i="1"/>
  <c r="BT327" i="1"/>
  <c r="BS327" i="1"/>
  <c r="BT315" i="1"/>
  <c r="BV315" i="1"/>
  <c r="BS315" i="1"/>
  <c r="EH307" i="1"/>
  <c r="EH299" i="1"/>
  <c r="EH301" i="1"/>
  <c r="EH304" i="1"/>
  <c r="EH295" i="1"/>
  <c r="EH300" i="1"/>
  <c r="EH290" i="1"/>
  <c r="EH297" i="1"/>
  <c r="EH303" i="1"/>
  <c r="X335" i="1"/>
  <c r="BQ335" i="1" s="1"/>
  <c r="BR335" i="1" s="1"/>
  <c r="X334" i="1"/>
  <c r="BQ334" i="1" s="1"/>
  <c r="BR334" i="1" s="1"/>
  <c r="X337" i="1"/>
  <c r="BQ337" i="1" s="1"/>
  <c r="BR337" i="1" s="1"/>
  <c r="X333" i="1"/>
  <c r="BQ333" i="1" s="1"/>
  <c r="BR333" i="1" s="1"/>
  <c r="X332" i="1"/>
  <c r="BQ332" i="1" s="1"/>
  <c r="BR332" i="1" s="1"/>
  <c r="X336" i="1"/>
  <c r="BQ336" i="1" s="1"/>
  <c r="BR336" i="1" s="1"/>
  <c r="EH293" i="1"/>
  <c r="EH296" i="1"/>
  <c r="EP268" i="1"/>
  <c r="EH329" i="1"/>
  <c r="EP331" i="1"/>
  <c r="EW331" i="1"/>
  <c r="EP276" i="1"/>
  <c r="EP265" i="1"/>
  <c r="EH322" i="1"/>
  <c r="EP287" i="1"/>
  <c r="EP286" i="1"/>
  <c r="EH318" i="1"/>
  <c r="EH323" i="1"/>
  <c r="EP272" i="1"/>
  <c r="EH312" i="1"/>
  <c r="EP281" i="1"/>
  <c r="EP266" i="1"/>
  <c r="EH315" i="1"/>
  <c r="EP277" i="1"/>
  <c r="EH324" i="1"/>
  <c r="EH320" i="1"/>
  <c r="EP273" i="1"/>
  <c r="EP274" i="1"/>
  <c r="EP267" i="1"/>
  <c r="EP270" i="1"/>
  <c r="EH313" i="1"/>
  <c r="EH319" i="1"/>
  <c r="EP279" i="1"/>
  <c r="EH325" i="1"/>
  <c r="EH327" i="1"/>
  <c r="EH328" i="1"/>
  <c r="EW330" i="1"/>
  <c r="EP330" i="1"/>
  <c r="EP289" i="1"/>
  <c r="EH326" i="1"/>
  <c r="EP288" i="1"/>
  <c r="EH317" i="1"/>
  <c r="EP278" i="1"/>
  <c r="EH314" i="1"/>
  <c r="EP284" i="1"/>
  <c r="EP285" i="1"/>
  <c r="EP275" i="1"/>
  <c r="EP282" i="1"/>
  <c r="EH321" i="1"/>
  <c r="EP283" i="1"/>
  <c r="EP271" i="1"/>
  <c r="EP264" i="1"/>
  <c r="EP269" i="1"/>
  <c r="EH316" i="1"/>
  <c r="EA52" i="1"/>
  <c r="EE52" i="1" s="1"/>
  <c r="EM52" i="1" s="1"/>
  <c r="EG58" i="1"/>
  <c r="P29" i="15"/>
  <c r="AG52" i="1" l="1"/>
  <c r="AC53" i="1"/>
  <c r="BV311" i="1"/>
  <c r="BT311" i="1"/>
  <c r="BS311" i="1"/>
  <c r="EP311" i="1" s="1"/>
  <c r="BV336" i="1"/>
  <c r="BS336" i="1"/>
  <c r="BT336" i="1"/>
  <c r="BS305" i="1"/>
  <c r="EP305" i="1" s="1"/>
  <c r="BT305" i="1"/>
  <c r="BV305" i="1"/>
  <c r="BV332" i="1"/>
  <c r="BT332" i="1"/>
  <c r="BS332" i="1"/>
  <c r="BT310" i="1"/>
  <c r="BS310" i="1"/>
  <c r="EP310" i="1" s="1"/>
  <c r="BV310" i="1"/>
  <c r="BS333" i="1"/>
  <c r="BT333" i="1"/>
  <c r="BV333" i="1"/>
  <c r="BS337" i="1"/>
  <c r="BV337" i="1"/>
  <c r="BT337" i="1"/>
  <c r="BS306" i="1"/>
  <c r="EP306" i="1" s="1"/>
  <c r="BV306" i="1"/>
  <c r="BT306" i="1"/>
  <c r="BT334" i="1"/>
  <c r="BS334" i="1"/>
  <c r="BV334" i="1"/>
  <c r="BV291" i="1"/>
  <c r="BT291" i="1"/>
  <c r="BS291" i="1"/>
  <c r="BS292" i="1"/>
  <c r="BT292" i="1"/>
  <c r="BV292" i="1"/>
  <c r="BV335" i="1"/>
  <c r="BT335" i="1"/>
  <c r="BS335" i="1"/>
  <c r="BS298" i="1"/>
  <c r="BV298" i="1"/>
  <c r="BT298" i="1"/>
  <c r="BS294" i="1"/>
  <c r="EP294" i="1" s="1"/>
  <c r="BV294" i="1"/>
  <c r="BT294" i="1"/>
  <c r="EP298" i="1"/>
  <c r="BT302" i="1"/>
  <c r="BV302" i="1"/>
  <c r="BS302" i="1"/>
  <c r="EP302" i="1" s="1"/>
  <c r="EP292" i="1"/>
  <c r="X340" i="1"/>
  <c r="BQ340" i="1" s="1"/>
  <c r="BR340" i="1" s="1"/>
  <c r="X341" i="1"/>
  <c r="BQ341" i="1" s="1"/>
  <c r="BR341" i="1" s="1"/>
  <c r="X342" i="1"/>
  <c r="BQ342" i="1" s="1"/>
  <c r="BR342" i="1" s="1"/>
  <c r="EP314" i="1"/>
  <c r="EP312" i="1"/>
  <c r="EH334" i="1"/>
  <c r="EP315" i="1"/>
  <c r="EH335" i="1"/>
  <c r="EH337" i="1"/>
  <c r="EH332" i="1"/>
  <c r="EP323" i="1"/>
  <c r="EH336" i="1"/>
  <c r="EP313" i="1"/>
  <c r="EW338" i="1"/>
  <c r="EP338" i="1"/>
  <c r="EP319" i="1"/>
  <c r="EP320" i="1"/>
  <c r="EH333" i="1"/>
  <c r="EP328" i="1"/>
  <c r="EP329" i="1"/>
  <c r="EP324" i="1"/>
  <c r="EP316" i="1"/>
  <c r="EP321" i="1"/>
  <c r="EP326" i="1"/>
  <c r="P30" i="15"/>
  <c r="EW339" i="1"/>
  <c r="EP339" i="1"/>
  <c r="EP325" i="1"/>
  <c r="EA53" i="1"/>
  <c r="EE53" i="1" s="1"/>
  <c r="EM53" i="1" s="1"/>
  <c r="EG59" i="1"/>
  <c r="AG53" i="1" l="1"/>
  <c r="AC55" i="1"/>
  <c r="BS342" i="1"/>
  <c r="BT342" i="1"/>
  <c r="BV342" i="1"/>
  <c r="BV341" i="1"/>
  <c r="BS341" i="1"/>
  <c r="BT341" i="1"/>
  <c r="BV340" i="1"/>
  <c r="BT340" i="1"/>
  <c r="BS340" i="1"/>
  <c r="EP335" i="1"/>
  <c r="EP336" i="1"/>
  <c r="EH341" i="1"/>
  <c r="EW343" i="1"/>
  <c r="EP343" i="1"/>
  <c r="EH340" i="1"/>
  <c r="EH342" i="1"/>
  <c r="EP332" i="1"/>
  <c r="EW344" i="1"/>
  <c r="EP344" i="1"/>
  <c r="EP337" i="1"/>
  <c r="EP333" i="1"/>
  <c r="EG60" i="1"/>
  <c r="EA55" i="1"/>
  <c r="EE55" i="1" s="1"/>
  <c r="EM55" i="1" s="1"/>
  <c r="AG55" i="1" l="1"/>
  <c r="AC57" i="1"/>
  <c r="BQ7" i="1"/>
  <c r="EP340" i="1"/>
  <c r="EP341" i="1"/>
  <c r="EW346" i="1"/>
  <c r="EP346" i="1"/>
  <c r="EW345" i="1"/>
  <c r="EP345" i="1"/>
  <c r="EP342" i="1"/>
  <c r="EA57" i="1"/>
  <c r="EE57" i="1" s="1"/>
  <c r="EM57" i="1" s="1"/>
  <c r="EG61" i="1"/>
  <c r="AG57" i="1" l="1"/>
  <c r="AC58" i="1"/>
  <c r="BV7" i="1"/>
  <c r="CG12" i="1"/>
  <c r="CG13" i="1" s="1"/>
  <c r="EG62" i="1"/>
  <c r="EA58" i="1"/>
  <c r="EE58" i="1" s="1"/>
  <c r="EM58" i="1" s="1"/>
  <c r="CI13" i="1"/>
  <c r="CM13" i="1" s="1"/>
  <c r="CK318" i="1" l="1"/>
  <c r="EP318" i="1" s="1"/>
  <c r="CK39" i="1"/>
  <c r="EP39" i="1" s="1"/>
  <c r="CK327" i="1"/>
  <c r="EP327" i="1" s="1"/>
  <c r="CK13" i="1"/>
  <c r="EP13" i="1" s="1"/>
  <c r="CK301" i="1"/>
  <c r="EP301" i="1" s="1"/>
  <c r="CK41" i="1"/>
  <c r="EP41" i="1" s="1"/>
  <c r="CK123" i="1"/>
  <c r="EP123" i="1" s="1"/>
  <c r="CK19" i="1"/>
  <c r="EP19" i="1" s="1"/>
  <c r="CK175" i="1"/>
  <c r="EP175" i="1" s="1"/>
  <c r="CK17" i="1"/>
  <c r="EP17" i="1" s="1"/>
  <c r="CK248" i="1"/>
  <c r="EP248" i="1" s="1"/>
  <c r="CK62" i="1"/>
  <c r="EP62" i="1" s="1"/>
  <c r="CK59" i="1"/>
  <c r="EP59" i="1" s="1"/>
  <c r="CK65" i="1"/>
  <c r="EP65" i="1" s="1"/>
  <c r="CK24" i="1"/>
  <c r="EP24" i="1" s="1"/>
  <c r="CK81" i="1"/>
  <c r="EP81" i="1" s="1"/>
  <c r="CK322" i="1"/>
  <c r="EP322" i="1" s="1"/>
  <c r="CK111" i="1"/>
  <c r="EP111" i="1" s="1"/>
  <c r="CK233" i="1"/>
  <c r="EP233" i="1" s="1"/>
  <c r="CK151" i="1"/>
  <c r="EP151" i="1" s="1"/>
  <c r="CK253" i="1"/>
  <c r="EP253" i="1" s="1"/>
  <c r="CK247" i="1"/>
  <c r="EP247" i="1" s="1"/>
  <c r="CK218" i="1"/>
  <c r="EP218" i="1" s="1"/>
  <c r="CK30" i="1"/>
  <c r="EP30" i="1" s="1"/>
  <c r="CK109" i="1"/>
  <c r="EP109" i="1" s="1"/>
  <c r="CK63" i="1"/>
  <c r="EP63" i="1" s="1"/>
  <c r="CK113" i="1"/>
  <c r="EP113" i="1" s="1"/>
  <c r="CK334" i="1"/>
  <c r="EP334" i="1" s="1"/>
  <c r="CK291" i="1"/>
  <c r="EP291" i="1" s="1"/>
  <c r="CK43" i="1"/>
  <c r="EP43" i="1" s="1"/>
  <c r="CK37" i="1"/>
  <c r="EP37" i="1" s="1"/>
  <c r="CK317" i="1"/>
  <c r="EP317" i="1" s="1"/>
  <c r="AG58" i="1"/>
  <c r="AC59" i="1"/>
  <c r="EA59" i="1"/>
  <c r="EE59" i="1" s="1"/>
  <c r="EM59" i="1" s="1"/>
  <c r="EG63" i="1"/>
  <c r="AG59" i="1" l="1"/>
  <c r="AC60" i="1"/>
  <c r="EG64" i="1"/>
  <c r="EA60" i="1"/>
  <c r="EE60" i="1" s="1"/>
  <c r="EM60" i="1" s="1"/>
  <c r="AG60" i="1" l="1"/>
  <c r="AC61" i="1"/>
  <c r="EG65" i="1"/>
  <c r="EA61" i="1"/>
  <c r="EE61" i="1" s="1"/>
  <c r="EM61" i="1" s="1"/>
  <c r="AG61" i="1" l="1"/>
  <c r="AC62" i="1"/>
  <c r="EA62" i="1"/>
  <c r="EE62" i="1" s="1"/>
  <c r="EM62" i="1" s="1"/>
  <c r="EG66" i="1"/>
  <c r="AG62" i="1" l="1"/>
  <c r="AC63" i="1"/>
  <c r="EA63" i="1"/>
  <c r="EE63" i="1" s="1"/>
  <c r="EM63" i="1" s="1"/>
  <c r="EG67" i="1"/>
  <c r="AG63" i="1" l="1"/>
  <c r="AC64" i="1"/>
  <c r="EG70" i="1"/>
  <c r="EA64" i="1"/>
  <c r="EE64" i="1" s="1"/>
  <c r="AG64" i="1" l="1"/>
  <c r="AC65" i="1"/>
  <c r="EA65" i="1"/>
  <c r="EE65" i="1" s="1"/>
  <c r="EM65" i="1" s="1"/>
  <c r="EM64" i="1"/>
  <c r="EG71" i="1"/>
  <c r="AG65" i="1" l="1"/>
  <c r="AC66" i="1"/>
  <c r="EG72" i="1"/>
  <c r="EA66" i="1"/>
  <c r="EE66" i="1" s="1"/>
  <c r="AG66" i="1" l="1"/>
  <c r="AC67" i="1"/>
  <c r="EA67" i="1"/>
  <c r="EE67" i="1" s="1"/>
  <c r="EM67" i="1" s="1"/>
  <c r="EM66" i="1"/>
  <c r="EG73" i="1"/>
  <c r="AG67" i="1" l="1"/>
  <c r="AC70" i="1"/>
  <c r="EA70" i="1"/>
  <c r="EE70" i="1" s="1"/>
  <c r="EG74" i="1"/>
  <c r="AG70" i="1" l="1"/>
  <c r="AC71" i="1"/>
  <c r="EA71" i="1"/>
  <c r="EE71" i="1" s="1"/>
  <c r="EM71" i="1" s="1"/>
  <c r="EM70" i="1"/>
  <c r="EG75" i="1"/>
  <c r="AG71" i="1" l="1"/>
  <c r="AC72" i="1"/>
  <c r="EG76" i="1"/>
  <c r="EA72" i="1"/>
  <c r="EE72" i="1" s="1"/>
  <c r="EM72" i="1" s="1"/>
  <c r="AG72" i="1" l="1"/>
  <c r="AC73" i="1"/>
  <c r="EA73" i="1"/>
  <c r="EE73" i="1" s="1"/>
  <c r="EM73" i="1" s="1"/>
  <c r="EG77" i="1"/>
  <c r="AG73" i="1" l="1"/>
  <c r="AC74" i="1"/>
  <c r="EA74" i="1"/>
  <c r="EE74" i="1" s="1"/>
  <c r="EM74" i="1" s="1"/>
  <c r="EG78" i="1"/>
  <c r="AG74" i="1" l="1"/>
  <c r="AC75" i="1"/>
  <c r="EG79" i="1"/>
  <c r="EA75" i="1"/>
  <c r="EE75" i="1" s="1"/>
  <c r="EM75" i="1" s="1"/>
  <c r="AG75" i="1" l="1"/>
  <c r="AC76" i="1"/>
  <c r="EG80" i="1"/>
  <c r="EA76" i="1"/>
  <c r="EE76" i="1" s="1"/>
  <c r="EM76" i="1" s="1"/>
  <c r="AG76" i="1" l="1"/>
  <c r="AC77" i="1"/>
  <c r="EG81" i="1"/>
  <c r="EA77" i="1"/>
  <c r="EE77" i="1" s="1"/>
  <c r="EM77" i="1" s="1"/>
  <c r="AG77" i="1" l="1"/>
  <c r="AC78" i="1"/>
  <c r="EA78" i="1"/>
  <c r="EE78" i="1" s="1"/>
  <c r="EM78" i="1" s="1"/>
  <c r="EG82" i="1"/>
  <c r="AG78" i="1" l="1"/>
  <c r="AC79" i="1"/>
  <c r="EG83" i="1"/>
  <c r="EA79" i="1"/>
  <c r="EE79" i="1" s="1"/>
  <c r="EM79" i="1" s="1"/>
  <c r="AG79" i="1" l="1"/>
  <c r="AC80" i="1"/>
  <c r="EA80" i="1"/>
  <c r="EE80" i="1" s="1"/>
  <c r="EM80" i="1" s="1"/>
  <c r="EG84" i="1"/>
  <c r="AG80" i="1" l="1"/>
  <c r="AC81" i="1"/>
  <c r="EA81" i="1"/>
  <c r="EE81" i="1" s="1"/>
  <c r="EM81" i="1" s="1"/>
  <c r="EG85" i="1"/>
  <c r="AG81" i="1" l="1"/>
  <c r="AC82" i="1"/>
  <c r="EG86" i="1"/>
  <c r="EA82" i="1"/>
  <c r="EE82" i="1" s="1"/>
  <c r="EM82" i="1" s="1"/>
  <c r="AG82" i="1" l="1"/>
  <c r="AC83" i="1"/>
  <c r="EA83" i="1"/>
  <c r="EE83" i="1" s="1"/>
  <c r="EM83" i="1" s="1"/>
  <c r="EG87" i="1"/>
  <c r="AG83" i="1" l="1"/>
  <c r="AC84" i="1"/>
  <c r="EA84" i="1"/>
  <c r="EE84" i="1" s="1"/>
  <c r="EM84" i="1" s="1"/>
  <c r="EG88" i="1"/>
  <c r="AG84" i="1" l="1"/>
  <c r="AC85" i="1"/>
  <c r="EA85" i="1"/>
  <c r="EE85" i="1" s="1"/>
  <c r="EM85" i="1" s="1"/>
  <c r="EG89" i="1"/>
  <c r="AG85" i="1" l="1"/>
  <c r="AC86" i="1"/>
  <c r="EG90" i="1"/>
  <c r="EA86" i="1"/>
  <c r="EE86" i="1" s="1"/>
  <c r="EM86" i="1" s="1"/>
  <c r="AG86" i="1" l="1"/>
  <c r="AC87" i="1"/>
  <c r="EG91" i="1"/>
  <c r="EA87" i="1"/>
  <c r="EE87" i="1" s="1"/>
  <c r="EM87" i="1" s="1"/>
  <c r="AG87" i="1" l="1"/>
  <c r="AC88" i="1"/>
  <c r="EA88" i="1"/>
  <c r="EE88" i="1" s="1"/>
  <c r="EM88" i="1" s="1"/>
  <c r="EG92" i="1"/>
  <c r="AG88" i="1" l="1"/>
  <c r="AC89" i="1"/>
  <c r="EG93" i="1"/>
  <c r="EA89" i="1"/>
  <c r="EE89" i="1" s="1"/>
  <c r="EM89" i="1" s="1"/>
  <c r="AG89" i="1" l="1"/>
  <c r="AC90" i="1"/>
  <c r="EG94" i="1"/>
  <c r="EA90" i="1"/>
  <c r="EE90" i="1" s="1"/>
  <c r="EM90" i="1" s="1"/>
  <c r="AG90" i="1" l="1"/>
  <c r="AC91" i="1"/>
  <c r="EG95" i="1"/>
  <c r="EA91" i="1"/>
  <c r="EE91" i="1" s="1"/>
  <c r="EM91" i="1" s="1"/>
  <c r="AG91" i="1" l="1"/>
  <c r="AC92" i="1"/>
  <c r="EA92" i="1"/>
  <c r="EE92" i="1" s="1"/>
  <c r="EM92" i="1" s="1"/>
  <c r="EG96" i="1"/>
  <c r="AG92" i="1" l="1"/>
  <c r="AC93" i="1"/>
  <c r="EG97" i="1"/>
  <c r="EA93" i="1"/>
  <c r="EE93" i="1" s="1"/>
  <c r="EM93" i="1" s="1"/>
  <c r="AG93" i="1" l="1"/>
  <c r="AC94" i="1"/>
  <c r="EA94" i="1"/>
  <c r="EE94" i="1" s="1"/>
  <c r="EM94" i="1" s="1"/>
  <c r="EG98" i="1"/>
  <c r="AG94" i="1" l="1"/>
  <c r="AC95" i="1"/>
  <c r="EG99" i="1"/>
  <c r="EA95" i="1"/>
  <c r="EE95" i="1" s="1"/>
  <c r="EM95" i="1" s="1"/>
  <c r="AG95" i="1" l="1"/>
  <c r="AC96" i="1"/>
  <c r="EA96" i="1"/>
  <c r="EE96" i="1" s="1"/>
  <c r="EM96" i="1" s="1"/>
  <c r="EG100" i="1"/>
  <c r="AG96" i="1" l="1"/>
  <c r="AC97" i="1"/>
  <c r="EA97" i="1"/>
  <c r="EE97" i="1" s="1"/>
  <c r="EM97" i="1" s="1"/>
  <c r="EG102" i="1"/>
  <c r="AG97" i="1" l="1"/>
  <c r="AC98" i="1"/>
  <c r="EA98" i="1"/>
  <c r="EE98" i="1" s="1"/>
  <c r="EM98" i="1" s="1"/>
  <c r="EG103" i="1"/>
  <c r="AG98" i="1" l="1"/>
  <c r="AC99" i="1"/>
  <c r="EG104" i="1"/>
  <c r="EA99" i="1"/>
  <c r="EE99" i="1" s="1"/>
  <c r="EM99" i="1" s="1"/>
  <c r="AG99" i="1" l="1"/>
  <c r="AC100" i="1"/>
  <c r="EA100" i="1"/>
  <c r="EE100" i="1" s="1"/>
  <c r="EM100" i="1" s="1"/>
  <c r="EG105" i="1"/>
  <c r="AG100" i="1" l="1"/>
  <c r="AC102" i="1"/>
  <c r="EA102" i="1"/>
  <c r="EE102" i="1" s="1"/>
  <c r="EM102" i="1" s="1"/>
  <c r="EG107" i="1"/>
  <c r="AG102" i="1" l="1"/>
  <c r="AC103" i="1"/>
  <c r="EG108" i="1"/>
  <c r="EA103" i="1"/>
  <c r="EE103" i="1" s="1"/>
  <c r="EM103" i="1" s="1"/>
  <c r="AG103" i="1" l="1"/>
  <c r="AC104" i="1"/>
  <c r="EA104" i="1"/>
  <c r="EE104" i="1" s="1"/>
  <c r="EM104" i="1" s="1"/>
  <c r="EG109" i="1"/>
  <c r="AG104" i="1" l="1"/>
  <c r="AC105" i="1"/>
  <c r="EG110" i="1"/>
  <c r="EA105" i="1"/>
  <c r="EE105" i="1" s="1"/>
  <c r="EM105" i="1" s="1"/>
  <c r="AG105" i="1" l="1"/>
  <c r="CE105" i="1"/>
  <c r="CF105" i="1" s="1"/>
  <c r="CM105" i="1" s="1"/>
  <c r="AC107" i="1"/>
  <c r="EA107" i="1"/>
  <c r="EE107" i="1" s="1"/>
  <c r="EM107" i="1" s="1"/>
  <c r="EG111" i="1"/>
  <c r="AG107" i="1" l="1"/>
  <c r="AC108" i="1"/>
  <c r="EA108" i="1"/>
  <c r="EE108" i="1" s="1"/>
  <c r="EM108" i="1" s="1"/>
  <c r="EG112" i="1"/>
  <c r="AG108" i="1" l="1"/>
  <c r="AC109" i="1"/>
  <c r="EA109" i="1"/>
  <c r="EE109" i="1" s="1"/>
  <c r="EM109" i="1" s="1"/>
  <c r="EG113" i="1"/>
  <c r="AG109" i="1" l="1"/>
  <c r="AC110" i="1"/>
  <c r="EG114" i="1"/>
  <c r="EA110" i="1"/>
  <c r="EE110" i="1" s="1"/>
  <c r="EM110" i="1" s="1"/>
  <c r="AG110" i="1" l="1"/>
  <c r="AC111" i="1"/>
  <c r="EG115" i="1"/>
  <c r="EA111" i="1"/>
  <c r="EE111" i="1" s="1"/>
  <c r="EM111" i="1" s="1"/>
  <c r="AG111" i="1" l="1"/>
  <c r="AC112" i="1"/>
  <c r="EA112" i="1"/>
  <c r="EE112" i="1" s="1"/>
  <c r="EM112" i="1" s="1"/>
  <c r="EG116" i="1"/>
  <c r="AG112" i="1" l="1"/>
  <c r="CE112" i="1"/>
  <c r="CF112" i="1" s="1"/>
  <c r="CM112" i="1" s="1"/>
  <c r="AC113" i="1"/>
  <c r="EG117" i="1"/>
  <c r="EA113" i="1"/>
  <c r="EE113" i="1" s="1"/>
  <c r="EM113" i="1" s="1"/>
  <c r="AG113" i="1" l="1"/>
  <c r="AC114" i="1"/>
  <c r="EG118" i="1"/>
  <c r="EA114" i="1"/>
  <c r="EE114" i="1" s="1"/>
  <c r="EM114" i="1" s="1"/>
  <c r="AG114" i="1" l="1"/>
  <c r="AC115" i="1"/>
  <c r="EG119" i="1"/>
  <c r="EA115" i="1"/>
  <c r="EE115" i="1" s="1"/>
  <c r="EM115" i="1" s="1"/>
  <c r="AG115" i="1" l="1"/>
  <c r="AC116" i="1"/>
  <c r="EA116" i="1"/>
  <c r="EE116" i="1" s="1"/>
  <c r="EM116" i="1" s="1"/>
  <c r="EG120" i="1"/>
  <c r="AG116" i="1" l="1"/>
  <c r="AC117" i="1"/>
  <c r="EG121" i="1"/>
  <c r="EA117" i="1"/>
  <c r="EE117" i="1" s="1"/>
  <c r="EM117" i="1" s="1"/>
  <c r="AG117" i="1" l="1"/>
  <c r="AC118" i="1"/>
  <c r="EA118" i="1"/>
  <c r="EE118" i="1" s="1"/>
  <c r="EM118" i="1" s="1"/>
  <c r="EG122" i="1"/>
  <c r="AG118" i="1" l="1"/>
  <c r="AC119" i="1"/>
  <c r="EA119" i="1"/>
  <c r="EE119" i="1" s="1"/>
  <c r="EM119" i="1" s="1"/>
  <c r="EG123" i="1"/>
  <c r="AG119" i="1" l="1"/>
  <c r="AC120" i="1"/>
  <c r="EG124" i="1"/>
  <c r="EA120" i="1"/>
  <c r="EE120" i="1" s="1"/>
  <c r="EM120" i="1" s="1"/>
  <c r="AG120" i="1" l="1"/>
  <c r="AC121" i="1"/>
  <c r="EG125" i="1"/>
  <c r="EA121" i="1"/>
  <c r="EE121" i="1" s="1"/>
  <c r="EM121" i="1" s="1"/>
  <c r="AG121" i="1" l="1"/>
  <c r="AC122" i="1"/>
  <c r="EA122" i="1"/>
  <c r="EE122" i="1" s="1"/>
  <c r="EM122" i="1" s="1"/>
  <c r="EG126" i="1"/>
  <c r="AG122" i="1" l="1"/>
  <c r="AC123" i="1"/>
  <c r="EG127" i="1"/>
  <c r="EA123" i="1"/>
  <c r="EE123" i="1" s="1"/>
  <c r="EM123" i="1" s="1"/>
  <c r="AG123" i="1" l="1"/>
  <c r="AC124" i="1"/>
  <c r="EA124" i="1"/>
  <c r="EE124" i="1" s="1"/>
  <c r="EM124" i="1" s="1"/>
  <c r="EG129" i="1"/>
  <c r="AG124" i="1" l="1"/>
  <c r="AC125" i="1"/>
  <c r="EG130" i="1"/>
  <c r="EA125" i="1"/>
  <c r="EE125" i="1" s="1"/>
  <c r="EM125" i="1" s="1"/>
  <c r="AG125" i="1" l="1"/>
  <c r="AC126" i="1"/>
  <c r="EA126" i="1"/>
  <c r="EE126" i="1" s="1"/>
  <c r="EM126" i="1" s="1"/>
  <c r="EG131" i="1"/>
  <c r="AG126" i="1" l="1"/>
  <c r="AC127" i="1"/>
  <c r="EG132" i="1"/>
  <c r="EA127" i="1"/>
  <c r="EE127" i="1" s="1"/>
  <c r="EM127" i="1" s="1"/>
  <c r="AG127" i="1" l="1"/>
  <c r="AC129" i="1"/>
  <c r="EA129" i="1"/>
  <c r="EE129" i="1" s="1"/>
  <c r="EM129" i="1" s="1"/>
  <c r="EG133" i="1"/>
  <c r="AG129" i="1" l="1"/>
  <c r="AC130" i="1"/>
  <c r="EG134" i="1"/>
  <c r="EA130" i="1"/>
  <c r="EE130" i="1" s="1"/>
  <c r="EM130" i="1" s="1"/>
  <c r="AG130" i="1" l="1"/>
  <c r="AC131" i="1"/>
  <c r="EA131" i="1"/>
  <c r="EE131" i="1" s="1"/>
  <c r="EM131" i="1" s="1"/>
  <c r="EG135" i="1"/>
  <c r="AG131" i="1" l="1"/>
  <c r="CE131" i="1"/>
  <c r="CF131" i="1" s="1"/>
  <c r="CM131" i="1" s="1"/>
  <c r="AC132" i="1"/>
  <c r="EA132" i="1"/>
  <c r="EE132" i="1" s="1"/>
  <c r="EM132" i="1" s="1"/>
  <c r="EG136" i="1"/>
  <c r="AG132" i="1" l="1"/>
  <c r="AC133" i="1"/>
  <c r="EG137" i="1"/>
  <c r="EA133" i="1"/>
  <c r="EE133" i="1" s="1"/>
  <c r="EM133" i="1" s="1"/>
  <c r="AG133" i="1" l="1"/>
  <c r="AC134" i="1"/>
  <c r="EG138" i="1"/>
  <c r="EA134" i="1"/>
  <c r="EE134" i="1" s="1"/>
  <c r="EM134" i="1" s="1"/>
  <c r="AG134" i="1" l="1"/>
  <c r="AC135" i="1"/>
  <c r="EA135" i="1"/>
  <c r="EE135" i="1" s="1"/>
  <c r="EM135" i="1" s="1"/>
  <c r="EG139" i="1"/>
  <c r="AG135" i="1" l="1"/>
  <c r="AC136" i="1"/>
  <c r="EG140" i="1"/>
  <c r="EA136" i="1"/>
  <c r="EE136" i="1" s="1"/>
  <c r="EM136" i="1" s="1"/>
  <c r="AG136" i="1" l="1"/>
  <c r="AC137" i="1"/>
  <c r="EG141" i="1"/>
  <c r="EA137" i="1"/>
  <c r="EE137" i="1" s="1"/>
  <c r="EM137" i="1" s="1"/>
  <c r="AG137" i="1" l="1"/>
  <c r="AC138" i="1"/>
  <c r="EA138" i="1"/>
  <c r="EE138" i="1" s="1"/>
  <c r="EM138" i="1" s="1"/>
  <c r="EG142" i="1"/>
  <c r="AG138" i="1" l="1"/>
  <c r="AC139" i="1"/>
  <c r="EA139" i="1"/>
  <c r="EE139" i="1" s="1"/>
  <c r="EM139" i="1" s="1"/>
  <c r="EG143" i="1"/>
  <c r="AG139" i="1" l="1"/>
  <c r="CE139" i="1"/>
  <c r="CF139" i="1" s="1"/>
  <c r="CM139" i="1" s="1"/>
  <c r="AC140" i="1"/>
  <c r="EG144" i="1"/>
  <c r="EA140" i="1"/>
  <c r="EE140" i="1" s="1"/>
  <c r="EM140" i="1" s="1"/>
  <c r="AG140" i="1" l="1"/>
  <c r="AC141" i="1"/>
  <c r="EA141" i="1"/>
  <c r="EE141" i="1" s="1"/>
  <c r="EM141" i="1" s="1"/>
  <c r="EG145" i="1"/>
  <c r="AG141" i="1" l="1"/>
  <c r="AC142" i="1"/>
  <c r="EG146" i="1"/>
  <c r="EA142" i="1"/>
  <c r="EE142" i="1" s="1"/>
  <c r="EM142" i="1" s="1"/>
  <c r="AG142" i="1" l="1"/>
  <c r="AC143" i="1"/>
  <c r="EA143" i="1"/>
  <c r="EE143" i="1" s="1"/>
  <c r="EM143" i="1" s="1"/>
  <c r="EG147" i="1"/>
  <c r="AG143" i="1" l="1"/>
  <c r="AC144" i="1"/>
  <c r="EG148" i="1"/>
  <c r="EA144" i="1"/>
  <c r="EE144" i="1" s="1"/>
  <c r="EM144" i="1" s="1"/>
  <c r="AG144" i="1" l="1"/>
  <c r="AC145" i="1"/>
  <c r="EG149" i="1"/>
  <c r="EA145" i="1"/>
  <c r="EE145" i="1" s="1"/>
  <c r="EM145" i="1" s="1"/>
  <c r="AG145" i="1" l="1"/>
  <c r="AC146" i="1"/>
  <c r="CM7" i="1"/>
  <c r="EG150" i="1"/>
  <c r="EA146" i="1"/>
  <c r="EE146" i="1" s="1"/>
  <c r="EM146" i="1" s="1"/>
  <c r="AG146" i="1" l="1"/>
  <c r="AC147" i="1"/>
  <c r="EA147" i="1"/>
  <c r="EE147" i="1" s="1"/>
  <c r="EM147" i="1" s="1"/>
  <c r="EG151" i="1"/>
  <c r="AG147" i="1" l="1"/>
  <c r="AC148" i="1"/>
  <c r="EG152" i="1"/>
  <c r="EA148" i="1"/>
  <c r="EE148" i="1" s="1"/>
  <c r="EM148" i="1" s="1"/>
  <c r="AG148" i="1" l="1"/>
  <c r="AC149" i="1"/>
  <c r="EG153" i="1"/>
  <c r="EA149" i="1"/>
  <c r="EE149" i="1" s="1"/>
  <c r="EM149" i="1" s="1"/>
  <c r="AG149" i="1" l="1"/>
  <c r="AC150" i="1"/>
  <c r="EA150" i="1"/>
  <c r="EE150" i="1" s="1"/>
  <c r="EM150" i="1" s="1"/>
  <c r="EG155" i="1"/>
  <c r="AG150" i="1" l="1"/>
  <c r="AC151" i="1"/>
  <c r="EG157" i="1"/>
  <c r="EA151" i="1"/>
  <c r="EE151" i="1" s="1"/>
  <c r="EM151" i="1" s="1"/>
  <c r="AG151" i="1" l="1"/>
  <c r="AC152" i="1"/>
  <c r="EA152" i="1"/>
  <c r="EE152" i="1" s="1"/>
  <c r="EM152" i="1" s="1"/>
  <c r="EG158" i="1"/>
  <c r="AG152" i="1" l="1"/>
  <c r="AC153" i="1"/>
  <c r="EA153" i="1"/>
  <c r="EE153" i="1" s="1"/>
  <c r="EM153" i="1" s="1"/>
  <c r="EG159" i="1"/>
  <c r="AG153" i="1" l="1"/>
  <c r="AC155" i="1"/>
  <c r="EG160" i="1"/>
  <c r="EA155" i="1"/>
  <c r="EE155" i="1" s="1"/>
  <c r="EM155" i="1" s="1"/>
  <c r="AG155" i="1" l="1"/>
  <c r="AC157" i="1"/>
  <c r="EA157" i="1"/>
  <c r="EE157" i="1" s="1"/>
  <c r="EM157" i="1" s="1"/>
  <c r="EG161" i="1"/>
  <c r="AG157" i="1" l="1"/>
  <c r="AC158" i="1"/>
  <c r="EA158" i="1"/>
  <c r="EE158" i="1" s="1"/>
  <c r="EM158" i="1" s="1"/>
  <c r="EG162" i="1"/>
  <c r="AG158" i="1" l="1"/>
  <c r="AC159" i="1"/>
  <c r="EG163" i="1"/>
  <c r="EA159" i="1"/>
  <c r="EE159" i="1" s="1"/>
  <c r="EM159" i="1" s="1"/>
  <c r="AG159" i="1" l="1"/>
  <c r="AC160" i="1"/>
  <c r="EA160" i="1"/>
  <c r="EE160" i="1" s="1"/>
  <c r="EM160" i="1" s="1"/>
  <c r="EG164" i="1"/>
  <c r="AG160" i="1" l="1"/>
  <c r="AC161" i="1"/>
  <c r="EG165" i="1"/>
  <c r="EA161" i="1"/>
  <c r="EE161" i="1" s="1"/>
  <c r="EM161" i="1" s="1"/>
  <c r="AG161" i="1" l="1"/>
  <c r="AC162" i="1"/>
  <c r="EA162" i="1"/>
  <c r="EE162" i="1" s="1"/>
  <c r="EM162" i="1" s="1"/>
  <c r="EG166" i="1"/>
  <c r="AG162" i="1" l="1"/>
  <c r="AC163" i="1"/>
  <c r="EA163" i="1"/>
  <c r="EE163" i="1" s="1"/>
  <c r="EM163" i="1" s="1"/>
  <c r="EG167" i="1"/>
  <c r="AG163" i="1" l="1"/>
  <c r="AC164" i="1"/>
  <c r="EA164" i="1"/>
  <c r="EE164" i="1" s="1"/>
  <c r="EM164" i="1" s="1"/>
  <c r="EG168" i="1"/>
  <c r="AG164" i="1" l="1"/>
  <c r="AC165" i="1"/>
  <c r="EG169" i="1"/>
  <c r="EA165" i="1"/>
  <c r="EE165" i="1" s="1"/>
  <c r="EM165" i="1" s="1"/>
  <c r="AG165" i="1" l="1"/>
  <c r="AC166" i="1"/>
  <c r="EA166" i="1"/>
  <c r="EE166" i="1" s="1"/>
  <c r="EM166" i="1" s="1"/>
  <c r="EG170" i="1"/>
  <c r="AG166" i="1" l="1"/>
  <c r="AC167" i="1"/>
  <c r="EG171" i="1"/>
  <c r="EA167" i="1"/>
  <c r="EE167" i="1" s="1"/>
  <c r="EM167" i="1" s="1"/>
  <c r="AG167" i="1" l="1"/>
  <c r="AC168" i="1"/>
  <c r="EA168" i="1"/>
  <c r="EE168" i="1" s="1"/>
  <c r="EM168" i="1" s="1"/>
  <c r="EG172" i="1"/>
  <c r="AG168" i="1" l="1"/>
  <c r="AC169" i="1"/>
  <c r="EG174" i="1"/>
  <c r="EA169" i="1"/>
  <c r="EE169" i="1" s="1"/>
  <c r="EM169" i="1" s="1"/>
  <c r="AG169" i="1" l="1"/>
  <c r="AC171" i="1"/>
  <c r="EG175" i="1"/>
  <c r="EA170" i="1"/>
  <c r="DY170" i="1" a="1"/>
  <c r="DY170" i="1" s="1"/>
  <c r="AG171" i="1" l="1"/>
  <c r="AC172" i="1"/>
  <c r="EA171" i="1"/>
  <c r="EE171" i="1" s="1"/>
  <c r="EM171" i="1" s="1"/>
  <c r="EI170" i="1"/>
  <c r="EB170" i="1"/>
  <c r="EE170" i="1" s="1"/>
  <c r="EM170" i="1" s="1"/>
  <c r="EG176" i="1"/>
  <c r="AG172" i="1" l="1"/>
  <c r="AC174" i="1"/>
  <c r="ES170" i="1"/>
  <c r="EW170" i="1" s="1"/>
  <c r="EG177" i="1"/>
  <c r="EA172" i="1"/>
  <c r="EE172" i="1" s="1"/>
  <c r="EM172" i="1" s="1"/>
  <c r="AG174" i="1" l="1"/>
  <c r="AC175" i="1"/>
  <c r="EA174" i="1"/>
  <c r="EE174" i="1" s="1"/>
  <c r="EM174" i="1" s="1"/>
  <c r="EG180" i="1"/>
  <c r="AG175" i="1" l="1"/>
  <c r="AC176" i="1"/>
  <c r="EG181" i="1"/>
  <c r="EA175" i="1"/>
  <c r="EE175" i="1" s="1"/>
  <c r="EM175" i="1" s="1"/>
  <c r="AG176" i="1" l="1"/>
  <c r="AC177" i="1"/>
  <c r="EG184" i="1"/>
  <c r="EA176" i="1"/>
  <c r="EE176" i="1" s="1"/>
  <c r="EM176" i="1" s="1"/>
  <c r="AG177" i="1" l="1"/>
  <c r="AC180" i="1"/>
  <c r="EA177" i="1"/>
  <c r="EE177" i="1" s="1"/>
  <c r="EM177" i="1" s="1"/>
  <c r="EG185" i="1"/>
  <c r="AG180" i="1" l="1"/>
  <c r="AC181" i="1"/>
  <c r="EG186" i="1"/>
  <c r="EA180" i="1"/>
  <c r="EE180" i="1" s="1"/>
  <c r="EM180" i="1" s="1"/>
  <c r="AG181" i="1" l="1"/>
  <c r="AC184" i="1"/>
  <c r="EA181" i="1"/>
  <c r="EE181" i="1" s="1"/>
  <c r="EM181" i="1" s="1"/>
  <c r="EG187" i="1"/>
  <c r="AG184" i="1" l="1"/>
  <c r="AC185" i="1"/>
  <c r="EG188" i="1"/>
  <c r="EA184" i="1"/>
  <c r="EE184" i="1" s="1"/>
  <c r="EM184" i="1" s="1"/>
  <c r="AG185" i="1" l="1"/>
  <c r="AC186" i="1"/>
  <c r="EA185" i="1"/>
  <c r="EE185" i="1" s="1"/>
  <c r="EM185" i="1" s="1"/>
  <c r="EG189" i="1"/>
  <c r="AG186" i="1" l="1"/>
  <c r="AC187" i="1"/>
  <c r="EG190" i="1"/>
  <c r="EA186" i="1"/>
  <c r="EE186" i="1" s="1"/>
  <c r="EM186" i="1" s="1"/>
  <c r="AG187" i="1" l="1"/>
  <c r="AC188" i="1"/>
  <c r="EA187" i="1"/>
  <c r="EE187" i="1" s="1"/>
  <c r="EM187" i="1" s="1"/>
  <c r="EG191" i="1"/>
  <c r="AG188" i="1" l="1"/>
  <c r="AC189" i="1"/>
  <c r="EA188" i="1"/>
  <c r="EE188" i="1" s="1"/>
  <c r="EM188" i="1" s="1"/>
  <c r="EG192" i="1"/>
  <c r="AG189" i="1" l="1"/>
  <c r="AC190" i="1"/>
  <c r="EA189" i="1"/>
  <c r="EE189" i="1" s="1"/>
  <c r="EM189" i="1" s="1"/>
  <c r="EG193" i="1"/>
  <c r="AG190" i="1" l="1"/>
  <c r="AC191" i="1"/>
  <c r="EG194" i="1"/>
  <c r="EA190" i="1"/>
  <c r="EE190" i="1" s="1"/>
  <c r="EM190" i="1" s="1"/>
  <c r="AG191" i="1" l="1"/>
  <c r="AC192" i="1"/>
  <c r="EA191" i="1"/>
  <c r="EE191" i="1" s="1"/>
  <c r="EM191" i="1" s="1"/>
  <c r="EG195" i="1"/>
  <c r="AG192" i="1" l="1"/>
  <c r="AC193" i="1"/>
  <c r="EG196" i="1"/>
  <c r="EA192" i="1"/>
  <c r="EE192" i="1" s="1"/>
  <c r="EM192" i="1" s="1"/>
  <c r="AG193" i="1" l="1"/>
  <c r="AC194" i="1"/>
  <c r="EA193" i="1"/>
  <c r="EE193" i="1" s="1"/>
  <c r="EM193" i="1" s="1"/>
  <c r="EG197" i="1"/>
  <c r="AG194" i="1" l="1"/>
  <c r="AC195" i="1"/>
  <c r="EG198" i="1"/>
  <c r="EA194" i="1"/>
  <c r="EE194" i="1" s="1"/>
  <c r="EM194" i="1" s="1"/>
  <c r="AG195" i="1" l="1"/>
  <c r="AC196" i="1"/>
  <c r="EA195" i="1"/>
  <c r="EE195" i="1" s="1"/>
  <c r="EM195" i="1" s="1"/>
  <c r="EG199" i="1"/>
  <c r="AG196" i="1" l="1"/>
  <c r="AC198" i="1"/>
  <c r="EG200" i="1"/>
  <c r="EA196" i="1"/>
  <c r="EE196" i="1" s="1"/>
  <c r="EM196" i="1" s="1"/>
  <c r="AG198" i="1" l="1"/>
  <c r="AC199" i="1"/>
  <c r="EA197" i="1"/>
  <c r="EE197" i="1" s="1"/>
  <c r="EM197" i="1" s="1"/>
  <c r="DY197" i="1" a="1"/>
  <c r="DY197" i="1" s="1"/>
  <c r="EG201" i="1"/>
  <c r="AG199" i="1" l="1"/>
  <c r="AC200" i="1"/>
  <c r="EG202" i="1"/>
  <c r="EA198" i="1"/>
  <c r="EE198" i="1" s="1"/>
  <c r="EM198" i="1" s="1"/>
  <c r="EI197" i="1"/>
  <c r="ES197" i="1" s="1"/>
  <c r="EB197" i="1"/>
  <c r="AG200" i="1" l="1"/>
  <c r="AC201" i="1"/>
  <c r="EW197" i="1"/>
  <c r="EA199" i="1"/>
  <c r="EE199" i="1" s="1"/>
  <c r="EM199" i="1" s="1"/>
  <c r="EG203" i="1"/>
  <c r="AG201" i="1" l="1"/>
  <c r="AC202" i="1"/>
  <c r="EA200" i="1"/>
  <c r="EE200" i="1" s="1"/>
  <c r="EM200" i="1" s="1"/>
  <c r="EG204" i="1"/>
  <c r="AG202" i="1" l="1"/>
  <c r="AC204" i="1"/>
  <c r="EG205" i="1"/>
  <c r="EA201" i="1"/>
  <c r="EE201" i="1" s="1"/>
  <c r="EM201" i="1" s="1"/>
  <c r="AG204" i="1" l="1"/>
  <c r="AC205" i="1"/>
  <c r="EA202" i="1"/>
  <c r="EE202" i="1" s="1"/>
  <c r="EM202" i="1" s="1"/>
  <c r="EG206" i="1"/>
  <c r="AG205" i="1" l="1"/>
  <c r="AC206" i="1"/>
  <c r="EG207" i="1"/>
  <c r="EA203" i="1"/>
  <c r="EE203" i="1" s="1"/>
  <c r="EM203" i="1" s="1"/>
  <c r="DY203" i="1" a="1"/>
  <c r="DY203" i="1" s="1"/>
  <c r="AG206" i="1" l="1"/>
  <c r="AC208" i="1"/>
  <c r="EA204" i="1"/>
  <c r="EE204" i="1" s="1"/>
  <c r="EM204" i="1" s="1"/>
  <c r="EI203" i="1"/>
  <c r="ES203" i="1" s="1"/>
  <c r="EB203" i="1"/>
  <c r="EG208" i="1"/>
  <c r="AG208" i="1" l="1"/>
  <c r="AC209" i="1"/>
  <c r="EW203" i="1"/>
  <c r="EG209" i="1"/>
  <c r="EA205" i="1"/>
  <c r="EE205" i="1" s="1"/>
  <c r="EM205" i="1" s="1"/>
  <c r="AG209" i="1" l="1"/>
  <c r="AC210" i="1"/>
  <c r="EA206" i="1"/>
  <c r="EE206" i="1" s="1"/>
  <c r="EM206" i="1" s="1"/>
  <c r="EG210" i="1"/>
  <c r="AG210" i="1" l="1"/>
  <c r="AC211" i="1"/>
  <c r="EG211" i="1"/>
  <c r="EA207" i="1"/>
  <c r="EE207" i="1" s="1"/>
  <c r="EM207" i="1" s="1"/>
  <c r="DY207" i="1" a="1"/>
  <c r="DY207" i="1" s="1"/>
  <c r="AG211" i="1" l="1"/>
  <c r="AC212" i="1"/>
  <c r="EG212" i="1"/>
  <c r="EA208" i="1"/>
  <c r="EE208" i="1" s="1"/>
  <c r="EM208" i="1" s="1"/>
  <c r="EI207" i="1"/>
  <c r="ES207" i="1" s="1"/>
  <c r="EB207" i="1"/>
  <c r="AG212" i="1" l="1"/>
  <c r="AC213" i="1"/>
  <c r="EA209" i="1"/>
  <c r="EE209" i="1" s="1"/>
  <c r="EM209" i="1" s="1"/>
  <c r="EG213" i="1"/>
  <c r="EW207" i="1"/>
  <c r="AG213" i="1" l="1"/>
  <c r="AC214" i="1"/>
  <c r="EG214" i="1"/>
  <c r="EA210" i="1"/>
  <c r="EE210" i="1" s="1"/>
  <c r="EM210" i="1" s="1"/>
  <c r="AG214" i="1" l="1"/>
  <c r="AC215" i="1"/>
  <c r="EG215" i="1"/>
  <c r="EA211" i="1"/>
  <c r="EE211" i="1" s="1"/>
  <c r="EM211" i="1" s="1"/>
  <c r="AG215" i="1" l="1"/>
  <c r="AC216" i="1"/>
  <c r="EA212" i="1"/>
  <c r="EE212" i="1" s="1"/>
  <c r="EM212" i="1" s="1"/>
  <c r="EG216" i="1"/>
  <c r="AG216" i="1" l="1"/>
  <c r="AC217" i="1"/>
  <c r="EG217" i="1"/>
  <c r="EA213" i="1"/>
  <c r="EE213" i="1" s="1"/>
  <c r="EM213" i="1" s="1"/>
  <c r="AG217" i="1" l="1"/>
  <c r="AC218" i="1"/>
  <c r="EG218" i="1"/>
  <c r="EA214" i="1"/>
  <c r="EE214" i="1" s="1"/>
  <c r="EM214" i="1" s="1"/>
  <c r="AG218" i="1" l="1"/>
  <c r="AC219" i="1"/>
  <c r="EA215" i="1"/>
  <c r="EE215" i="1" s="1"/>
  <c r="EM215" i="1" s="1"/>
  <c r="EG219" i="1"/>
  <c r="AG219" i="1" l="1"/>
  <c r="AC221" i="1"/>
  <c r="EG221" i="1"/>
  <c r="EA216" i="1"/>
  <c r="EE216" i="1" s="1"/>
  <c r="EM216" i="1" s="1"/>
  <c r="AG221" i="1" l="1"/>
  <c r="AC222" i="1"/>
  <c r="EG222" i="1"/>
  <c r="EA217" i="1"/>
  <c r="EE217" i="1" s="1"/>
  <c r="EM217" i="1" s="1"/>
  <c r="AG222" i="1" l="1"/>
  <c r="AC223" i="1"/>
  <c r="EA218" i="1"/>
  <c r="EE218" i="1" s="1"/>
  <c r="EM218" i="1" s="1"/>
  <c r="EG223" i="1"/>
  <c r="AG223" i="1" l="1"/>
  <c r="AC226" i="1"/>
  <c r="EG226" i="1"/>
  <c r="EA219" i="1"/>
  <c r="EE219" i="1" s="1"/>
  <c r="EM219" i="1" s="1"/>
  <c r="AG226" i="1" l="1"/>
  <c r="AC227" i="1"/>
  <c r="EA221" i="1"/>
  <c r="EE221" i="1" s="1"/>
  <c r="EM221" i="1" s="1"/>
  <c r="EG227" i="1"/>
  <c r="AG227" i="1" l="1"/>
  <c r="AC228" i="1"/>
  <c r="EA222" i="1"/>
  <c r="EE222" i="1" s="1"/>
  <c r="EM222" i="1" s="1"/>
  <c r="EG228" i="1"/>
  <c r="AG228" i="1" l="1"/>
  <c r="AC229" i="1"/>
  <c r="EA223" i="1"/>
  <c r="EE223" i="1" s="1"/>
  <c r="EM223" i="1" s="1"/>
  <c r="EG229" i="1"/>
  <c r="AG229" i="1" l="1"/>
  <c r="AC230" i="1"/>
  <c r="EA226" i="1"/>
  <c r="EE226" i="1" s="1"/>
  <c r="EM226" i="1" s="1"/>
  <c r="EG230" i="1"/>
  <c r="AG230" i="1" l="1"/>
  <c r="AC231" i="1"/>
  <c r="EG231" i="1"/>
  <c r="EA227" i="1"/>
  <c r="EE227" i="1" s="1"/>
  <c r="EM227" i="1" s="1"/>
  <c r="AG231" i="1" l="1"/>
  <c r="AC232" i="1"/>
  <c r="EA228" i="1"/>
  <c r="EE228" i="1" s="1"/>
  <c r="EM228" i="1" s="1"/>
  <c r="EG232" i="1"/>
  <c r="AG232" i="1" l="1"/>
  <c r="AC233" i="1"/>
  <c r="EG233" i="1"/>
  <c r="EA229" i="1"/>
  <c r="EE229" i="1" s="1"/>
  <c r="EM229" i="1" s="1"/>
  <c r="AG233" i="1" l="1"/>
  <c r="AC234" i="1"/>
  <c r="EA230" i="1"/>
  <c r="EE230" i="1" s="1"/>
  <c r="EM230" i="1" s="1"/>
  <c r="EG234" i="1"/>
  <c r="AG234" i="1" l="1"/>
  <c r="AC235" i="1"/>
  <c r="EG235" i="1"/>
  <c r="EA231" i="1"/>
  <c r="EE231" i="1" s="1"/>
  <c r="EM231" i="1" s="1"/>
  <c r="AG235" i="1" l="1"/>
  <c r="AC236" i="1"/>
  <c r="EA232" i="1"/>
  <c r="EE232" i="1" s="1"/>
  <c r="EM232" i="1" s="1"/>
  <c r="EG236" i="1"/>
  <c r="AG236" i="1" l="1"/>
  <c r="AC237" i="1"/>
  <c r="EG237" i="1"/>
  <c r="EA233" i="1"/>
  <c r="EE233" i="1" s="1"/>
  <c r="EM233" i="1" s="1"/>
  <c r="AG237" i="1" l="1"/>
  <c r="AC238" i="1"/>
  <c r="EA234" i="1"/>
  <c r="EE234" i="1" s="1"/>
  <c r="EM234" i="1" s="1"/>
  <c r="EG238" i="1"/>
  <c r="AG238" i="1" l="1"/>
  <c r="AC239" i="1"/>
  <c r="EG239" i="1"/>
  <c r="EA235" i="1"/>
  <c r="EE235" i="1" s="1"/>
  <c r="EM235" i="1" s="1"/>
  <c r="AG239" i="1" l="1"/>
  <c r="AC240" i="1"/>
  <c r="EA236" i="1"/>
  <c r="EE236" i="1" s="1"/>
  <c r="EM236" i="1" s="1"/>
  <c r="EG240" i="1"/>
  <c r="AG240" i="1" l="1"/>
  <c r="AC242" i="1"/>
  <c r="EG242" i="1"/>
  <c r="EA237" i="1"/>
  <c r="EE237" i="1" s="1"/>
  <c r="EM237" i="1" s="1"/>
  <c r="AG242" i="1" l="1"/>
  <c r="AC244" i="1"/>
  <c r="EA238" i="1"/>
  <c r="EE238" i="1" s="1"/>
  <c r="EM238" i="1" s="1"/>
  <c r="EG244" i="1"/>
  <c r="AG244" i="1" l="1"/>
  <c r="AC245" i="1"/>
  <c r="EG245" i="1"/>
  <c r="EA239" i="1"/>
  <c r="EE239" i="1" s="1"/>
  <c r="EM239" i="1" s="1"/>
  <c r="AG245" i="1" l="1"/>
  <c r="AC246" i="1"/>
  <c r="EA240" i="1"/>
  <c r="EE240" i="1" s="1"/>
  <c r="EM240" i="1" s="1"/>
  <c r="EG246" i="1"/>
  <c r="AG246" i="1" l="1"/>
  <c r="AC247" i="1"/>
  <c r="EG247" i="1"/>
  <c r="EA242" i="1"/>
  <c r="EE242" i="1" s="1"/>
  <c r="EM242" i="1" s="1"/>
  <c r="AG247" i="1" l="1"/>
  <c r="AC248" i="1"/>
  <c r="EG248" i="1"/>
  <c r="EA244" i="1"/>
  <c r="EE244" i="1" s="1"/>
  <c r="EM244" i="1" s="1"/>
  <c r="AG248" i="1" l="1"/>
  <c r="AC249" i="1"/>
  <c r="EG249" i="1"/>
  <c r="EA245" i="1"/>
  <c r="EE245" i="1" s="1"/>
  <c r="EM245" i="1" s="1"/>
  <c r="AG249" i="1" l="1"/>
  <c r="AC250" i="1"/>
  <c r="EA246" i="1"/>
  <c r="EE246" i="1" s="1"/>
  <c r="EM246" i="1" s="1"/>
  <c r="EG250" i="1"/>
  <c r="AG250" i="1" l="1"/>
  <c r="AC253" i="1"/>
  <c r="EG253" i="1"/>
  <c r="EA247" i="1"/>
  <c r="EE247" i="1" s="1"/>
  <c r="EM247" i="1" s="1"/>
  <c r="AG253" i="1" l="1"/>
  <c r="AC254" i="1"/>
  <c r="EG254" i="1"/>
  <c r="EA248" i="1"/>
  <c r="EE248" i="1" s="1"/>
  <c r="EM248" i="1" s="1"/>
  <c r="AG254" i="1" l="1"/>
  <c r="AC255" i="1"/>
  <c r="EA249" i="1"/>
  <c r="EE249" i="1" s="1"/>
  <c r="EM249" i="1" s="1"/>
  <c r="EG255" i="1"/>
  <c r="AG255" i="1" l="1"/>
  <c r="AC256" i="1"/>
  <c r="EG256" i="1"/>
  <c r="EA250" i="1"/>
  <c r="EE250" i="1" s="1"/>
  <c r="EM250" i="1" s="1"/>
  <c r="AG256" i="1" l="1"/>
  <c r="AC257" i="1"/>
  <c r="EA253" i="1"/>
  <c r="EE253" i="1" s="1"/>
  <c r="EM253" i="1" s="1"/>
  <c r="EG257" i="1"/>
  <c r="AG257" i="1" l="1"/>
  <c r="AC258" i="1"/>
  <c r="EG258" i="1"/>
  <c r="EA254" i="1"/>
  <c r="EE254" i="1" s="1"/>
  <c r="EM254" i="1" s="1"/>
  <c r="AG258" i="1" l="1"/>
  <c r="AC259" i="1"/>
  <c r="EA255" i="1"/>
  <c r="EE255" i="1" s="1"/>
  <c r="EM255" i="1" s="1"/>
  <c r="EG259" i="1"/>
  <c r="AG259" i="1" l="1"/>
  <c r="AC260" i="1"/>
  <c r="EG260" i="1"/>
  <c r="EA256" i="1"/>
  <c r="EE256" i="1" s="1"/>
  <c r="EM256" i="1" s="1"/>
  <c r="AG260" i="1" l="1"/>
  <c r="AC263" i="1"/>
  <c r="EA257" i="1"/>
  <c r="EE257" i="1" s="1"/>
  <c r="EM257" i="1" s="1"/>
  <c r="EG263" i="1"/>
  <c r="AG263" i="1" l="1"/>
  <c r="AC264" i="1"/>
  <c r="EG264" i="1"/>
  <c r="EA258" i="1"/>
  <c r="EE258" i="1" s="1"/>
  <c r="EM258" i="1" s="1"/>
  <c r="AG264" i="1" l="1"/>
  <c r="AC265" i="1"/>
  <c r="EA259" i="1"/>
  <c r="EE259" i="1" s="1"/>
  <c r="EM259" i="1" s="1"/>
  <c r="EG265" i="1"/>
  <c r="AG265" i="1" l="1"/>
  <c r="AC266" i="1"/>
  <c r="EG266" i="1"/>
  <c r="EA260" i="1"/>
  <c r="EE260" i="1" s="1"/>
  <c r="EM260" i="1" s="1"/>
  <c r="AG266" i="1" l="1"/>
  <c r="AC267" i="1"/>
  <c r="EA263" i="1"/>
  <c r="EE263" i="1" s="1"/>
  <c r="EM263" i="1" s="1"/>
  <c r="EG267" i="1"/>
  <c r="AG267" i="1" l="1"/>
  <c r="AC268" i="1"/>
  <c r="EA264" i="1"/>
  <c r="EE264" i="1" s="1"/>
  <c r="EM264" i="1" s="1"/>
  <c r="EG268" i="1"/>
  <c r="AG268" i="1" l="1"/>
  <c r="AC269" i="1"/>
  <c r="EG269" i="1"/>
  <c r="EA265" i="1"/>
  <c r="EE265" i="1" s="1"/>
  <c r="EM265" i="1" s="1"/>
  <c r="AG269" i="1" l="1"/>
  <c r="AC270" i="1"/>
  <c r="EA266" i="1"/>
  <c r="EE266" i="1" s="1"/>
  <c r="EM266" i="1" s="1"/>
  <c r="EG270" i="1"/>
  <c r="AG270" i="1" l="1"/>
  <c r="AC271" i="1"/>
  <c r="EA267" i="1"/>
  <c r="EE267" i="1" s="1"/>
  <c r="EM267" i="1" s="1"/>
  <c r="EG271" i="1"/>
  <c r="AG271" i="1" l="1"/>
  <c r="AC272" i="1"/>
  <c r="EG272" i="1"/>
  <c r="EA268" i="1"/>
  <c r="EE268" i="1" s="1"/>
  <c r="EM268" i="1" s="1"/>
  <c r="AG272" i="1" l="1"/>
  <c r="AC273" i="1"/>
  <c r="EG273" i="1"/>
  <c r="EA269" i="1"/>
  <c r="EE269" i="1" s="1"/>
  <c r="EM269" i="1" s="1"/>
  <c r="AG273" i="1" l="1"/>
  <c r="AC274" i="1"/>
  <c r="EA270" i="1"/>
  <c r="EE270" i="1" s="1"/>
  <c r="EM270" i="1" s="1"/>
  <c r="EG274" i="1"/>
  <c r="AG274" i="1" l="1"/>
  <c r="AC275" i="1"/>
  <c r="EG275" i="1"/>
  <c r="EA271" i="1"/>
  <c r="EE271" i="1" s="1"/>
  <c r="EM271" i="1" s="1"/>
  <c r="AG275" i="1" l="1"/>
  <c r="AC276" i="1"/>
  <c r="EA272" i="1"/>
  <c r="EE272" i="1" s="1"/>
  <c r="EM272" i="1" s="1"/>
  <c r="EG276" i="1"/>
  <c r="AG276" i="1" l="1"/>
  <c r="AC277" i="1"/>
  <c r="EG277" i="1"/>
  <c r="EA273" i="1"/>
  <c r="EE273" i="1" s="1"/>
  <c r="EM273" i="1" s="1"/>
  <c r="AG277" i="1" l="1"/>
  <c r="AC278" i="1"/>
  <c r="EG278" i="1"/>
  <c r="EA274" i="1"/>
  <c r="EE274" i="1" s="1"/>
  <c r="EM274" i="1" s="1"/>
  <c r="AG278" i="1" l="1"/>
  <c r="AC279" i="1"/>
  <c r="EA275" i="1"/>
  <c r="EE275" i="1" s="1"/>
  <c r="EM275" i="1" s="1"/>
  <c r="EG279" i="1"/>
  <c r="AG279" i="1" l="1"/>
  <c r="AC281" i="1"/>
  <c r="EG281" i="1"/>
  <c r="EA276" i="1"/>
  <c r="EE276" i="1" s="1"/>
  <c r="EM276" i="1" s="1"/>
  <c r="AG281" i="1" l="1"/>
  <c r="AC282" i="1"/>
  <c r="EG282" i="1"/>
  <c r="EA277" i="1"/>
  <c r="EE277" i="1" s="1"/>
  <c r="EM277" i="1" s="1"/>
  <c r="AG282" i="1" l="1"/>
  <c r="AC283" i="1"/>
  <c r="EA278" i="1"/>
  <c r="EE278" i="1" s="1"/>
  <c r="EM278" i="1" s="1"/>
  <c r="EG283" i="1"/>
  <c r="AG283" i="1" l="1"/>
  <c r="AC284" i="1"/>
  <c r="EA279" i="1"/>
  <c r="EE279" i="1" s="1"/>
  <c r="EM279" i="1" s="1"/>
  <c r="EG284" i="1"/>
  <c r="AG284" i="1" l="1"/>
  <c r="AC285" i="1"/>
  <c r="EA281" i="1"/>
  <c r="EE281" i="1" s="1"/>
  <c r="EM281" i="1" s="1"/>
  <c r="EG285" i="1"/>
  <c r="AG285" i="1" l="1"/>
  <c r="AC286" i="1"/>
  <c r="EA282" i="1"/>
  <c r="EE282" i="1" s="1"/>
  <c r="EM282" i="1" s="1"/>
  <c r="EG286" i="1"/>
  <c r="AG286" i="1" l="1"/>
  <c r="AC287" i="1"/>
  <c r="EG287" i="1"/>
  <c r="EA283" i="1"/>
  <c r="EE283" i="1" s="1"/>
  <c r="EM283" i="1" s="1"/>
  <c r="AG287" i="1" l="1"/>
  <c r="AC288" i="1"/>
  <c r="EA284" i="1"/>
  <c r="EE284" i="1" s="1"/>
  <c r="EM284" i="1" s="1"/>
  <c r="EG288" i="1"/>
  <c r="AG288" i="1" l="1"/>
  <c r="AC289" i="1"/>
  <c r="EG289" i="1"/>
  <c r="EA285" i="1"/>
  <c r="EE285" i="1" s="1"/>
  <c r="EM285" i="1" s="1"/>
  <c r="AG289" i="1" l="1"/>
  <c r="AC290" i="1"/>
  <c r="EA286" i="1"/>
  <c r="EE286" i="1" s="1"/>
  <c r="EM286" i="1" s="1"/>
  <c r="EG290" i="1"/>
  <c r="AG290" i="1" l="1"/>
  <c r="AC291" i="1"/>
  <c r="EA287" i="1"/>
  <c r="EE287" i="1" s="1"/>
  <c r="EM287" i="1" s="1"/>
  <c r="EG291" i="1"/>
  <c r="AG291" i="1" l="1"/>
  <c r="AC292" i="1"/>
  <c r="EG292" i="1"/>
  <c r="EA288" i="1"/>
  <c r="EE288" i="1" s="1"/>
  <c r="EM288" i="1" s="1"/>
  <c r="AG292" i="1" l="1"/>
  <c r="AC293" i="1"/>
  <c r="EA289" i="1"/>
  <c r="EE289" i="1" s="1"/>
  <c r="EM289" i="1" s="1"/>
  <c r="EG293" i="1"/>
  <c r="AG293" i="1" l="1"/>
  <c r="AC294" i="1"/>
  <c r="EG294" i="1"/>
  <c r="EA290" i="1"/>
  <c r="EE290" i="1" s="1"/>
  <c r="EM290" i="1" s="1"/>
  <c r="AG294" i="1" l="1"/>
  <c r="AC295" i="1"/>
  <c r="EA291" i="1"/>
  <c r="EE291" i="1" s="1"/>
  <c r="EM291" i="1" s="1"/>
  <c r="EG295" i="1"/>
  <c r="AG295" i="1" l="1"/>
  <c r="AC296" i="1"/>
  <c r="EG296" i="1"/>
  <c r="EA292" i="1"/>
  <c r="EE292" i="1" s="1"/>
  <c r="EM292" i="1" s="1"/>
  <c r="AG296" i="1" l="1"/>
  <c r="AC297" i="1"/>
  <c r="EA293" i="1"/>
  <c r="EE293" i="1" s="1"/>
  <c r="EM293" i="1" s="1"/>
  <c r="EG297" i="1"/>
  <c r="AG297" i="1" l="1"/>
  <c r="AC298" i="1"/>
  <c r="EG298" i="1"/>
  <c r="EA294" i="1"/>
  <c r="EE294" i="1" s="1"/>
  <c r="EM294" i="1" s="1"/>
  <c r="AG298" i="1" l="1"/>
  <c r="AC299" i="1"/>
  <c r="EA295" i="1"/>
  <c r="EE295" i="1" s="1"/>
  <c r="EM295" i="1" s="1"/>
  <c r="EG299" i="1"/>
  <c r="AG299" i="1" l="1"/>
  <c r="AC300" i="1"/>
  <c r="EG300" i="1"/>
  <c r="EA296" i="1"/>
  <c r="EE296" i="1" s="1"/>
  <c r="EM296" i="1" s="1"/>
  <c r="AG300" i="1" l="1"/>
  <c r="AC301" i="1"/>
  <c r="EA297" i="1"/>
  <c r="EE297" i="1" s="1"/>
  <c r="EM297" i="1" s="1"/>
  <c r="EG301" i="1"/>
  <c r="AG301" i="1" l="1"/>
  <c r="AC302" i="1"/>
  <c r="EG302" i="1"/>
  <c r="EA298" i="1"/>
  <c r="EE298" i="1" s="1"/>
  <c r="EM298" i="1" s="1"/>
  <c r="AG302" i="1" l="1"/>
  <c r="AC303" i="1"/>
  <c r="EA299" i="1"/>
  <c r="EE299" i="1" s="1"/>
  <c r="EM299" i="1" s="1"/>
  <c r="EG303" i="1"/>
  <c r="AG303" i="1" l="1"/>
  <c r="AC304" i="1"/>
  <c r="EA300" i="1"/>
  <c r="EE300" i="1" s="1"/>
  <c r="EM300" i="1" s="1"/>
  <c r="EG304" i="1"/>
  <c r="AG304" i="1" l="1"/>
  <c r="AC305" i="1"/>
  <c r="EA301" i="1"/>
  <c r="EE301" i="1" s="1"/>
  <c r="EM301" i="1" s="1"/>
  <c r="EG305" i="1"/>
  <c r="AG305" i="1" l="1"/>
  <c r="AC306" i="1"/>
  <c r="EG306" i="1"/>
  <c r="EA302" i="1"/>
  <c r="EE302" i="1" s="1"/>
  <c r="EM302" i="1" s="1"/>
  <c r="AG306" i="1" l="1"/>
  <c r="AC307" i="1"/>
  <c r="EA303" i="1"/>
  <c r="EE303" i="1" s="1"/>
  <c r="EM303" i="1" s="1"/>
  <c r="EG307" i="1"/>
  <c r="AG307" i="1" l="1"/>
  <c r="AC310" i="1"/>
  <c r="EG310" i="1"/>
  <c r="EA304" i="1"/>
  <c r="EE304" i="1" s="1"/>
  <c r="EM304" i="1" s="1"/>
  <c r="AG310" i="1" l="1"/>
  <c r="AC311" i="1"/>
  <c r="EG311" i="1"/>
  <c r="EA305" i="1"/>
  <c r="EE305" i="1" s="1"/>
  <c r="EM305" i="1" s="1"/>
  <c r="AG311" i="1" l="1"/>
  <c r="AC312" i="1"/>
  <c r="EA306" i="1"/>
  <c r="EE306" i="1" s="1"/>
  <c r="EM306" i="1" s="1"/>
  <c r="EG312" i="1"/>
  <c r="AG312" i="1" l="1"/>
  <c r="AC313" i="1"/>
  <c r="EG313" i="1"/>
  <c r="EA307" i="1"/>
  <c r="EE307" i="1" s="1"/>
  <c r="EM307" i="1" s="1"/>
  <c r="AG313" i="1" l="1"/>
  <c r="AC314" i="1"/>
  <c r="EA310" i="1"/>
  <c r="EE310" i="1" s="1"/>
  <c r="EM310" i="1" s="1"/>
  <c r="EG314" i="1"/>
  <c r="AG314" i="1" l="1"/>
  <c r="AC315" i="1"/>
  <c r="EG315" i="1"/>
  <c r="EA311" i="1"/>
  <c r="EE311" i="1" s="1"/>
  <c r="EM311" i="1" s="1"/>
  <c r="AG315" i="1" l="1"/>
  <c r="AC316" i="1"/>
  <c r="EA312" i="1"/>
  <c r="EE312" i="1" s="1"/>
  <c r="EM312" i="1" s="1"/>
  <c r="EG316" i="1"/>
  <c r="AG316" i="1" l="1"/>
  <c r="AC317" i="1"/>
  <c r="EG317" i="1"/>
  <c r="EA313" i="1"/>
  <c r="EE313" i="1" s="1"/>
  <c r="EM313" i="1" s="1"/>
  <c r="AG317" i="1" l="1"/>
  <c r="AC318" i="1"/>
  <c r="EG318" i="1"/>
  <c r="EA314" i="1"/>
  <c r="EE314" i="1" s="1"/>
  <c r="EM314" i="1" s="1"/>
  <c r="AG318" i="1" l="1"/>
  <c r="AC319" i="1"/>
  <c r="EA315" i="1"/>
  <c r="EE315" i="1" s="1"/>
  <c r="EM315" i="1" s="1"/>
  <c r="EG319" i="1"/>
  <c r="AG319" i="1" l="1"/>
  <c r="AC320" i="1"/>
  <c r="EA316" i="1"/>
  <c r="EE316" i="1" s="1"/>
  <c r="EM316" i="1" s="1"/>
  <c r="EG320" i="1"/>
  <c r="AG320" i="1" l="1"/>
  <c r="AC321" i="1"/>
  <c r="EG321" i="1"/>
  <c r="EA317" i="1"/>
  <c r="EE317" i="1" s="1"/>
  <c r="EM317" i="1" s="1"/>
  <c r="AG321" i="1" l="1"/>
  <c r="AC322" i="1"/>
  <c r="EA318" i="1"/>
  <c r="EE318" i="1" s="1"/>
  <c r="EM318" i="1" s="1"/>
  <c r="EG322" i="1"/>
  <c r="AG322" i="1" l="1"/>
  <c r="AC323" i="1"/>
  <c r="EG323" i="1"/>
  <c r="EA319" i="1"/>
  <c r="EE319" i="1" s="1"/>
  <c r="EM319" i="1" s="1"/>
  <c r="AG323" i="1" l="1"/>
  <c r="AC324" i="1"/>
  <c r="EA320" i="1"/>
  <c r="EE320" i="1" s="1"/>
  <c r="EM320" i="1" s="1"/>
  <c r="EG324" i="1"/>
  <c r="AG324" i="1" l="1"/>
  <c r="AC325" i="1"/>
  <c r="EA321" i="1"/>
  <c r="EE321" i="1" s="1"/>
  <c r="EM321" i="1" s="1"/>
  <c r="EG325" i="1"/>
  <c r="AG325" i="1" l="1"/>
  <c r="AC326" i="1"/>
  <c r="EG326" i="1"/>
  <c r="EA322" i="1"/>
  <c r="EE322" i="1" s="1"/>
  <c r="EM322" i="1" s="1"/>
  <c r="AG326" i="1" l="1"/>
  <c r="AC327" i="1"/>
  <c r="EA323" i="1"/>
  <c r="EE323" i="1" s="1"/>
  <c r="EM323" i="1" s="1"/>
  <c r="EG327" i="1"/>
  <c r="AG327" i="1" l="1"/>
  <c r="AC328" i="1"/>
  <c r="EA324" i="1"/>
  <c r="EE324" i="1" s="1"/>
  <c r="EM324" i="1" s="1"/>
  <c r="EG328" i="1"/>
  <c r="AG328" i="1" l="1"/>
  <c r="AC329" i="1"/>
  <c r="EG329" i="1"/>
  <c r="EA325" i="1"/>
  <c r="EE325" i="1" s="1"/>
  <c r="EM325" i="1" s="1"/>
  <c r="AG329" i="1" l="1"/>
  <c r="AC332" i="1"/>
  <c r="EA326" i="1"/>
  <c r="EE326" i="1" s="1"/>
  <c r="EM326" i="1" s="1"/>
  <c r="EG332" i="1"/>
  <c r="AG332" i="1" l="1"/>
  <c r="AC333" i="1"/>
  <c r="EG333" i="1"/>
  <c r="EA327" i="1"/>
  <c r="EE327" i="1" s="1"/>
  <c r="EM327" i="1" s="1"/>
  <c r="DM7" i="1"/>
  <c r="AG333" i="1" l="1"/>
  <c r="AC334" i="1"/>
  <c r="EA328" i="1"/>
  <c r="EE328" i="1" s="1"/>
  <c r="EM328" i="1" s="1"/>
  <c r="EG334" i="1"/>
  <c r="AG334" i="1" l="1"/>
  <c r="AC335" i="1"/>
  <c r="EG335" i="1"/>
  <c r="EA329" i="1"/>
  <c r="EE329" i="1" s="1"/>
  <c r="EM329" i="1" s="1"/>
  <c r="AG335" i="1" l="1"/>
  <c r="AC336" i="1"/>
  <c r="EA332" i="1"/>
  <c r="EE332" i="1" s="1"/>
  <c r="EM332" i="1" s="1"/>
  <c r="EG336" i="1"/>
  <c r="AG336" i="1" l="1"/>
  <c r="AC337" i="1"/>
  <c r="EA333" i="1"/>
  <c r="EE333" i="1" s="1"/>
  <c r="EM333" i="1" s="1"/>
  <c r="EG337" i="1"/>
  <c r="AG337" i="1" l="1"/>
  <c r="AC340" i="1"/>
  <c r="EG340" i="1"/>
  <c r="EA334" i="1"/>
  <c r="EE334" i="1" s="1"/>
  <c r="EM334" i="1" s="1"/>
  <c r="AG340" i="1" l="1"/>
  <c r="AC341" i="1"/>
  <c r="EG341" i="1"/>
  <c r="EA335" i="1"/>
  <c r="EE335" i="1" s="1"/>
  <c r="EM335" i="1" s="1"/>
  <c r="AG341" i="1" l="1"/>
  <c r="AC342" i="1"/>
  <c r="AG342" i="1" s="1"/>
  <c r="EA336" i="1"/>
  <c r="EE336" i="1" s="1"/>
  <c r="EM336" i="1" s="1"/>
  <c r="EG342" i="1"/>
  <c r="EA337" i="1" l="1"/>
  <c r="EE337" i="1" s="1"/>
  <c r="EM337" i="1" s="1"/>
  <c r="EA340" i="1" l="1"/>
  <c r="EE340" i="1" s="1"/>
  <c r="EM340" i="1" s="1"/>
  <c r="EA341" i="1" l="1"/>
  <c r="EE341" i="1" s="1"/>
  <c r="EM341" i="1" s="1"/>
  <c r="EA342" i="1" l="1"/>
  <c r="EE342" i="1" s="1"/>
  <c r="DD7" i="1"/>
  <c r="DH7" i="1" l="1"/>
  <c r="EE7" i="1"/>
  <c r="EM342" i="1"/>
  <c r="AG7" i="1" l="1"/>
  <c r="U17" i="5" l="1"/>
  <c r="J17" i="5" s="1"/>
  <c r="P17" i="5"/>
  <c r="U24" i="5"/>
  <c r="P24" i="5"/>
  <c r="U29" i="5"/>
  <c r="P29" i="5"/>
  <c r="U27" i="5"/>
  <c r="U26" i="5" s="1"/>
  <c r="P27" i="5"/>
  <c r="P26" i="5" s="1"/>
  <c r="U12" i="5"/>
  <c r="J12" i="5" s="1"/>
  <c r="P12" i="5"/>
  <c r="N8" i="5"/>
  <c r="U11" i="5"/>
  <c r="U10" i="5" s="1"/>
  <c r="J10" i="5" s="1"/>
  <c r="J11" i="5" s="1"/>
  <c r="P11" i="5"/>
  <c r="P10" i="5" s="1"/>
  <c r="U14" i="5"/>
  <c r="J14" i="5" s="1"/>
  <c r="P14" i="5"/>
  <c r="U9" i="5"/>
  <c r="J9" i="5" s="1"/>
  <c r="P9" i="5"/>
  <c r="U22" i="5"/>
  <c r="P22" i="5"/>
  <c r="U19" i="5"/>
  <c r="P19" i="5"/>
  <c r="P18" i="5" s="1"/>
  <c r="U13" i="5"/>
  <c r="J13" i="5" s="1"/>
  <c r="P13" i="5"/>
  <c r="P8" i="5"/>
  <c r="U16" i="5"/>
  <c r="U15" i="5" s="1"/>
  <c r="J15" i="5" s="1"/>
  <c r="P16" i="5"/>
  <c r="P15" i="5" s="1"/>
  <c r="T70" i="1" l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U70" i="1"/>
  <c r="N9" i="5"/>
  <c r="P25" i="5"/>
  <c r="P28" i="5"/>
  <c r="P23" i="5"/>
  <c r="P21" i="5"/>
  <c r="P20" i="5" s="1"/>
  <c r="U18" i="5"/>
  <c r="J18" i="5" s="1"/>
  <c r="J19" i="5" s="1"/>
  <c r="J16" i="5"/>
  <c r="U21" i="5"/>
  <c r="U23" i="5"/>
  <c r="J23" i="5" s="1"/>
  <c r="J24" i="5" s="1"/>
  <c r="U25" i="5"/>
  <c r="J25" i="5" s="1"/>
  <c r="J26" i="5" s="1"/>
  <c r="J27" i="5" s="1"/>
  <c r="O8" i="5"/>
  <c r="U28" i="5"/>
  <c r="J28" i="5" s="1"/>
  <c r="J29" i="5" s="1"/>
  <c r="T262" i="1" l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63" i="1"/>
  <c r="U263" i="1" s="1"/>
  <c r="O9" i="5"/>
  <c r="S9" i="5" s="1"/>
  <c r="N10" i="5"/>
  <c r="U20" i="5"/>
  <c r="J20" i="5" s="1"/>
  <c r="J21" i="5" s="1"/>
  <c r="J22" i="5" s="1"/>
  <c r="T8" i="5"/>
  <c r="S8" i="5"/>
  <c r="Q8" i="5"/>
  <c r="R8" i="5" s="1"/>
  <c r="Q9" i="5" l="1"/>
  <c r="R9" i="5" s="1"/>
  <c r="T182" i="1"/>
  <c r="U182" i="1" s="1"/>
  <c r="T181" i="1"/>
  <c r="U181" i="1" s="1"/>
  <c r="T180" i="1"/>
  <c r="U180" i="1" s="1"/>
  <c r="T183" i="1"/>
  <c r="U183" i="1" s="1"/>
  <c r="T9" i="5"/>
  <c r="W9" i="5" s="1"/>
  <c r="O10" i="5"/>
  <c r="N11" i="5"/>
  <c r="W8" i="5"/>
  <c r="T179" i="1" l="1"/>
  <c r="U179" i="1" s="1"/>
  <c r="T178" i="1"/>
  <c r="U178" i="1" s="1"/>
  <c r="T177" i="1"/>
  <c r="U177" i="1" s="1"/>
  <c r="T176" i="1"/>
  <c r="U176" i="1" s="1"/>
  <c r="T175" i="1"/>
  <c r="U175" i="1" s="1"/>
  <c r="N12" i="5"/>
  <c r="N13" i="5" s="1"/>
  <c r="O11" i="5"/>
  <c r="T10" i="5"/>
  <c r="Q10" i="5"/>
  <c r="R10" i="5" s="1"/>
  <c r="S10" i="5"/>
  <c r="Q24" i="15"/>
  <c r="U24" i="15" s="1"/>
  <c r="T150" i="1" l="1"/>
  <c r="U150" i="1" s="1"/>
  <c r="T134" i="1"/>
  <c r="U134" i="1" s="1"/>
  <c r="T149" i="1"/>
  <c r="U149" i="1" s="1"/>
  <c r="T133" i="1"/>
  <c r="U133" i="1" s="1"/>
  <c r="T148" i="1"/>
  <c r="U148" i="1" s="1"/>
  <c r="T132" i="1"/>
  <c r="U132" i="1" s="1"/>
  <c r="T147" i="1"/>
  <c r="U147" i="1" s="1"/>
  <c r="T131" i="1"/>
  <c r="U131" i="1" s="1"/>
  <c r="T146" i="1"/>
  <c r="U146" i="1" s="1"/>
  <c r="T130" i="1"/>
  <c r="U130" i="1" s="1"/>
  <c r="T145" i="1"/>
  <c r="U145" i="1" s="1"/>
  <c r="T144" i="1"/>
  <c r="U144" i="1" s="1"/>
  <c r="T143" i="1"/>
  <c r="U143" i="1" s="1"/>
  <c r="T142" i="1"/>
  <c r="U142" i="1" s="1"/>
  <c r="T141" i="1"/>
  <c r="U141" i="1" s="1"/>
  <c r="T156" i="1"/>
  <c r="U156" i="1" s="1"/>
  <c r="T140" i="1"/>
  <c r="U140" i="1" s="1"/>
  <c r="T155" i="1"/>
  <c r="U155" i="1" s="1"/>
  <c r="T139" i="1"/>
  <c r="U139" i="1" s="1"/>
  <c r="T154" i="1"/>
  <c r="U154" i="1" s="1"/>
  <c r="T138" i="1"/>
  <c r="U138" i="1" s="1"/>
  <c r="T153" i="1"/>
  <c r="U153" i="1" s="1"/>
  <c r="T137" i="1"/>
  <c r="U137" i="1" s="1"/>
  <c r="T152" i="1"/>
  <c r="U152" i="1" s="1"/>
  <c r="T136" i="1"/>
  <c r="U136" i="1" s="1"/>
  <c r="T151" i="1"/>
  <c r="U151" i="1" s="1"/>
  <c r="T135" i="1"/>
  <c r="U135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74" i="1"/>
  <c r="U174" i="1" s="1"/>
  <c r="T158" i="1"/>
  <c r="U158" i="1" s="1"/>
  <c r="T173" i="1"/>
  <c r="U173" i="1" s="1"/>
  <c r="T157" i="1"/>
  <c r="U157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W10" i="5"/>
  <c r="W11" i="5"/>
  <c r="T11" i="5"/>
  <c r="S11" i="5"/>
  <c r="Q11" i="5"/>
  <c r="R11" i="5" s="1"/>
  <c r="O13" i="5"/>
  <c r="Q16" i="15"/>
  <c r="U16" i="15" s="1"/>
  <c r="O12" i="5"/>
  <c r="N14" i="5"/>
  <c r="M11" i="7"/>
  <c r="T118" i="1" l="1"/>
  <c r="U118" i="1" s="1"/>
  <c r="T117" i="1"/>
  <c r="U117" i="1" s="1"/>
  <c r="T116" i="1"/>
  <c r="U116" i="1" s="1"/>
  <c r="T115" i="1"/>
  <c r="U115" i="1" s="1"/>
  <c r="T114" i="1"/>
  <c r="U114" i="1" s="1"/>
  <c r="T129" i="1"/>
  <c r="U129" i="1" s="1"/>
  <c r="T113" i="1"/>
  <c r="U113" i="1" s="1"/>
  <c r="T128" i="1"/>
  <c r="U128" i="1" s="1"/>
  <c r="T112" i="1"/>
  <c r="U112" i="1" s="1"/>
  <c r="T127" i="1"/>
  <c r="U127" i="1" s="1"/>
  <c r="T111" i="1"/>
  <c r="U111" i="1" s="1"/>
  <c r="T126" i="1"/>
  <c r="U126" i="1" s="1"/>
  <c r="T110" i="1"/>
  <c r="U110" i="1" s="1"/>
  <c r="T125" i="1"/>
  <c r="U125" i="1" s="1"/>
  <c r="T109" i="1"/>
  <c r="U109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S13" i="5"/>
  <c r="Q13" i="5"/>
  <c r="R13" i="5" s="1"/>
  <c r="T13" i="5"/>
  <c r="M14" i="7"/>
  <c r="Q14" i="15"/>
  <c r="U14" i="15" s="1"/>
  <c r="O14" i="5"/>
  <c r="N15" i="5"/>
  <c r="S12" i="5"/>
  <c r="T12" i="5"/>
  <c r="Q12" i="5"/>
  <c r="R12" i="5" s="1"/>
  <c r="T102" i="1" l="1"/>
  <c r="U102" i="1" s="1"/>
  <c r="T86" i="1"/>
  <c r="U86" i="1" s="1"/>
  <c r="T101" i="1"/>
  <c r="U101" i="1" s="1"/>
  <c r="T85" i="1"/>
  <c r="U85" i="1" s="1"/>
  <c r="T100" i="1"/>
  <c r="U100" i="1" s="1"/>
  <c r="T84" i="1"/>
  <c r="U84" i="1" s="1"/>
  <c r="T99" i="1"/>
  <c r="U99" i="1" s="1"/>
  <c r="T83" i="1"/>
  <c r="U83" i="1" s="1"/>
  <c r="T98" i="1"/>
  <c r="U98" i="1" s="1"/>
  <c r="T82" i="1"/>
  <c r="U82" i="1" s="1"/>
  <c r="T97" i="1"/>
  <c r="U97" i="1" s="1"/>
  <c r="T81" i="1"/>
  <c r="U81" i="1" s="1"/>
  <c r="T96" i="1"/>
  <c r="U96" i="1" s="1"/>
  <c r="T80" i="1"/>
  <c r="U80" i="1" s="1"/>
  <c r="T95" i="1"/>
  <c r="U95" i="1" s="1"/>
  <c r="T79" i="1"/>
  <c r="U79" i="1" s="1"/>
  <c r="T94" i="1"/>
  <c r="U94" i="1" s="1"/>
  <c r="T78" i="1"/>
  <c r="U78" i="1" s="1"/>
  <c r="T93" i="1"/>
  <c r="U93" i="1" s="1"/>
  <c r="T77" i="1"/>
  <c r="U77" i="1" s="1"/>
  <c r="T108" i="1"/>
  <c r="U108" i="1" s="1"/>
  <c r="T92" i="1"/>
  <c r="U92" i="1" s="1"/>
  <c r="T76" i="1"/>
  <c r="U76" i="1" s="1"/>
  <c r="T107" i="1"/>
  <c r="U107" i="1" s="1"/>
  <c r="T91" i="1"/>
  <c r="U91" i="1" s="1"/>
  <c r="T75" i="1"/>
  <c r="U75" i="1" s="1"/>
  <c r="T106" i="1"/>
  <c r="U106" i="1" s="1"/>
  <c r="T90" i="1"/>
  <c r="U90" i="1" s="1"/>
  <c r="T74" i="1"/>
  <c r="U74" i="1" s="1"/>
  <c r="T105" i="1"/>
  <c r="U105" i="1" s="1"/>
  <c r="T89" i="1"/>
  <c r="U89" i="1" s="1"/>
  <c r="T73" i="1"/>
  <c r="U73" i="1" s="1"/>
  <c r="T104" i="1"/>
  <c r="U104" i="1" s="1"/>
  <c r="T88" i="1"/>
  <c r="U88" i="1" s="1"/>
  <c r="T72" i="1"/>
  <c r="U72" i="1" s="1"/>
  <c r="T103" i="1"/>
  <c r="U103" i="1" s="1"/>
  <c r="T87" i="1"/>
  <c r="U87" i="1" s="1"/>
  <c r="T71" i="1"/>
  <c r="U71" i="1" s="1"/>
  <c r="W13" i="5"/>
  <c r="W12" i="5"/>
  <c r="N16" i="5"/>
  <c r="N17" i="5" s="1"/>
  <c r="O15" i="5"/>
  <c r="Q14" i="5"/>
  <c r="R14" i="5" s="1"/>
  <c r="S14" i="5"/>
  <c r="T14" i="5"/>
  <c r="M16" i="7"/>
  <c r="N18" i="5" l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57" i="1"/>
  <c r="U57" i="1" s="1"/>
  <c r="T56" i="1"/>
  <c r="U56" i="1" s="1"/>
  <c r="T55" i="1"/>
  <c r="U55" i="1" s="1"/>
  <c r="T38" i="1"/>
  <c r="U38" i="1" s="1"/>
  <c r="T37" i="1"/>
  <c r="U37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W14" i="5"/>
  <c r="Q15" i="5"/>
  <c r="R15" i="5" s="1"/>
  <c r="T15" i="5"/>
  <c r="S15" i="5"/>
  <c r="O17" i="5"/>
  <c r="Q11" i="15"/>
  <c r="U11" i="15" s="1"/>
  <c r="N19" i="5"/>
  <c r="O18" i="5"/>
  <c r="S18" i="5" s="1"/>
  <c r="O16" i="5"/>
  <c r="Q12" i="15"/>
  <c r="U12" i="15" s="1"/>
  <c r="N20" i="5" l="1"/>
  <c r="T225" i="1"/>
  <c r="U225" i="1" s="1"/>
  <c r="T224" i="1"/>
  <c r="U224" i="1" s="1"/>
  <c r="T223" i="1"/>
  <c r="U223" i="1" s="1"/>
  <c r="T222" i="1"/>
  <c r="U222" i="1" s="1"/>
  <c r="T221" i="1"/>
  <c r="U221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W15" i="5"/>
  <c r="T18" i="5"/>
  <c r="Q18" i="5"/>
  <c r="R18" i="5" s="1"/>
  <c r="O19" i="5"/>
  <c r="S19" i="5" s="1"/>
  <c r="M18" i="7"/>
  <c r="S17" i="5"/>
  <c r="T17" i="5"/>
  <c r="Q17" i="5"/>
  <c r="R17" i="5" s="1"/>
  <c r="S16" i="5"/>
  <c r="Q16" i="5"/>
  <c r="R16" i="5" s="1"/>
  <c r="T16" i="5"/>
  <c r="W16" i="5"/>
  <c r="Q8" i="15"/>
  <c r="U8" i="15" s="1"/>
  <c r="M10" i="7"/>
  <c r="N21" i="5"/>
  <c r="O20" i="5"/>
  <c r="Q15" i="15"/>
  <c r="U15" i="15" s="1"/>
  <c r="T214" i="1" l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23" i="1"/>
  <c r="U23" i="1" s="1"/>
  <c r="W17" i="5"/>
  <c r="W18" i="5"/>
  <c r="T19" i="5"/>
  <c r="Q19" i="5"/>
  <c r="R19" i="5" s="1"/>
  <c r="W19" i="5"/>
  <c r="M15" i="7"/>
  <c r="T20" i="5"/>
  <c r="Q20" i="5"/>
  <c r="R20" i="5" s="1"/>
  <c r="S20" i="5"/>
  <c r="N22" i="5"/>
  <c r="O21" i="5"/>
  <c r="Q10" i="15"/>
  <c r="U10" i="15" s="1"/>
  <c r="M21" i="7" l="1"/>
  <c r="T342" i="1"/>
  <c r="U342" i="1" s="1"/>
  <c r="T341" i="1"/>
  <c r="U341" i="1" s="1"/>
  <c r="T340" i="1"/>
  <c r="U340" i="1" s="1"/>
  <c r="T344" i="1"/>
  <c r="U344" i="1" s="1"/>
  <c r="T343" i="1"/>
  <c r="U343" i="1" s="1"/>
  <c r="Q29" i="15"/>
  <c r="U29" i="15" s="1"/>
  <c r="W29" i="15" s="1"/>
  <c r="W20" i="5"/>
  <c r="M19" i="7"/>
  <c r="T21" i="5"/>
  <c r="S21" i="5"/>
  <c r="Q21" i="5"/>
  <c r="R21" i="5" s="1"/>
  <c r="W21" i="5" s="1"/>
  <c r="Q13" i="15"/>
  <c r="U13" i="15" s="1"/>
  <c r="O22" i="5"/>
  <c r="N23" i="5"/>
  <c r="T339" i="1" l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M23" i="7"/>
  <c r="Q28" i="15"/>
  <c r="U28" i="15" s="1"/>
  <c r="W28" i="15" s="1"/>
  <c r="Q22" i="5"/>
  <c r="R22" i="5" s="1"/>
  <c r="S22" i="5"/>
  <c r="T22" i="5"/>
  <c r="M17" i="7"/>
  <c r="Q17" i="15"/>
  <c r="U17" i="15" s="1"/>
  <c r="O23" i="5"/>
  <c r="N24" i="5"/>
  <c r="T326" i="1" l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31" i="1"/>
  <c r="U331" i="1" s="1"/>
  <c r="T315" i="1"/>
  <c r="U315" i="1" s="1"/>
  <c r="T330" i="1"/>
  <c r="U330" i="1" s="1"/>
  <c r="T314" i="1"/>
  <c r="U314" i="1" s="1"/>
  <c r="T329" i="1"/>
  <c r="U329" i="1" s="1"/>
  <c r="T313" i="1"/>
  <c r="U313" i="1" s="1"/>
  <c r="T328" i="1"/>
  <c r="U328" i="1" s="1"/>
  <c r="T312" i="1"/>
  <c r="U312" i="1" s="1"/>
  <c r="T327" i="1"/>
  <c r="U327" i="1" s="1"/>
  <c r="W22" i="5"/>
  <c r="N25" i="5"/>
  <c r="Q27" i="15"/>
  <c r="U27" i="15" s="1"/>
  <c r="W27" i="15" s="1"/>
  <c r="M24" i="7"/>
  <c r="Q9" i="15"/>
  <c r="U9" i="15" s="1"/>
  <c r="O24" i="5"/>
  <c r="Q18" i="15"/>
  <c r="U18" i="15" s="1"/>
  <c r="T23" i="5"/>
  <c r="S23" i="5"/>
  <c r="Q23" i="5"/>
  <c r="R23" i="5" s="1"/>
  <c r="M13" i="7"/>
  <c r="O25" i="5" l="1"/>
  <c r="Q25" i="5" s="1"/>
  <c r="R25" i="5" s="1"/>
  <c r="T310" i="1"/>
  <c r="U310" i="1" s="1"/>
  <c r="T294" i="1"/>
  <c r="U294" i="1" s="1"/>
  <c r="T309" i="1"/>
  <c r="U309" i="1" s="1"/>
  <c r="T293" i="1"/>
  <c r="U293" i="1" s="1"/>
  <c r="T308" i="1"/>
  <c r="U308" i="1" s="1"/>
  <c r="T292" i="1"/>
  <c r="U292" i="1" s="1"/>
  <c r="T307" i="1"/>
  <c r="U307" i="1" s="1"/>
  <c r="T291" i="1"/>
  <c r="U291" i="1" s="1"/>
  <c r="T306" i="1"/>
  <c r="U306" i="1" s="1"/>
  <c r="T290" i="1"/>
  <c r="U290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311" i="1"/>
  <c r="U311" i="1" s="1"/>
  <c r="T295" i="1"/>
  <c r="U295" i="1" s="1"/>
  <c r="N26" i="5"/>
  <c r="M25" i="7"/>
  <c r="Q26" i="15"/>
  <c r="U26" i="15" s="1"/>
  <c r="W26" i="15" s="1"/>
  <c r="M20" i="7"/>
  <c r="T25" i="5"/>
  <c r="S25" i="5"/>
  <c r="N27" i="5"/>
  <c r="M30" i="7"/>
  <c r="Q21" i="15"/>
  <c r="U21" i="15" s="1"/>
  <c r="W23" i="5"/>
  <c r="T24" i="5"/>
  <c r="Q24" i="5"/>
  <c r="R24" i="5" s="1"/>
  <c r="S24" i="5"/>
  <c r="M12" i="7"/>
  <c r="T230" i="1" l="1"/>
  <c r="U230" i="1" s="1"/>
  <c r="T229" i="1"/>
  <c r="U229" i="1" s="1"/>
  <c r="T228" i="1"/>
  <c r="U228" i="1" s="1"/>
  <c r="T243" i="1"/>
  <c r="U243" i="1" s="1"/>
  <c r="T227" i="1"/>
  <c r="U227" i="1" s="1"/>
  <c r="T242" i="1"/>
  <c r="U242" i="1" s="1"/>
  <c r="T226" i="1"/>
  <c r="U226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O26" i="5"/>
  <c r="T278" i="1"/>
  <c r="U278" i="1" s="1"/>
  <c r="T277" i="1"/>
  <c r="U277" i="1" s="1"/>
  <c r="T276" i="1"/>
  <c r="U276" i="1" s="1"/>
  <c r="T275" i="1"/>
  <c r="U275" i="1" s="1"/>
  <c r="T274" i="1"/>
  <c r="U274" i="1" s="1"/>
  <c r="T289" i="1"/>
  <c r="U289" i="1" s="1"/>
  <c r="T273" i="1"/>
  <c r="U273" i="1" s="1"/>
  <c r="T288" i="1"/>
  <c r="U288" i="1" s="1"/>
  <c r="T272" i="1"/>
  <c r="U272" i="1" s="1"/>
  <c r="T287" i="1"/>
  <c r="U287" i="1" s="1"/>
  <c r="T271" i="1"/>
  <c r="U271" i="1" s="1"/>
  <c r="T286" i="1"/>
  <c r="U286" i="1" s="1"/>
  <c r="T270" i="1"/>
  <c r="U270" i="1" s="1"/>
  <c r="T285" i="1"/>
  <c r="U285" i="1" s="1"/>
  <c r="T269" i="1"/>
  <c r="U269" i="1" s="1"/>
  <c r="T284" i="1"/>
  <c r="U284" i="1" s="1"/>
  <c r="T268" i="1"/>
  <c r="U268" i="1" s="1"/>
  <c r="T283" i="1"/>
  <c r="U283" i="1" s="1"/>
  <c r="T267" i="1"/>
  <c r="U267" i="1" s="1"/>
  <c r="T282" i="1"/>
  <c r="U282" i="1" s="1"/>
  <c r="T266" i="1"/>
  <c r="U266" i="1" s="1"/>
  <c r="T281" i="1"/>
  <c r="U281" i="1" s="1"/>
  <c r="T265" i="1"/>
  <c r="U265" i="1" s="1"/>
  <c r="T280" i="1"/>
  <c r="U280" i="1" s="1"/>
  <c r="T264" i="1"/>
  <c r="U264" i="1" s="1"/>
  <c r="T279" i="1"/>
  <c r="U279" i="1" s="1"/>
  <c r="T26" i="5"/>
  <c r="S26" i="5"/>
  <c r="Q26" i="5"/>
  <c r="R26" i="5" s="1"/>
  <c r="W25" i="5"/>
  <c r="M26" i="7"/>
  <c r="W24" i="5"/>
  <c r="N28" i="5"/>
  <c r="O27" i="5"/>
  <c r="S27" i="5" s="1"/>
  <c r="Q20" i="15"/>
  <c r="U20" i="15" s="1"/>
  <c r="Q22" i="15"/>
  <c r="U22" i="15" s="1"/>
  <c r="W26" i="5" l="1"/>
  <c r="N29" i="5"/>
  <c r="O29" i="5" s="1"/>
  <c r="T246" i="1"/>
  <c r="U246" i="1" s="1"/>
  <c r="T245" i="1"/>
  <c r="U245" i="1" s="1"/>
  <c r="T244" i="1"/>
  <c r="U244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O28" i="5"/>
  <c r="Q28" i="5" s="1"/>
  <c r="R28" i="5" s="1"/>
  <c r="Q27" i="5"/>
  <c r="R27" i="5" s="1"/>
  <c r="T27" i="5"/>
  <c r="Q23" i="15"/>
  <c r="U23" i="15" s="1"/>
  <c r="M31" i="7"/>
  <c r="Q19" i="15"/>
  <c r="U19" i="15" s="1"/>
  <c r="W27" i="5"/>
  <c r="Q25" i="15"/>
  <c r="U25" i="15" s="1"/>
  <c r="W25" i="15" s="1"/>
  <c r="W24" i="15" s="1"/>
  <c r="M29" i="7"/>
  <c r="W23" i="15" l="1"/>
  <c r="W22" i="15" s="1"/>
  <c r="W21" i="15" s="1"/>
  <c r="W20" i="15" s="1"/>
  <c r="W19" i="15" s="1"/>
  <c r="W18" i="15" s="1"/>
  <c r="W17" i="15" s="1"/>
  <c r="W16" i="15" s="1"/>
  <c r="W15" i="15" s="1"/>
  <c r="W14" i="15" s="1"/>
  <c r="W13" i="15" s="1"/>
  <c r="W12" i="15" s="1"/>
  <c r="W11" i="15" s="1"/>
  <c r="W10" i="15" s="1"/>
  <c r="W9" i="15" s="1"/>
  <c r="W8" i="15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208" i="1"/>
  <c r="U208" i="1" s="1"/>
  <c r="T192" i="1"/>
  <c r="U192" i="1" s="1"/>
  <c r="T207" i="1"/>
  <c r="U207" i="1" s="1"/>
  <c r="T191" i="1"/>
  <c r="U191" i="1" s="1"/>
  <c r="T206" i="1"/>
  <c r="U206" i="1" s="1"/>
  <c r="T190" i="1"/>
  <c r="U190" i="1" s="1"/>
  <c r="T205" i="1"/>
  <c r="U205" i="1" s="1"/>
  <c r="T189" i="1"/>
  <c r="U189" i="1" s="1"/>
  <c r="T204" i="1"/>
  <c r="U204" i="1" s="1"/>
  <c r="T188" i="1"/>
  <c r="U188" i="1" s="1"/>
  <c r="T203" i="1"/>
  <c r="U203" i="1" s="1"/>
  <c r="T187" i="1"/>
  <c r="U187" i="1" s="1"/>
  <c r="T202" i="1"/>
  <c r="U202" i="1" s="1"/>
  <c r="T186" i="1"/>
  <c r="U186" i="1" s="1"/>
  <c r="T201" i="1"/>
  <c r="U201" i="1" s="1"/>
  <c r="T185" i="1"/>
  <c r="U185" i="1" s="1"/>
  <c r="T200" i="1"/>
  <c r="U200" i="1" s="1"/>
  <c r="T184" i="1"/>
  <c r="U184" i="1" s="1"/>
  <c r="T199" i="1"/>
  <c r="U199" i="1" s="1"/>
  <c r="T28" i="5"/>
  <c r="S28" i="5"/>
  <c r="M28" i="7"/>
  <c r="M32" i="7"/>
  <c r="M27" i="7"/>
  <c r="S29" i="5"/>
  <c r="T29" i="5"/>
  <c r="Q29" i="5"/>
  <c r="R29" i="5" s="1"/>
  <c r="W28" i="5" l="1"/>
  <c r="W29" i="5"/>
  <c r="Y29" i="5" s="1"/>
  <c r="Y28" i="5" l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W11" i="1" s="1"/>
  <c r="CO59" i="1" l="1"/>
  <c r="DR59" i="1" s="1"/>
  <c r="CO318" i="1"/>
  <c r="CO17" i="1"/>
  <c r="CO24" i="1"/>
  <c r="CO43" i="1"/>
  <c r="CO37" i="1"/>
  <c r="CO175" i="1"/>
  <c r="DR175" i="1" s="1"/>
  <c r="CO151" i="1"/>
  <c r="CO322" i="1"/>
  <c r="DR322" i="1" s="1"/>
  <c r="CO81" i="1"/>
  <c r="DR81" i="1" s="1"/>
  <c r="CO233" i="1"/>
  <c r="DR233" i="1" s="1"/>
  <c r="CO253" i="1"/>
  <c r="CO39" i="1"/>
  <c r="CO41" i="1"/>
  <c r="DR41" i="1" s="1"/>
  <c r="CO30" i="1"/>
  <c r="CO218" i="1"/>
  <c r="CO113" i="1"/>
  <c r="DR113" i="1" s="1"/>
  <c r="CO247" i="1"/>
  <c r="DR247" i="1" s="1"/>
  <c r="CO327" i="1"/>
  <c r="DR327" i="1" s="1"/>
  <c r="CO62" i="1"/>
  <c r="CO65" i="1"/>
  <c r="CO334" i="1"/>
  <c r="DR334" i="1" s="1"/>
  <c r="CO111" i="1"/>
  <c r="CO63" i="1"/>
  <c r="CO19" i="1"/>
  <c r="CO248" i="1"/>
  <c r="CO123" i="1"/>
  <c r="CO301" i="1"/>
  <c r="CO291" i="1"/>
  <c r="DR291" i="1" s="1"/>
  <c r="CO109" i="1"/>
  <c r="CO13" i="1"/>
  <c r="CO317" i="1"/>
  <c r="DR111" i="1" l="1"/>
  <c r="DO111" i="1" s="1"/>
  <c r="DP111" i="1" s="1"/>
  <c r="EL111" i="1" s="1"/>
  <c r="DR65" i="1"/>
  <c r="DR43" i="1"/>
  <c r="DS43" i="1" s="1"/>
  <c r="DR24" i="1"/>
  <c r="DS24" i="1" s="1"/>
  <c r="DR17" i="1"/>
  <c r="DR317" i="1"/>
  <c r="DS317" i="1" s="1"/>
  <c r="DR62" i="1"/>
  <c r="DS62" i="1" s="1"/>
  <c r="DO291" i="1"/>
  <c r="DP291" i="1" s="1"/>
  <c r="DS291" i="1"/>
  <c r="DR13" i="1"/>
  <c r="DR301" i="1"/>
  <c r="DR109" i="1"/>
  <c r="DR123" i="1"/>
  <c r="DR248" i="1"/>
  <c r="DR19" i="1"/>
  <c r="DR63" i="1"/>
  <c r="DS41" i="1"/>
  <c r="DO41" i="1"/>
  <c r="DP41" i="1" s="1"/>
  <c r="DR30" i="1"/>
  <c r="DO334" i="1"/>
  <c r="DP334" i="1" s="1"/>
  <c r="EL334" i="1" s="1"/>
  <c r="DS334" i="1"/>
  <c r="DR253" i="1"/>
  <c r="DR218" i="1"/>
  <c r="DS111" i="1"/>
  <c r="DX111" i="1" s="1"/>
  <c r="DR37" i="1"/>
  <c r="DS113" i="1"/>
  <c r="DO113" i="1"/>
  <c r="DP113" i="1" s="1"/>
  <c r="DO247" i="1"/>
  <c r="DP247" i="1" s="1"/>
  <c r="EL247" i="1" s="1"/>
  <c r="DS247" i="1"/>
  <c r="DO62" i="1"/>
  <c r="DP62" i="1" s="1"/>
  <c r="DS81" i="1"/>
  <c r="DO81" i="1"/>
  <c r="DP81" i="1" s="1"/>
  <c r="DO327" i="1"/>
  <c r="DP327" i="1" s="1"/>
  <c r="DS327" i="1"/>
  <c r="DR39" i="1"/>
  <c r="DO24" i="1"/>
  <c r="DP24" i="1" s="1"/>
  <c r="DO322" i="1"/>
  <c r="DP322" i="1" s="1"/>
  <c r="EL322" i="1" s="1"/>
  <c r="DS322" i="1"/>
  <c r="DO233" i="1"/>
  <c r="DP233" i="1" s="1"/>
  <c r="DS233" i="1"/>
  <c r="DS17" i="1"/>
  <c r="DO17" i="1"/>
  <c r="DP17" i="1" s="1"/>
  <c r="DS59" i="1"/>
  <c r="DO59" i="1"/>
  <c r="DP59" i="1" s="1"/>
  <c r="DR151" i="1"/>
  <c r="DO43" i="1"/>
  <c r="DP43" i="1" s="1"/>
  <c r="DS175" i="1"/>
  <c r="DO175" i="1"/>
  <c r="DP175" i="1" s="1"/>
  <c r="DR318" i="1"/>
  <c r="DX291" i="1" l="1"/>
  <c r="EL291" i="1"/>
  <c r="DX175" i="1"/>
  <c r="EL175" i="1"/>
  <c r="DX43" i="1"/>
  <c r="EL43" i="1"/>
  <c r="DX81" i="1"/>
  <c r="EL81" i="1"/>
  <c r="DX327" i="1"/>
  <c r="EL327" i="1"/>
  <c r="DX41" i="1"/>
  <c r="CX41" i="1" s="1"/>
  <c r="EL41" i="1"/>
  <c r="DX59" i="1"/>
  <c r="EL59" i="1"/>
  <c r="DX62" i="1"/>
  <c r="DY62" i="1" s="1" a="1"/>
  <c r="DY62" i="1" s="1"/>
  <c r="EI62" i="1" s="1"/>
  <c r="EL62" i="1"/>
  <c r="DX113" i="1"/>
  <c r="EL113" i="1"/>
  <c r="DX17" i="1"/>
  <c r="EL17" i="1"/>
  <c r="DX233" i="1"/>
  <c r="EL233" i="1"/>
  <c r="DX24" i="1"/>
  <c r="EL24" i="1"/>
  <c r="DO317" i="1"/>
  <c r="DP317" i="1" s="1"/>
  <c r="DY111" i="1" a="1"/>
  <c r="DY111" i="1" s="1"/>
  <c r="EI111" i="1" s="1"/>
  <c r="CX111" i="1"/>
  <c r="DX334" i="1"/>
  <c r="CX334" i="1" s="1"/>
  <c r="DX247" i="1"/>
  <c r="CX247" i="1" s="1"/>
  <c r="DO65" i="1"/>
  <c r="DP65" i="1" s="1"/>
  <c r="DS65" i="1"/>
  <c r="DX322" i="1"/>
  <c r="CX322" i="1" s="1"/>
  <c r="DS318" i="1"/>
  <c r="DO318" i="1"/>
  <c r="DP318" i="1" s="1"/>
  <c r="DS248" i="1"/>
  <c r="DO248" i="1"/>
  <c r="DP248" i="1" s="1"/>
  <c r="DO30" i="1"/>
  <c r="DP30" i="1" s="1"/>
  <c r="DS30" i="1"/>
  <c r="DS123" i="1"/>
  <c r="DO123" i="1"/>
  <c r="DP123" i="1" s="1"/>
  <c r="DO109" i="1"/>
  <c r="DP109" i="1" s="1"/>
  <c r="DS109" i="1"/>
  <c r="DY113" i="1" a="1"/>
  <c r="DY113" i="1" s="1"/>
  <c r="EI113" i="1" s="1"/>
  <c r="CX113" i="1"/>
  <c r="DS37" i="1"/>
  <c r="DO37" i="1"/>
  <c r="DP37" i="1" s="1"/>
  <c r="DY41" i="1" a="1"/>
  <c r="DY41" i="1" s="1"/>
  <c r="EI41" i="1" s="1"/>
  <c r="DS301" i="1"/>
  <c r="DO301" i="1"/>
  <c r="DP301" i="1" s="1"/>
  <c r="EL301" i="1" s="1"/>
  <c r="DS39" i="1"/>
  <c r="DO39" i="1"/>
  <c r="DP39" i="1" s="1"/>
  <c r="EL39" i="1" s="1"/>
  <c r="DO63" i="1"/>
  <c r="DP63" i="1" s="1"/>
  <c r="EL63" i="1" s="1"/>
  <c r="DS63" i="1"/>
  <c r="DS13" i="1"/>
  <c r="DO13" i="1"/>
  <c r="DP13" i="1" s="1"/>
  <c r="DY43" i="1" a="1"/>
  <c r="DY43" i="1" s="1"/>
  <c r="EI43" i="1" s="1"/>
  <c r="CX43" i="1"/>
  <c r="CX327" i="1"/>
  <c r="DY327" i="1" a="1"/>
  <c r="DY327" i="1" s="1"/>
  <c r="EI327" i="1" s="1"/>
  <c r="DS218" i="1"/>
  <c r="DO218" i="1"/>
  <c r="DP218" i="1" s="1"/>
  <c r="DS19" i="1"/>
  <c r="DO19" i="1"/>
  <c r="DP19" i="1" s="1"/>
  <c r="CX59" i="1"/>
  <c r="DY59" i="1" a="1"/>
  <c r="DY59" i="1" s="1"/>
  <c r="EI59" i="1" s="1"/>
  <c r="DY81" i="1" a="1"/>
  <c r="DY81" i="1" s="1"/>
  <c r="EI81" i="1" s="1"/>
  <c r="CX81" i="1"/>
  <c r="DY24" i="1" a="1"/>
  <c r="DY24" i="1" s="1"/>
  <c r="EI24" i="1" s="1"/>
  <c r="CX24" i="1"/>
  <c r="CX175" i="1"/>
  <c r="DY175" i="1" a="1"/>
  <c r="DY175" i="1" s="1"/>
  <c r="EI175" i="1" s="1"/>
  <c r="CX17" i="1"/>
  <c r="DY17" i="1" a="1"/>
  <c r="DY17" i="1" s="1"/>
  <c r="EI17" i="1" s="1"/>
  <c r="CX233" i="1"/>
  <c r="DY233" i="1" a="1"/>
  <c r="DY233" i="1" s="1"/>
  <c r="EI233" i="1" s="1"/>
  <c r="DS151" i="1"/>
  <c r="DO151" i="1"/>
  <c r="DP151" i="1" s="1"/>
  <c r="EL151" i="1" s="1"/>
  <c r="DO253" i="1"/>
  <c r="DP253" i="1" s="1"/>
  <c r="EL253" i="1" s="1"/>
  <c r="DS253" i="1"/>
  <c r="DY291" i="1" a="1"/>
  <c r="DY291" i="1" s="1"/>
  <c r="EI291" i="1" s="1"/>
  <c r="CX291" i="1"/>
  <c r="CX62" i="1" l="1"/>
  <c r="DY247" i="1" a="1"/>
  <c r="DY247" i="1" s="1"/>
  <c r="EI247" i="1" s="1"/>
  <c r="ES247" i="1" s="1"/>
  <c r="DX65" i="1"/>
  <c r="EL65" i="1"/>
  <c r="DX109" i="1"/>
  <c r="EL109" i="1"/>
  <c r="DX123" i="1"/>
  <c r="EL123" i="1"/>
  <c r="DX13" i="1"/>
  <c r="DY13" i="1" s="1" a="1"/>
  <c r="DY13" i="1" s="1"/>
  <c r="EI13" i="1" s="1"/>
  <c r="EL13" i="1"/>
  <c r="DX317" i="1"/>
  <c r="EL317" i="1"/>
  <c r="DX30" i="1"/>
  <c r="CX30" i="1" s="1"/>
  <c r="EL30" i="1"/>
  <c r="DX248" i="1"/>
  <c r="DY248" i="1" s="1" a="1"/>
  <c r="DY248" i="1" s="1"/>
  <c r="EI248" i="1" s="1"/>
  <c r="EL248" i="1"/>
  <c r="DY334" i="1" a="1"/>
  <c r="DY334" i="1" s="1"/>
  <c r="EI334" i="1" s="1"/>
  <c r="ES334" i="1" s="1"/>
  <c r="DX19" i="1"/>
  <c r="EL19" i="1"/>
  <c r="DX218" i="1"/>
  <c r="CX218" i="1" s="1"/>
  <c r="EL218" i="1"/>
  <c r="DX37" i="1"/>
  <c r="DY37" i="1" s="1" a="1"/>
  <c r="DY37" i="1" s="1"/>
  <c r="EI37" i="1" s="1"/>
  <c r="EL37" i="1"/>
  <c r="DX318" i="1"/>
  <c r="EL318" i="1"/>
  <c r="ES59" i="1"/>
  <c r="EU59" i="1"/>
  <c r="ES233" i="1"/>
  <c r="EU233" i="1"/>
  <c r="ES113" i="1"/>
  <c r="EU113" i="1"/>
  <c r="ES175" i="1"/>
  <c r="EU175" i="1"/>
  <c r="ES41" i="1"/>
  <c r="EU41" i="1"/>
  <c r="ES43" i="1"/>
  <c r="EU43" i="1"/>
  <c r="ES17" i="1"/>
  <c r="EU17" i="1"/>
  <c r="ES24" i="1"/>
  <c r="EU24" i="1"/>
  <c r="ES327" i="1"/>
  <c r="EU327" i="1"/>
  <c r="ES111" i="1"/>
  <c r="EU111" i="1"/>
  <c r="ES291" i="1"/>
  <c r="EU291" i="1"/>
  <c r="ES81" i="1"/>
  <c r="EU81" i="1"/>
  <c r="ES62" i="1"/>
  <c r="EU62" i="1"/>
  <c r="DY322" i="1" a="1"/>
  <c r="DY322" i="1" s="1"/>
  <c r="EI322" i="1" s="1"/>
  <c r="DX151" i="1"/>
  <c r="CX151" i="1" s="1"/>
  <c r="DX301" i="1"/>
  <c r="CX301" i="1" s="1"/>
  <c r="DY65" i="1" a="1"/>
  <c r="DY65" i="1" s="1"/>
  <c r="EI65" i="1" s="1"/>
  <c r="CX65" i="1"/>
  <c r="DX63" i="1"/>
  <c r="DY63" i="1" s="1" a="1"/>
  <c r="DY63" i="1" s="1"/>
  <c r="EI63" i="1" s="1"/>
  <c r="DX253" i="1"/>
  <c r="CX253" i="1" s="1"/>
  <c r="DX39" i="1"/>
  <c r="CX39" i="1" s="1"/>
  <c r="DY109" i="1" a="1"/>
  <c r="DY109" i="1" s="1"/>
  <c r="EI109" i="1" s="1"/>
  <c r="CX109" i="1"/>
  <c r="DY123" i="1" a="1"/>
  <c r="DY123" i="1" s="1"/>
  <c r="EI123" i="1" s="1"/>
  <c r="CX123" i="1"/>
  <c r="DY19" i="1" a="1"/>
  <c r="DY19" i="1" s="1"/>
  <c r="EI19" i="1" s="1"/>
  <c r="CX19" i="1"/>
  <c r="DY318" i="1" a="1"/>
  <c r="DY318" i="1" s="1"/>
  <c r="EI318" i="1" s="1"/>
  <c r="CX318" i="1"/>
  <c r="CO42" i="1"/>
  <c r="DR42" i="1" s="1"/>
  <c r="CO71" i="1"/>
  <c r="DR71" i="1" s="1"/>
  <c r="CO250" i="1"/>
  <c r="DR250" i="1" s="1"/>
  <c r="CO194" i="1"/>
  <c r="CO148" i="1"/>
  <c r="DR148" i="1" s="1"/>
  <c r="CO84" i="1"/>
  <c r="DR84" i="1" s="1"/>
  <c r="CO315" i="1"/>
  <c r="CO155" i="1"/>
  <c r="CO52" i="1"/>
  <c r="CO285" i="1"/>
  <c r="CO270" i="1"/>
  <c r="DR270" i="1" s="1"/>
  <c r="CO49" i="1"/>
  <c r="DR49" i="1" s="1"/>
  <c r="CO286" i="1"/>
  <c r="CO190" i="1"/>
  <c r="DR190" i="1" s="1"/>
  <c r="DS190" i="1" s="1"/>
  <c r="CO185" i="1"/>
  <c r="CO147" i="1"/>
  <c r="CO191" i="1"/>
  <c r="DR191" i="1" s="1"/>
  <c r="DS191" i="1" s="1"/>
  <c r="CO325" i="1"/>
  <c r="DR325" i="1" s="1"/>
  <c r="CO130" i="1"/>
  <c r="CO215" i="1"/>
  <c r="CO196" i="1"/>
  <c r="DR196" i="1" s="1"/>
  <c r="CO212" i="1"/>
  <c r="DR212" i="1" s="1"/>
  <c r="DS212" i="1" s="1"/>
  <c r="CO51" i="1"/>
  <c r="CO192" i="1"/>
  <c r="CO76" i="1"/>
  <c r="CO201" i="1"/>
  <c r="CO139" i="1"/>
  <c r="CO263" i="1"/>
  <c r="CO25" i="1"/>
  <c r="CO293" i="1"/>
  <c r="CO137" i="1"/>
  <c r="CO287" i="1"/>
  <c r="DR287" i="1" s="1"/>
  <c r="CO161" i="1"/>
  <c r="DR161" i="1" s="1"/>
  <c r="CO167" i="1"/>
  <c r="DR167" i="1" s="1"/>
  <c r="CO145" i="1"/>
  <c r="DR145" i="1" s="1"/>
  <c r="CO234" i="1"/>
  <c r="CO90" i="1"/>
  <c r="DR90" i="1" s="1"/>
  <c r="CO336" i="1"/>
  <c r="CO198" i="1"/>
  <c r="CO102" i="1"/>
  <c r="CO177" i="1"/>
  <c r="DR177" i="1" s="1"/>
  <c r="CO103" i="1"/>
  <c r="CO45" i="1"/>
  <c r="CO237" i="1"/>
  <c r="CO64" i="1"/>
  <c r="CO91" i="1"/>
  <c r="CO209" i="1"/>
  <c r="CO73" i="1"/>
  <c r="DR73" i="1" s="1"/>
  <c r="CO193" i="1"/>
  <c r="CO340" i="1"/>
  <c r="DR340" i="1" s="1"/>
  <c r="CO300" i="1"/>
  <c r="DR300" i="1" s="1"/>
  <c r="CO143" i="1"/>
  <c r="CO125" i="1"/>
  <c r="CO202" i="1"/>
  <c r="CO238" i="1"/>
  <c r="CO321" i="1"/>
  <c r="CO127" i="1"/>
  <c r="CO115" i="1"/>
  <c r="CO50" i="1"/>
  <c r="CO337" i="1"/>
  <c r="DR337" i="1" s="1"/>
  <c r="CO240" i="1"/>
  <c r="DR240" i="1" s="1"/>
  <c r="CO213" i="1"/>
  <c r="CO180" i="1"/>
  <c r="CO99" i="1"/>
  <c r="CO121" i="1"/>
  <c r="DR121" i="1" s="1"/>
  <c r="CO206" i="1"/>
  <c r="CO70" i="1"/>
  <c r="DR70" i="1" s="1"/>
  <c r="CO208" i="1"/>
  <c r="CO149" i="1"/>
  <c r="CO184" i="1"/>
  <c r="CO168" i="1"/>
  <c r="CO332" i="1"/>
  <c r="CO232" i="1"/>
  <c r="CO271" i="1"/>
  <c r="CO79" i="1"/>
  <c r="CO199" i="1"/>
  <c r="DR199" i="1" s="1"/>
  <c r="CO135" i="1"/>
  <c r="CO244" i="1"/>
  <c r="DR244" i="1" s="1"/>
  <c r="DS244" i="1" s="1"/>
  <c r="CO108" i="1"/>
  <c r="CO107" i="1"/>
  <c r="CO245" i="1"/>
  <c r="CO302" i="1"/>
  <c r="DR302" i="1" s="1"/>
  <c r="CO186" i="1"/>
  <c r="CO341" i="1"/>
  <c r="DR341" i="1" s="1"/>
  <c r="CO292" i="1"/>
  <c r="DR292" i="1" s="1"/>
  <c r="CO86" i="1"/>
  <c r="CO221" i="1"/>
  <c r="CO296" i="1"/>
  <c r="CO57" i="1"/>
  <c r="CO20" i="1"/>
  <c r="CO235" i="1"/>
  <c r="CO195" i="1"/>
  <c r="DR195" i="1" s="1"/>
  <c r="CO96" i="1"/>
  <c r="CO281" i="1"/>
  <c r="CO216" i="1"/>
  <c r="CO169" i="1"/>
  <c r="DR169" i="1"/>
  <c r="CO164" i="1"/>
  <c r="CO310" i="1"/>
  <c r="DR310" i="1" s="1"/>
  <c r="CO314" i="1"/>
  <c r="CO210" i="1"/>
  <c r="CO231" i="1"/>
  <c r="CO48" i="1"/>
  <c r="CO122" i="1"/>
  <c r="CO239" i="1"/>
  <c r="CO257" i="1"/>
  <c r="CO172" i="1"/>
  <c r="CO256" i="1"/>
  <c r="CO275" i="1"/>
  <c r="DR275" i="1" s="1"/>
  <c r="CO219" i="1"/>
  <c r="DR219" i="1" s="1"/>
  <c r="CO46" i="1"/>
  <c r="DR46" i="1" s="1"/>
  <c r="CO324" i="1"/>
  <c r="DR324" i="1" s="1"/>
  <c r="CO299" i="1"/>
  <c r="CO260" i="1"/>
  <c r="DR260" i="1" s="1"/>
  <c r="DS260" i="1" s="1"/>
  <c r="CO67" i="1"/>
  <c r="DR67" i="1" s="1"/>
  <c r="CO200" i="1"/>
  <c r="CO92" i="1"/>
  <c r="DR92" i="1" s="1"/>
  <c r="CO228" i="1"/>
  <c r="DR228" i="1" s="1"/>
  <c r="CO176" i="1"/>
  <c r="CO110" i="1"/>
  <c r="CO246" i="1"/>
  <c r="CO298" i="1"/>
  <c r="DR298" i="1" s="1"/>
  <c r="DS298" i="1" s="1"/>
  <c r="CO249" i="1"/>
  <c r="DR249" i="1" s="1"/>
  <c r="CO138" i="1"/>
  <c r="CO116" i="1"/>
  <c r="CO335" i="1"/>
  <c r="CO274" i="1"/>
  <c r="DR274" i="1" s="1"/>
  <c r="CO157" i="1"/>
  <c r="CO333" i="1"/>
  <c r="CO223" i="1"/>
  <c r="DR223" i="1" s="1"/>
  <c r="CO87" i="1"/>
  <c r="CO303" i="1"/>
  <c r="CO284" i="1"/>
  <c r="DR284" i="1" s="1"/>
  <c r="CO126" i="1"/>
  <c r="DR126" i="1" s="1"/>
  <c r="CO236" i="1"/>
  <c r="CO83" i="1"/>
  <c r="CO312" i="1"/>
  <c r="DR312" i="1" s="1"/>
  <c r="CO22" i="1"/>
  <c r="DR22" i="1" s="1"/>
  <c r="CO27" i="1"/>
  <c r="CO104" i="1"/>
  <c r="CO188" i="1"/>
  <c r="CO129" i="1"/>
  <c r="CO230" i="1"/>
  <c r="DR230" i="1" s="1"/>
  <c r="CO82" i="1"/>
  <c r="DR82" i="1" s="1"/>
  <c r="CO255" i="1"/>
  <c r="DR255" i="1" s="1"/>
  <c r="CO329" i="1"/>
  <c r="CO294" i="1"/>
  <c r="DR294" i="1" s="1"/>
  <c r="CO61" i="1"/>
  <c r="CO131" i="1"/>
  <c r="DR131" i="1" s="1"/>
  <c r="CO323" i="1"/>
  <c r="CO205" i="1"/>
  <c r="CO75" i="1"/>
  <c r="DR75" i="1" s="1"/>
  <c r="DS75" i="1" s="1"/>
  <c r="CO97" i="1"/>
  <c r="DR97" i="1" s="1"/>
  <c r="DO97" i="1" s="1"/>
  <c r="DP97" i="1" s="1"/>
  <c r="CO214" i="1"/>
  <c r="CO98" i="1"/>
  <c r="CO259" i="1"/>
  <c r="CO288" i="1"/>
  <c r="CO328" i="1"/>
  <c r="CO290" i="1"/>
  <c r="CO158" i="1"/>
  <c r="CO297" i="1"/>
  <c r="DR297" i="1" s="1"/>
  <c r="DS297" i="1" s="1"/>
  <c r="CO258" i="1"/>
  <c r="CO32" i="1"/>
  <c r="DR32" i="1" s="1"/>
  <c r="CO320" i="1"/>
  <c r="DR320" i="1" s="1"/>
  <c r="CO66" i="1"/>
  <c r="DR66" i="1" s="1"/>
  <c r="CO72" i="1"/>
  <c r="DR72" i="1" s="1"/>
  <c r="CO58" i="1"/>
  <c r="CO305" i="1"/>
  <c r="DR305" i="1" s="1"/>
  <c r="CO304" i="1"/>
  <c r="CO114" i="1"/>
  <c r="CO273" i="1"/>
  <c r="DR273" i="1" s="1"/>
  <c r="CO152" i="1"/>
  <c r="CO134" i="1"/>
  <c r="DR134" i="1" s="1"/>
  <c r="CO277" i="1"/>
  <c r="DR277" i="1" s="1"/>
  <c r="CO40" i="1"/>
  <c r="CO162" i="1"/>
  <c r="CO269" i="1"/>
  <c r="CO163" i="1"/>
  <c r="DR163" i="1" s="1"/>
  <c r="CO174" i="1"/>
  <c r="CO276" i="1"/>
  <c r="DR276" i="1" s="1"/>
  <c r="CO189" i="1"/>
  <c r="CO311" i="1"/>
  <c r="CO28" i="1"/>
  <c r="DR28" i="1" s="1"/>
  <c r="CO211" i="1"/>
  <c r="CO272" i="1"/>
  <c r="CO95" i="1"/>
  <c r="CO316" i="1"/>
  <c r="DR316" i="1" s="1"/>
  <c r="CO142" i="1"/>
  <c r="CO295" i="1"/>
  <c r="DR295" i="1" s="1"/>
  <c r="CO282" i="1"/>
  <c r="CO55" i="1"/>
  <c r="CO85" i="1"/>
  <c r="CO119" i="1"/>
  <c r="DR119" i="1" s="1"/>
  <c r="CO226" i="1"/>
  <c r="CO160" i="1"/>
  <c r="CO93" i="1"/>
  <c r="CO120" i="1"/>
  <c r="DR120" i="1" s="1"/>
  <c r="CO100" i="1"/>
  <c r="CO159" i="1"/>
  <c r="CO278" i="1"/>
  <c r="DR278" i="1" s="1"/>
  <c r="CO306" i="1"/>
  <c r="CO227" i="1"/>
  <c r="DR227" i="1" s="1"/>
  <c r="CO136" i="1"/>
  <c r="CO146" i="1"/>
  <c r="DR146" i="1" s="1"/>
  <c r="CO33" i="1"/>
  <c r="CO89" i="1"/>
  <c r="CO166" i="1"/>
  <c r="CO313" i="1"/>
  <c r="DR313" i="1" s="1"/>
  <c r="CO53" i="1"/>
  <c r="CO141" i="1"/>
  <c r="CO283" i="1"/>
  <c r="CO23" i="1"/>
  <c r="DR23" i="1" s="1"/>
  <c r="CO140" i="1"/>
  <c r="DR140" i="1" s="1"/>
  <c r="CO78" i="1"/>
  <c r="CO242" i="1"/>
  <c r="CO150" i="1"/>
  <c r="CO29" i="1"/>
  <c r="CO342" i="1"/>
  <c r="DR342" i="1" s="1"/>
  <c r="DO342" i="1" s="1"/>
  <c r="DP342" i="1" s="1"/>
  <c r="EL342" i="1" s="1"/>
  <c r="CO326" i="1"/>
  <c r="CO153" i="1"/>
  <c r="CO171" i="1"/>
  <c r="CO165" i="1"/>
  <c r="CO279" i="1"/>
  <c r="CO307" i="1"/>
  <c r="CO181" i="1"/>
  <c r="CO124" i="1"/>
  <c r="CO118" i="1"/>
  <c r="CO204" i="1"/>
  <c r="CO38" i="1"/>
  <c r="CO117" i="1"/>
  <c r="CO222" i="1"/>
  <c r="CO265" i="1"/>
  <c r="CO264" i="1"/>
  <c r="CO229" i="1"/>
  <c r="DR229" i="1" s="1"/>
  <c r="CO14" i="1"/>
  <c r="CO31" i="1"/>
  <c r="CO112" i="1"/>
  <c r="CO133" i="1"/>
  <c r="DR133" i="1" s="1"/>
  <c r="CO268" i="1"/>
  <c r="CO94" i="1"/>
  <c r="CO74" i="1"/>
  <c r="CO60" i="1"/>
  <c r="CO187" i="1"/>
  <c r="CO18" i="1"/>
  <c r="CO319" i="1"/>
  <c r="CO36" i="1"/>
  <c r="DR36" i="1" s="1"/>
  <c r="CO289" i="1"/>
  <c r="CO266" i="1"/>
  <c r="CO77" i="1"/>
  <c r="CO144" i="1"/>
  <c r="CO80" i="1"/>
  <c r="CO16" i="1"/>
  <c r="CO88" i="1"/>
  <c r="CO15" i="1"/>
  <c r="CO217" i="1"/>
  <c r="CO267" i="1"/>
  <c r="CO26" i="1"/>
  <c r="CO254" i="1"/>
  <c r="EW59" i="1" l="1"/>
  <c r="EW291" i="1"/>
  <c r="EW43" i="1"/>
  <c r="ES13" i="1"/>
  <c r="EU13" i="1"/>
  <c r="EW62" i="1"/>
  <c r="EU247" i="1"/>
  <c r="EW247" i="1" s="1"/>
  <c r="DI20" i="1"/>
  <c r="DK20" i="1" s="1"/>
  <c r="DY253" i="1" a="1"/>
  <c r="DY253" i="1" s="1"/>
  <c r="EI253" i="1" s="1"/>
  <c r="DY218" i="1" a="1"/>
  <c r="DY218" i="1" s="1"/>
  <c r="EI218" i="1" s="1"/>
  <c r="EW17" i="1"/>
  <c r="DR226" i="1"/>
  <c r="DS226" i="1" s="1"/>
  <c r="DR160" i="1"/>
  <c r="DS160" i="1" s="1"/>
  <c r="EW233" i="1"/>
  <c r="CX248" i="1"/>
  <c r="EW24" i="1"/>
  <c r="DR122" i="1"/>
  <c r="DS122" i="1" s="1"/>
  <c r="DY30" i="1" a="1"/>
  <c r="DY30" i="1" s="1"/>
  <c r="EI30" i="1" s="1"/>
  <c r="ES30" i="1" s="1"/>
  <c r="DR323" i="1"/>
  <c r="DR57" i="1"/>
  <c r="DS57" i="1" s="1"/>
  <c r="DR299" i="1"/>
  <c r="DR166" i="1"/>
  <c r="DS166" i="1" s="1"/>
  <c r="DR74" i="1"/>
  <c r="DR118" i="1"/>
  <c r="DS118" i="1" s="1"/>
  <c r="EW81" i="1"/>
  <c r="DY151" i="1" a="1"/>
  <c r="DY151" i="1" s="1"/>
  <c r="EI151" i="1" s="1"/>
  <c r="ES151" i="1" s="1"/>
  <c r="EW327" i="1"/>
  <c r="EU334" i="1"/>
  <c r="EW334" i="1" s="1"/>
  <c r="CX37" i="1"/>
  <c r="DR306" i="1"/>
  <c r="DO306" i="1" s="1"/>
  <c r="DP306" i="1" s="1"/>
  <c r="EL306" i="1" s="1"/>
  <c r="DR85" i="1"/>
  <c r="DR189" i="1"/>
  <c r="DO189" i="1" s="1"/>
  <c r="DP189" i="1" s="1"/>
  <c r="EL189" i="1" s="1"/>
  <c r="EU189" i="1" s="1"/>
  <c r="DX97" i="1"/>
  <c r="EL97" i="1"/>
  <c r="DR64" i="1"/>
  <c r="DR77" i="1"/>
  <c r="DR268" i="1"/>
  <c r="DS268" i="1" s="1"/>
  <c r="DR208" i="1"/>
  <c r="DO208" i="1" s="1"/>
  <c r="DP208" i="1" s="1"/>
  <c r="EL208" i="1" s="1"/>
  <c r="EU208" i="1" s="1"/>
  <c r="DR282" i="1"/>
  <c r="DS282" i="1" s="1"/>
  <c r="DR174" i="1"/>
  <c r="DO174" i="1" s="1"/>
  <c r="DP174" i="1" s="1"/>
  <c r="EL174" i="1" s="1"/>
  <c r="DR289" i="1"/>
  <c r="DO289" i="1" s="1"/>
  <c r="DP289" i="1" s="1"/>
  <c r="DY301" i="1" a="1"/>
  <c r="DY301" i="1" s="1"/>
  <c r="EI301" i="1" s="1"/>
  <c r="ES301" i="1" s="1"/>
  <c r="DR48" i="1"/>
  <c r="DR108" i="1"/>
  <c r="DS108" i="1" s="1"/>
  <c r="DY317" i="1" a="1"/>
  <c r="DY317" i="1" s="1"/>
  <c r="EI317" i="1" s="1"/>
  <c r="CX317" i="1"/>
  <c r="CX63" i="1"/>
  <c r="DR187" i="1"/>
  <c r="DO187" i="1" s="1"/>
  <c r="DP187" i="1" s="1"/>
  <c r="EL187" i="1" s="1"/>
  <c r="EU187" i="1" s="1"/>
  <c r="DR272" i="1"/>
  <c r="DS272" i="1" s="1"/>
  <c r="DR213" i="1"/>
  <c r="DS213" i="1" s="1"/>
  <c r="DR88" i="1"/>
  <c r="DO88" i="1" s="1"/>
  <c r="DP88" i="1" s="1"/>
  <c r="DR60" i="1"/>
  <c r="DO60" i="1" s="1"/>
  <c r="DP60" i="1" s="1"/>
  <c r="DR211" i="1"/>
  <c r="DS211" i="1" s="1"/>
  <c r="DR221" i="1"/>
  <c r="DR164" i="1"/>
  <c r="DO164" i="1" s="1"/>
  <c r="DP164" i="1" s="1"/>
  <c r="EL164" i="1" s="1"/>
  <c r="DR86" i="1"/>
  <c r="DO86" i="1" s="1"/>
  <c r="DP86" i="1" s="1"/>
  <c r="EL86" i="1" s="1"/>
  <c r="ES253" i="1"/>
  <c r="EU253" i="1"/>
  <c r="ES123" i="1"/>
  <c r="EU123" i="1"/>
  <c r="EW41" i="1"/>
  <c r="ES318" i="1"/>
  <c r="EU318" i="1"/>
  <c r="ES109" i="1"/>
  <c r="EU109" i="1"/>
  <c r="EW111" i="1"/>
  <c r="EW175" i="1"/>
  <c r="ES248" i="1"/>
  <c r="EU248" i="1"/>
  <c r="EW113" i="1"/>
  <c r="ES37" i="1"/>
  <c r="EU37" i="1"/>
  <c r="ES63" i="1"/>
  <c r="EU63" i="1"/>
  <c r="ES65" i="1"/>
  <c r="EU65" i="1"/>
  <c r="ES218" i="1"/>
  <c r="EU218" i="1"/>
  <c r="ES322" i="1"/>
  <c r="EU322" i="1"/>
  <c r="ES19" i="1"/>
  <c r="EU19" i="1"/>
  <c r="DS292" i="1"/>
  <c r="DO292" i="1"/>
  <c r="DP292" i="1" s="1"/>
  <c r="DR162" i="1"/>
  <c r="DS162" i="1" s="1"/>
  <c r="DO122" i="1"/>
  <c r="DP122" i="1" s="1"/>
  <c r="DR216" i="1"/>
  <c r="DS216" i="1" s="1"/>
  <c r="DR51" i="1"/>
  <c r="DR254" i="1"/>
  <c r="DO254" i="1" s="1"/>
  <c r="DP254" i="1" s="1"/>
  <c r="EL254" i="1" s="1"/>
  <c r="DR265" i="1"/>
  <c r="DR40" i="1"/>
  <c r="DO40" i="1" s="1"/>
  <c r="DP40" i="1" s="1"/>
  <c r="EL40" i="1" s="1"/>
  <c r="DR27" i="1"/>
  <c r="DS27" i="1" s="1"/>
  <c r="DR246" i="1"/>
  <c r="DS246" i="1" s="1"/>
  <c r="DR281" i="1"/>
  <c r="DS281" i="1" s="1"/>
  <c r="DO244" i="1"/>
  <c r="DP244" i="1" s="1"/>
  <c r="DR171" i="1"/>
  <c r="DO171" i="1" s="1"/>
  <c r="DP171" i="1" s="1"/>
  <c r="EL171" i="1" s="1"/>
  <c r="DR285" i="1"/>
  <c r="DS285" i="1" s="1"/>
  <c r="DS289" i="1"/>
  <c r="DO268" i="1"/>
  <c r="DP268" i="1" s="1"/>
  <c r="DR222" i="1"/>
  <c r="DS222" i="1" s="1"/>
  <c r="DR326" i="1"/>
  <c r="DR96" i="1"/>
  <c r="DO96" i="1" s="1"/>
  <c r="DP96" i="1" s="1"/>
  <c r="EL96" i="1" s="1"/>
  <c r="DR237" i="1"/>
  <c r="DS97" i="1"/>
  <c r="DR217" i="1"/>
  <c r="DR53" i="1"/>
  <c r="DR311" i="1"/>
  <c r="DS311" i="1" s="1"/>
  <c r="DR158" i="1"/>
  <c r="DO158" i="1" s="1"/>
  <c r="DP158" i="1" s="1"/>
  <c r="EL158" i="1" s="1"/>
  <c r="DR210" i="1"/>
  <c r="DR79" i="1"/>
  <c r="DR45" i="1"/>
  <c r="DR83" i="1"/>
  <c r="DR235" i="1"/>
  <c r="DS235" i="1" s="1"/>
  <c r="DO213" i="1"/>
  <c r="DP213" i="1" s="1"/>
  <c r="DR29" i="1"/>
  <c r="DO166" i="1"/>
  <c r="DP166" i="1" s="1"/>
  <c r="DR186" i="1"/>
  <c r="DS186" i="1" s="1"/>
  <c r="DR193" i="1"/>
  <c r="DS60" i="1"/>
  <c r="DR150" i="1"/>
  <c r="DR142" i="1"/>
  <c r="DS142" i="1" s="1"/>
  <c r="DR200" i="1"/>
  <c r="DR257" i="1"/>
  <c r="DO257" i="1" s="1"/>
  <c r="DP257" i="1" s="1"/>
  <c r="EL257" i="1" s="1"/>
  <c r="DR296" i="1"/>
  <c r="DO296" i="1" s="1"/>
  <c r="DP296" i="1" s="1"/>
  <c r="EL296" i="1" s="1"/>
  <c r="DR245" i="1"/>
  <c r="DR242" i="1"/>
  <c r="DS242" i="1" s="1"/>
  <c r="DR89" i="1"/>
  <c r="DS208" i="1"/>
  <c r="DX208" i="1" s="1"/>
  <c r="DR209" i="1"/>
  <c r="DS209" i="1" s="1"/>
  <c r="DS316" i="1"/>
  <c r="DO316" i="1"/>
  <c r="DP316" i="1" s="1"/>
  <c r="DY97" i="1" a="1"/>
  <c r="DY97" i="1" s="1"/>
  <c r="EI97" i="1" s="1"/>
  <c r="CX97" i="1"/>
  <c r="DO222" i="1"/>
  <c r="DP222" i="1" s="1"/>
  <c r="EL222" i="1" s="1"/>
  <c r="DR267" i="1"/>
  <c r="DR18" i="1"/>
  <c r="DS22" i="1"/>
  <c r="DO22" i="1"/>
  <c r="DP22" i="1" s="1"/>
  <c r="EL22" i="1" s="1"/>
  <c r="DS277" i="1"/>
  <c r="DO277" i="1"/>
  <c r="DP277" i="1" s="1"/>
  <c r="EL277" i="1" s="1"/>
  <c r="DR80" i="1"/>
  <c r="DS313" i="1"/>
  <c r="DO313" i="1"/>
  <c r="DP313" i="1" s="1"/>
  <c r="DS278" i="1"/>
  <c r="DO278" i="1"/>
  <c r="DP278" i="1" s="1"/>
  <c r="EL278" i="1" s="1"/>
  <c r="DS305" i="1"/>
  <c r="DO305" i="1"/>
  <c r="DP305" i="1" s="1"/>
  <c r="DS120" i="1"/>
  <c r="DO120" i="1"/>
  <c r="DP120" i="1" s="1"/>
  <c r="EL120" i="1" s="1"/>
  <c r="DO255" i="1"/>
  <c r="DP255" i="1" s="1"/>
  <c r="EL255" i="1" s="1"/>
  <c r="DS255" i="1"/>
  <c r="DR266" i="1"/>
  <c r="DO82" i="1"/>
  <c r="DP82" i="1" s="1"/>
  <c r="DS82" i="1"/>
  <c r="DO163" i="1"/>
  <c r="DP163" i="1" s="1"/>
  <c r="DS163" i="1"/>
  <c r="DO72" i="1"/>
  <c r="DP72" i="1" s="1"/>
  <c r="DS72" i="1"/>
  <c r="DO230" i="1"/>
  <c r="DP230" i="1" s="1"/>
  <c r="DS230" i="1"/>
  <c r="DS276" i="1"/>
  <c r="DO276" i="1"/>
  <c r="DP276" i="1" s="1"/>
  <c r="DR329" i="1"/>
  <c r="DR333" i="1"/>
  <c r="DR94" i="1"/>
  <c r="DR38" i="1"/>
  <c r="DR153" i="1"/>
  <c r="DO282" i="1"/>
  <c r="DP282" i="1" s="1"/>
  <c r="DR288" i="1"/>
  <c r="DS146" i="1"/>
  <c r="DO146" i="1"/>
  <c r="DP146" i="1" s="1"/>
  <c r="DR188" i="1"/>
  <c r="DR95" i="1"/>
  <c r="DO140" i="1"/>
  <c r="DP140" i="1" s="1"/>
  <c r="DS140" i="1"/>
  <c r="DS134" i="1"/>
  <c r="DO134" i="1"/>
  <c r="DP134" i="1" s="1"/>
  <c r="EL134" i="1" s="1"/>
  <c r="DR31" i="1"/>
  <c r="DR181" i="1"/>
  <c r="DR165" i="1"/>
  <c r="DO119" i="1"/>
  <c r="DP119" i="1" s="1"/>
  <c r="EL119" i="1" s="1"/>
  <c r="DS119" i="1"/>
  <c r="DR114" i="1"/>
  <c r="DS320" i="1"/>
  <c r="DO320" i="1"/>
  <c r="DP320" i="1" s="1"/>
  <c r="EL320" i="1" s="1"/>
  <c r="DR328" i="1"/>
  <c r="DS131" i="1"/>
  <c r="DO131" i="1"/>
  <c r="DP131" i="1" s="1"/>
  <c r="DR157" i="1"/>
  <c r="DR319" i="1"/>
  <c r="DR204" i="1"/>
  <c r="DR136" i="1"/>
  <c r="DS342" i="1"/>
  <c r="DX342" i="1" s="1"/>
  <c r="DO27" i="1"/>
  <c r="DP27" i="1" s="1"/>
  <c r="DR236" i="1"/>
  <c r="DO298" i="1"/>
  <c r="DP298" i="1" s="1"/>
  <c r="DR335" i="1"/>
  <c r="DR14" i="1"/>
  <c r="DS23" i="1"/>
  <c r="DO23" i="1"/>
  <c r="DP23" i="1" s="1"/>
  <c r="EL23" i="1" s="1"/>
  <c r="EU23" i="1" s="1"/>
  <c r="DR93" i="1"/>
  <c r="DO211" i="1"/>
  <c r="DP211" i="1" s="1"/>
  <c r="DS174" i="1"/>
  <c r="DO162" i="1"/>
  <c r="DP162" i="1" s="1"/>
  <c r="DR58" i="1"/>
  <c r="DR15" i="1"/>
  <c r="DR61" i="1"/>
  <c r="DR314" i="1"/>
  <c r="DR129" i="1"/>
  <c r="DS92" i="1"/>
  <c r="DO92" i="1"/>
  <c r="DP92" i="1" s="1"/>
  <c r="EL92" i="1" s="1"/>
  <c r="DR239" i="1"/>
  <c r="DS227" i="1"/>
  <c r="DO227" i="1"/>
  <c r="DP227" i="1" s="1"/>
  <c r="DS306" i="1"/>
  <c r="DX306" i="1" s="1"/>
  <c r="DR16" i="1"/>
  <c r="DR104" i="1"/>
  <c r="DR98" i="1"/>
  <c r="DS295" i="1"/>
  <c r="DO295" i="1"/>
  <c r="DP295" i="1" s="1"/>
  <c r="EL295" i="1" s="1"/>
  <c r="DO32" i="1"/>
  <c r="DP32" i="1" s="1"/>
  <c r="DS32" i="1"/>
  <c r="DS40" i="1"/>
  <c r="DX40" i="1" s="1"/>
  <c r="DR303" i="1"/>
  <c r="DO274" i="1"/>
  <c r="DP274" i="1" s="1"/>
  <c r="EL274" i="1" s="1"/>
  <c r="DS274" i="1"/>
  <c r="DO246" i="1"/>
  <c r="DP246" i="1" s="1"/>
  <c r="DR176" i="1"/>
  <c r="DO229" i="1"/>
  <c r="DP229" i="1" s="1"/>
  <c r="DS229" i="1"/>
  <c r="DR117" i="1"/>
  <c r="DO118" i="1"/>
  <c r="DP118" i="1" s="1"/>
  <c r="DR307" i="1"/>
  <c r="DR141" i="1"/>
  <c r="DR159" i="1"/>
  <c r="DR55" i="1"/>
  <c r="DR33" i="1"/>
  <c r="DR152" i="1"/>
  <c r="DR304" i="1"/>
  <c r="DO311" i="1"/>
  <c r="DP311" i="1" s="1"/>
  <c r="DR290" i="1"/>
  <c r="DR214" i="1"/>
  <c r="DR138" i="1"/>
  <c r="DR256" i="1"/>
  <c r="DO294" i="1"/>
  <c r="DP294" i="1" s="1"/>
  <c r="EL294" i="1" s="1"/>
  <c r="DS294" i="1"/>
  <c r="DO75" i="1"/>
  <c r="DP75" i="1" s="1"/>
  <c r="DO312" i="1"/>
  <c r="DP312" i="1" s="1"/>
  <c r="DS312" i="1"/>
  <c r="DS228" i="1"/>
  <c r="DO228" i="1"/>
  <c r="DP228" i="1" s="1"/>
  <c r="DS299" i="1"/>
  <c r="DO299" i="1"/>
  <c r="DP299" i="1" s="1"/>
  <c r="EL299" i="1" s="1"/>
  <c r="DO219" i="1"/>
  <c r="DP219" i="1" s="1"/>
  <c r="EL219" i="1" s="1"/>
  <c r="DS219" i="1"/>
  <c r="DS341" i="1"/>
  <c r="DO341" i="1"/>
  <c r="DP341" i="1" s="1"/>
  <c r="DR26" i="1"/>
  <c r="DO323" i="1"/>
  <c r="DP323" i="1" s="1"/>
  <c r="DS323" i="1"/>
  <c r="DR116" i="1"/>
  <c r="DO67" i="1"/>
  <c r="DP67" i="1" s="1"/>
  <c r="EL67" i="1" s="1"/>
  <c r="DS67" i="1"/>
  <c r="DS28" i="1"/>
  <c r="DO28" i="1"/>
  <c r="DP28" i="1" s="1"/>
  <c r="EL28" i="1" s="1"/>
  <c r="DR144" i="1"/>
  <c r="DS133" i="1"/>
  <c r="DO133" i="1"/>
  <c r="DP133" i="1" s="1"/>
  <c r="EL133" i="1" s="1"/>
  <c r="DR279" i="1"/>
  <c r="DR100" i="1"/>
  <c r="DR269" i="1"/>
  <c r="DR112" i="1"/>
  <c r="DR264" i="1"/>
  <c r="DR124" i="1"/>
  <c r="DR78" i="1"/>
  <c r="DR283" i="1"/>
  <c r="DO160" i="1"/>
  <c r="DP160" i="1" s="1"/>
  <c r="DS223" i="1"/>
  <c r="DO223" i="1"/>
  <c r="DP223" i="1" s="1"/>
  <c r="EL223" i="1" s="1"/>
  <c r="DR110" i="1"/>
  <c r="DO48" i="1"/>
  <c r="DP48" i="1" s="1"/>
  <c r="EL48" i="1" s="1"/>
  <c r="DS48" i="1"/>
  <c r="DO297" i="1"/>
  <c r="DP297" i="1" s="1"/>
  <c r="DO302" i="1"/>
  <c r="DP302" i="1" s="1"/>
  <c r="EL302" i="1" s="1"/>
  <c r="DS302" i="1"/>
  <c r="DS273" i="1"/>
  <c r="DO273" i="1"/>
  <c r="DP273" i="1" s="1"/>
  <c r="DO169" i="1"/>
  <c r="DP169" i="1" s="1"/>
  <c r="EL169" i="1" s="1"/>
  <c r="DS169" i="1"/>
  <c r="DS36" i="1"/>
  <c r="DO36" i="1"/>
  <c r="DP36" i="1" s="1"/>
  <c r="DS66" i="1"/>
  <c r="DO66" i="1"/>
  <c r="DP66" i="1" s="1"/>
  <c r="DR258" i="1"/>
  <c r="DR259" i="1"/>
  <c r="DO284" i="1"/>
  <c r="DP284" i="1" s="1"/>
  <c r="DS284" i="1"/>
  <c r="DR87" i="1"/>
  <c r="DR231" i="1"/>
  <c r="DR99" i="1"/>
  <c r="DR149" i="1"/>
  <c r="DS145" i="1"/>
  <c r="DO145" i="1"/>
  <c r="DP145" i="1" s="1"/>
  <c r="EL145" i="1" s="1"/>
  <c r="DR137" i="1"/>
  <c r="DS51" i="1"/>
  <c r="DO51" i="1"/>
  <c r="DP51" i="1" s="1"/>
  <c r="EL51" i="1" s="1"/>
  <c r="DR143" i="1"/>
  <c r="DS275" i="1"/>
  <c r="DO275" i="1"/>
  <c r="DP275" i="1" s="1"/>
  <c r="DO281" i="1"/>
  <c r="DP281" i="1" s="1"/>
  <c r="DR107" i="1"/>
  <c r="DR168" i="1"/>
  <c r="DR127" i="1"/>
  <c r="DS164" i="1"/>
  <c r="DX164" i="1" s="1"/>
  <c r="DO199" i="1"/>
  <c r="DP199" i="1" s="1"/>
  <c r="EL199" i="1" s="1"/>
  <c r="EU199" i="1" s="1"/>
  <c r="DS199" i="1"/>
  <c r="DR332" i="1"/>
  <c r="DR206" i="1"/>
  <c r="DO209" i="1"/>
  <c r="DP209" i="1" s="1"/>
  <c r="DO310" i="1"/>
  <c r="DP310" i="1" s="1"/>
  <c r="EL310" i="1" s="1"/>
  <c r="DS310" i="1"/>
  <c r="DS177" i="1"/>
  <c r="DO177" i="1"/>
  <c r="DP177" i="1" s="1"/>
  <c r="EL177" i="1" s="1"/>
  <c r="DO324" i="1"/>
  <c r="DP324" i="1" s="1"/>
  <c r="DS324" i="1"/>
  <c r="DR172" i="1"/>
  <c r="DS96" i="1"/>
  <c r="DX96" i="1" s="1"/>
  <c r="DO57" i="1"/>
  <c r="DP57" i="1" s="1"/>
  <c r="DR321" i="1"/>
  <c r="DO186" i="1"/>
  <c r="DP186" i="1" s="1"/>
  <c r="DO340" i="1"/>
  <c r="DP340" i="1" s="1"/>
  <c r="DS340" i="1"/>
  <c r="DR91" i="1"/>
  <c r="DR232" i="1"/>
  <c r="DS240" i="1"/>
  <c r="DO240" i="1"/>
  <c r="DP240" i="1" s="1"/>
  <c r="EL240" i="1" s="1"/>
  <c r="DS296" i="1"/>
  <c r="DX296" i="1" s="1"/>
  <c r="DO90" i="1"/>
  <c r="DP90" i="1" s="1"/>
  <c r="DS90" i="1"/>
  <c r="DO196" i="1"/>
  <c r="DP196" i="1" s="1"/>
  <c r="EL196" i="1" s="1"/>
  <c r="EU196" i="1" s="1"/>
  <c r="DS196" i="1"/>
  <c r="DO300" i="1"/>
  <c r="DP300" i="1" s="1"/>
  <c r="DS300" i="1"/>
  <c r="DO193" i="1"/>
  <c r="DP193" i="1" s="1"/>
  <c r="EL193" i="1" s="1"/>
  <c r="EU193" i="1" s="1"/>
  <c r="DS193" i="1"/>
  <c r="DS161" i="1"/>
  <c r="DO161" i="1"/>
  <c r="DP161" i="1" s="1"/>
  <c r="DR205" i="1"/>
  <c r="DR135" i="1"/>
  <c r="DO260" i="1"/>
  <c r="DP260" i="1" s="1"/>
  <c r="DO216" i="1"/>
  <c r="DP216" i="1" s="1"/>
  <c r="DR20" i="1"/>
  <c r="DO108" i="1"/>
  <c r="DP108" i="1" s="1"/>
  <c r="DR271" i="1"/>
  <c r="DO73" i="1"/>
  <c r="DP73" i="1" s="1"/>
  <c r="DS73" i="1"/>
  <c r="DO64" i="1"/>
  <c r="DP64" i="1" s="1"/>
  <c r="DS64" i="1"/>
  <c r="DS245" i="1"/>
  <c r="DO245" i="1"/>
  <c r="DP245" i="1" s="1"/>
  <c r="EL245" i="1" s="1"/>
  <c r="DR202" i="1"/>
  <c r="DR234" i="1"/>
  <c r="DO325" i="1"/>
  <c r="DP325" i="1" s="1"/>
  <c r="EL325" i="1" s="1"/>
  <c r="DS325" i="1"/>
  <c r="DS195" i="1"/>
  <c r="DO195" i="1"/>
  <c r="DP195" i="1" s="1"/>
  <c r="EL195" i="1" s="1"/>
  <c r="EU195" i="1" s="1"/>
  <c r="DR50" i="1"/>
  <c r="DO237" i="1"/>
  <c r="DP237" i="1" s="1"/>
  <c r="EL237" i="1" s="1"/>
  <c r="DS237" i="1"/>
  <c r="DR102" i="1"/>
  <c r="DO70" i="1"/>
  <c r="DP70" i="1" s="1"/>
  <c r="DS70" i="1"/>
  <c r="DR180" i="1"/>
  <c r="DS287" i="1"/>
  <c r="DO287" i="1"/>
  <c r="DP287" i="1" s="1"/>
  <c r="EL287" i="1" s="1"/>
  <c r="DR238" i="1"/>
  <c r="DR198" i="1"/>
  <c r="DS46" i="1"/>
  <c r="DO46" i="1"/>
  <c r="DP46" i="1" s="1"/>
  <c r="DS121" i="1"/>
  <c r="DO121" i="1"/>
  <c r="DP121" i="1" s="1"/>
  <c r="EL121" i="1" s="1"/>
  <c r="DS337" i="1"/>
  <c r="DO337" i="1"/>
  <c r="DP337" i="1" s="1"/>
  <c r="EL337" i="1" s="1"/>
  <c r="DR115" i="1"/>
  <c r="DR103" i="1"/>
  <c r="DS126" i="1"/>
  <c r="DO126" i="1"/>
  <c r="DP126" i="1" s="1"/>
  <c r="DS249" i="1"/>
  <c r="DO249" i="1"/>
  <c r="DP249" i="1" s="1"/>
  <c r="DR184" i="1"/>
  <c r="DO71" i="1"/>
  <c r="DP71" i="1" s="1"/>
  <c r="DS71" i="1"/>
  <c r="DO212" i="1"/>
  <c r="DP212" i="1" s="1"/>
  <c r="DR336" i="1"/>
  <c r="DO148" i="1"/>
  <c r="DP148" i="1" s="1"/>
  <c r="EL148" i="1" s="1"/>
  <c r="DS148" i="1"/>
  <c r="DS42" i="1"/>
  <c r="DO42" i="1"/>
  <c r="DP42" i="1" s="1"/>
  <c r="DR215" i="1"/>
  <c r="DO191" i="1"/>
  <c r="DP191" i="1" s="1"/>
  <c r="DR286" i="1"/>
  <c r="DR130" i="1"/>
  <c r="DR125" i="1"/>
  <c r="DR76" i="1"/>
  <c r="DS49" i="1"/>
  <c r="DO49" i="1"/>
  <c r="DP49" i="1" s="1"/>
  <c r="DR293" i="1"/>
  <c r="DO190" i="1"/>
  <c r="DP190" i="1" s="1"/>
  <c r="DR155" i="1"/>
  <c r="DR263" i="1"/>
  <c r="DS270" i="1"/>
  <c r="DO270" i="1"/>
  <c r="DP270" i="1" s="1"/>
  <c r="DS250" i="1"/>
  <c r="DO250" i="1"/>
  <c r="DP250" i="1" s="1"/>
  <c r="DR201" i="1"/>
  <c r="DR25" i="1"/>
  <c r="DR147" i="1"/>
  <c r="DO84" i="1"/>
  <c r="DP84" i="1" s="1"/>
  <c r="EL84" i="1" s="1"/>
  <c r="DS84" i="1"/>
  <c r="DS167" i="1"/>
  <c r="DO167" i="1"/>
  <c r="DP167" i="1" s="1"/>
  <c r="EL167" i="1" s="1"/>
  <c r="DR139" i="1"/>
  <c r="DR194" i="1"/>
  <c r="DR315" i="1"/>
  <c r="DR185" i="1"/>
  <c r="DR192" i="1"/>
  <c r="DY39" i="1" a="1"/>
  <c r="DY39" i="1" s="1"/>
  <c r="EI39" i="1" s="1"/>
  <c r="DO285" i="1"/>
  <c r="DP285" i="1" s="1"/>
  <c r="DR52" i="1"/>
  <c r="DS171" i="1" l="1"/>
  <c r="DX171" i="1" s="1"/>
  <c r="CX171" i="1" s="1"/>
  <c r="DO226" i="1"/>
  <c r="DP226" i="1" s="1"/>
  <c r="DX226" i="1" s="1"/>
  <c r="DS189" i="1"/>
  <c r="DX189" i="1" s="1"/>
  <c r="DY189" i="1" s="1" a="1"/>
  <c r="DY189" i="1" s="1"/>
  <c r="EI189" i="1" s="1"/>
  <c r="ES189" i="1" s="1"/>
  <c r="EW189" i="1" s="1"/>
  <c r="EW322" i="1"/>
  <c r="EW13" i="1"/>
  <c r="EU301" i="1"/>
  <c r="EU30" i="1"/>
  <c r="EW30" i="1" s="1"/>
  <c r="EU151" i="1"/>
  <c r="EW151" i="1" s="1"/>
  <c r="EW63" i="1"/>
  <c r="DS257" i="1"/>
  <c r="DX257" i="1" s="1"/>
  <c r="DO142" i="1"/>
  <c r="DP142" i="1" s="1"/>
  <c r="DX142" i="1" s="1"/>
  <c r="DX174" i="1"/>
  <c r="EW37" i="1"/>
  <c r="EW253" i="1"/>
  <c r="DO74" i="1"/>
  <c r="DP74" i="1" s="1"/>
  <c r="DS74" i="1"/>
  <c r="EW109" i="1"/>
  <c r="DS158" i="1"/>
  <c r="DX158" i="1" s="1"/>
  <c r="DY158" i="1" s="1" a="1"/>
  <c r="DY158" i="1" s="1"/>
  <c r="EI158" i="1" s="1"/>
  <c r="DO272" i="1"/>
  <c r="DP272" i="1" s="1"/>
  <c r="DS86" i="1"/>
  <c r="DX86" i="1" s="1"/>
  <c r="CX86" i="1" s="1"/>
  <c r="DO235" i="1"/>
  <c r="DP235" i="1" s="1"/>
  <c r="EL235" i="1" s="1"/>
  <c r="DS254" i="1"/>
  <c r="DX254" i="1" s="1"/>
  <c r="CX254" i="1" s="1"/>
  <c r="DS88" i="1"/>
  <c r="DX49" i="1"/>
  <c r="EL49" i="1"/>
  <c r="DX212" i="1"/>
  <c r="EL212" i="1"/>
  <c r="DX70" i="1"/>
  <c r="EL70" i="1"/>
  <c r="DX340" i="1"/>
  <c r="EL340" i="1"/>
  <c r="DX66" i="1"/>
  <c r="DY66" i="1" s="1" a="1"/>
  <c r="DY66" i="1" s="1"/>
  <c r="EI66" i="1" s="1"/>
  <c r="EL66" i="1"/>
  <c r="DX298" i="1"/>
  <c r="EL298" i="1"/>
  <c r="DX131" i="1"/>
  <c r="DY131" i="1" s="1" a="1"/>
  <c r="DY131" i="1" s="1"/>
  <c r="EI131" i="1" s="1"/>
  <c r="EL131" i="1"/>
  <c r="EU131" i="1" s="1"/>
  <c r="DX213" i="1"/>
  <c r="EL213" i="1"/>
  <c r="DX268" i="1"/>
  <c r="EL268" i="1"/>
  <c r="DX186" i="1"/>
  <c r="EL186" i="1"/>
  <c r="EU186" i="1" s="1"/>
  <c r="DX246" i="1"/>
  <c r="EL246" i="1"/>
  <c r="DX82" i="1"/>
  <c r="EL82" i="1"/>
  <c r="DX289" i="1"/>
  <c r="EL289" i="1"/>
  <c r="DX285" i="1"/>
  <c r="EL285" i="1"/>
  <c r="DX71" i="1"/>
  <c r="DY71" i="1" s="1" a="1"/>
  <c r="DY71" i="1" s="1"/>
  <c r="EI71" i="1" s="1"/>
  <c r="EL71" i="1"/>
  <c r="DX64" i="1"/>
  <c r="EL64" i="1"/>
  <c r="EW19" i="1"/>
  <c r="DX36" i="1"/>
  <c r="DY36" i="1" s="1" a="1"/>
  <c r="DY36" i="1" s="1"/>
  <c r="EI36" i="1" s="1"/>
  <c r="EL36" i="1"/>
  <c r="DX311" i="1"/>
  <c r="EL311" i="1"/>
  <c r="DX227" i="1"/>
  <c r="EL227" i="1"/>
  <c r="DX313" i="1"/>
  <c r="EL313" i="1"/>
  <c r="DS221" i="1"/>
  <c r="DO221" i="1"/>
  <c r="DP221" i="1" s="1"/>
  <c r="DX73" i="1"/>
  <c r="CX73" i="1" s="1"/>
  <c r="EL73" i="1"/>
  <c r="DX160" i="1"/>
  <c r="EL160" i="1"/>
  <c r="DX228" i="1"/>
  <c r="CX228" i="1" s="1"/>
  <c r="EL228" i="1"/>
  <c r="DX162" i="1"/>
  <c r="EL162" i="1"/>
  <c r="DX27" i="1"/>
  <c r="EL27" i="1"/>
  <c r="DX146" i="1"/>
  <c r="EL146" i="1"/>
  <c r="DX244" i="1"/>
  <c r="EL244" i="1"/>
  <c r="EU244" i="1" s="1"/>
  <c r="DX250" i="1"/>
  <c r="DY250" i="1" s="1" a="1"/>
  <c r="DY250" i="1" s="1"/>
  <c r="EI250" i="1" s="1"/>
  <c r="EL250" i="1"/>
  <c r="DX60" i="1"/>
  <c r="EL60" i="1"/>
  <c r="DX300" i="1"/>
  <c r="EL300" i="1"/>
  <c r="DX108" i="1"/>
  <c r="DY108" i="1" s="1" a="1"/>
  <c r="DY108" i="1" s="1"/>
  <c r="EI108" i="1" s="1"/>
  <c r="EL108" i="1"/>
  <c r="DX88" i="1"/>
  <c r="EL88" i="1"/>
  <c r="DO77" i="1"/>
  <c r="DP77" i="1" s="1"/>
  <c r="DS77" i="1"/>
  <c r="DX46" i="1"/>
  <c r="EL46" i="1"/>
  <c r="DX211" i="1"/>
  <c r="CX211" i="1" s="1"/>
  <c r="EL211" i="1"/>
  <c r="DX249" i="1"/>
  <c r="DY249" i="1" s="1" a="1"/>
  <c r="DY249" i="1" s="1"/>
  <c r="EI249" i="1" s="1"/>
  <c r="EL249" i="1"/>
  <c r="DX216" i="1"/>
  <c r="DY216" i="1" s="1" a="1"/>
  <c r="DY216" i="1" s="1"/>
  <c r="EI216" i="1" s="1"/>
  <c r="EL216" i="1"/>
  <c r="DX324" i="1"/>
  <c r="EL324" i="1"/>
  <c r="DX75" i="1"/>
  <c r="CX75" i="1" s="1"/>
  <c r="EL75" i="1"/>
  <c r="DX276" i="1"/>
  <c r="DY276" i="1" s="1" a="1"/>
  <c r="DY276" i="1" s="1"/>
  <c r="EI276" i="1" s="1"/>
  <c r="EL276" i="1"/>
  <c r="EW218" i="1"/>
  <c r="DX57" i="1"/>
  <c r="CX57" i="1" s="1"/>
  <c r="EL57" i="1"/>
  <c r="DX126" i="1"/>
  <c r="CX126" i="1" s="1"/>
  <c r="EL126" i="1"/>
  <c r="DX90" i="1"/>
  <c r="DY90" i="1" s="1" a="1"/>
  <c r="DY90" i="1" s="1"/>
  <c r="EI90" i="1" s="1"/>
  <c r="EL90" i="1"/>
  <c r="DX32" i="1"/>
  <c r="CX32" i="1" s="1"/>
  <c r="EL32" i="1"/>
  <c r="DX305" i="1"/>
  <c r="CX305" i="1" s="1"/>
  <c r="EL305" i="1"/>
  <c r="DX273" i="1"/>
  <c r="EL273" i="1"/>
  <c r="DX282" i="1"/>
  <c r="CX282" i="1" s="1"/>
  <c r="EL282" i="1"/>
  <c r="DX260" i="1"/>
  <c r="EL260" i="1"/>
  <c r="DX281" i="1"/>
  <c r="EL281" i="1"/>
  <c r="DX42" i="1"/>
  <c r="CX42" i="1" s="1"/>
  <c r="EL42" i="1"/>
  <c r="DX275" i="1"/>
  <c r="CX275" i="1" s="1"/>
  <c r="EL275" i="1"/>
  <c r="DX297" i="1"/>
  <c r="CX297" i="1" s="1"/>
  <c r="EL297" i="1"/>
  <c r="DX323" i="1"/>
  <c r="EL323" i="1"/>
  <c r="DX230" i="1"/>
  <c r="EL230" i="1"/>
  <c r="DS85" i="1"/>
  <c r="DO85" i="1"/>
  <c r="DP85" i="1" s="1"/>
  <c r="DX312" i="1"/>
  <c r="EL312" i="1"/>
  <c r="DX166" i="1"/>
  <c r="EL166" i="1"/>
  <c r="DX270" i="1"/>
  <c r="CX270" i="1" s="1"/>
  <c r="EL270" i="1"/>
  <c r="DX284" i="1"/>
  <c r="CX284" i="1" s="1"/>
  <c r="EL284" i="1"/>
  <c r="DX341" i="1"/>
  <c r="EL341" i="1"/>
  <c r="DX72" i="1"/>
  <c r="DY72" i="1" s="1" a="1"/>
  <c r="DY72" i="1" s="1"/>
  <c r="EI72" i="1" s="1"/>
  <c r="EL72" i="1"/>
  <c r="DX316" i="1"/>
  <c r="EL316" i="1"/>
  <c r="DX122" i="1"/>
  <c r="EL122" i="1"/>
  <c r="ES317" i="1"/>
  <c r="EU317" i="1"/>
  <c r="DX191" i="1"/>
  <c r="EL191" i="1"/>
  <c r="EU191" i="1" s="1"/>
  <c r="DX118" i="1"/>
  <c r="EL118" i="1"/>
  <c r="DX209" i="1"/>
  <c r="DY209" i="1" s="1" a="1"/>
  <c r="DY209" i="1" s="1"/>
  <c r="EI209" i="1" s="1"/>
  <c r="EL209" i="1"/>
  <c r="DX190" i="1"/>
  <c r="DY190" i="1" s="1" a="1"/>
  <c r="DY190" i="1" s="1"/>
  <c r="EI190" i="1" s="1"/>
  <c r="EL190" i="1"/>
  <c r="EU190" i="1" s="1"/>
  <c r="DX140" i="1"/>
  <c r="CX140" i="1" s="1"/>
  <c r="EL140" i="1"/>
  <c r="DS187" i="1"/>
  <c r="DX187" i="1" s="1"/>
  <c r="DX161" i="1"/>
  <c r="CX161" i="1" s="1"/>
  <c r="EL161" i="1"/>
  <c r="DX229" i="1"/>
  <c r="DY229" i="1" s="1" a="1"/>
  <c r="DY229" i="1" s="1"/>
  <c r="EI229" i="1" s="1"/>
  <c r="EL229" i="1"/>
  <c r="DX163" i="1"/>
  <c r="EL163" i="1"/>
  <c r="DX292" i="1"/>
  <c r="EL292" i="1"/>
  <c r="EW248" i="1"/>
  <c r="EW301" i="1"/>
  <c r="EW318" i="1"/>
  <c r="ES39" i="1"/>
  <c r="EU39" i="1"/>
  <c r="EW65" i="1"/>
  <c r="ES97" i="1"/>
  <c r="EU97" i="1"/>
  <c r="EW123" i="1"/>
  <c r="DS89" i="1"/>
  <c r="DO89" i="1"/>
  <c r="DP89" i="1" s="1"/>
  <c r="DS83" i="1"/>
  <c r="DO83" i="1"/>
  <c r="DP83" i="1" s="1"/>
  <c r="DX199" i="1"/>
  <c r="DO242" i="1"/>
  <c r="DP242" i="1" s="1"/>
  <c r="DS45" i="1"/>
  <c r="DO45" i="1"/>
  <c r="DP45" i="1" s="1"/>
  <c r="DS79" i="1"/>
  <c r="DO79" i="1"/>
  <c r="DP79" i="1" s="1"/>
  <c r="DS210" i="1"/>
  <c r="DO210" i="1"/>
  <c r="DP210" i="1" s="1"/>
  <c r="DO200" i="1"/>
  <c r="DP200" i="1" s="1"/>
  <c r="DS200" i="1"/>
  <c r="DO150" i="1"/>
  <c r="DP150" i="1" s="1"/>
  <c r="DS150" i="1"/>
  <c r="DS53" i="1"/>
  <c r="DO53" i="1"/>
  <c r="DP53" i="1" s="1"/>
  <c r="DO217" i="1"/>
  <c r="DP217" i="1" s="1"/>
  <c r="DS217" i="1"/>
  <c r="DO265" i="1"/>
  <c r="DP265" i="1" s="1"/>
  <c r="DS265" i="1"/>
  <c r="DS29" i="1"/>
  <c r="DO29" i="1"/>
  <c r="DP29" i="1" s="1"/>
  <c r="DS326" i="1"/>
  <c r="DO326" i="1"/>
  <c r="DP326" i="1" s="1"/>
  <c r="DX193" i="1"/>
  <c r="CX257" i="1"/>
  <c r="DY257" i="1" a="1"/>
  <c r="DY257" i="1" s="1"/>
  <c r="EI257" i="1" s="1"/>
  <c r="DY96" i="1" a="1"/>
  <c r="DY96" i="1" s="1"/>
  <c r="EI96" i="1" s="1"/>
  <c r="CX96" i="1"/>
  <c r="DY342" i="1" a="1"/>
  <c r="DY342" i="1" s="1"/>
  <c r="EI342" i="1" s="1"/>
  <c r="CX342" i="1"/>
  <c r="DY296" i="1" a="1"/>
  <c r="DY296" i="1" s="1"/>
  <c r="EI296" i="1" s="1"/>
  <c r="CX296" i="1"/>
  <c r="DY254" i="1" a="1"/>
  <c r="DY254" i="1" s="1"/>
  <c r="EI254" i="1" s="1"/>
  <c r="CX164" i="1"/>
  <c r="DY164" i="1" a="1"/>
  <c r="DY164" i="1" s="1"/>
  <c r="EI164" i="1" s="1"/>
  <c r="CX40" i="1"/>
  <c r="DY40" i="1" a="1"/>
  <c r="DY40" i="1" s="1"/>
  <c r="EI40" i="1" s="1"/>
  <c r="CX306" i="1"/>
  <c r="DY306" i="1" a="1"/>
  <c r="DY306" i="1" s="1"/>
  <c r="EI306" i="1" s="1"/>
  <c r="DS202" i="1"/>
  <c r="DO202" i="1"/>
  <c r="DP202" i="1" s="1"/>
  <c r="EL202" i="1" s="1"/>
  <c r="EU202" i="1" s="1"/>
  <c r="DS135" i="1"/>
  <c r="DO135" i="1"/>
  <c r="DP135" i="1" s="1"/>
  <c r="EL135" i="1" s="1"/>
  <c r="DY57" i="1" a="1"/>
  <c r="DY57" i="1" s="1"/>
  <c r="EI57" i="1" s="1"/>
  <c r="DO206" i="1"/>
  <c r="DP206" i="1" s="1"/>
  <c r="EL206" i="1" s="1"/>
  <c r="EU206" i="1" s="1"/>
  <c r="DS206" i="1"/>
  <c r="CX36" i="1"/>
  <c r="DS152" i="1"/>
  <c r="DO152" i="1"/>
  <c r="DP152" i="1" s="1"/>
  <c r="CX246" i="1"/>
  <c r="DY246" i="1" a="1"/>
  <c r="DY246" i="1" s="1"/>
  <c r="EI246" i="1" s="1"/>
  <c r="DX320" i="1"/>
  <c r="DX255" i="1"/>
  <c r="DY49" i="1" a="1"/>
  <c r="DY49" i="1" s="1"/>
  <c r="EI49" i="1" s="1"/>
  <c r="CX49" i="1"/>
  <c r="DO139" i="1"/>
  <c r="DP139" i="1" s="1"/>
  <c r="DS139" i="1"/>
  <c r="DX237" i="1"/>
  <c r="DX148" i="1"/>
  <c r="DS50" i="1"/>
  <c r="DO50" i="1"/>
  <c r="DP50" i="1" s="1"/>
  <c r="EL50" i="1" s="1"/>
  <c r="DX196" i="1"/>
  <c r="DS110" i="1"/>
  <c r="DO110" i="1"/>
  <c r="DP110" i="1" s="1"/>
  <c r="EL110" i="1" s="1"/>
  <c r="DS269" i="1"/>
  <c r="DO269" i="1"/>
  <c r="DP269" i="1" s="1"/>
  <c r="EL269" i="1" s="1"/>
  <c r="DX219" i="1"/>
  <c r="DS33" i="1"/>
  <c r="DO33" i="1"/>
  <c r="DP33" i="1" s="1"/>
  <c r="EL33" i="1" s="1"/>
  <c r="DO136" i="1"/>
  <c r="DP136" i="1" s="1"/>
  <c r="EL136" i="1" s="1"/>
  <c r="DS136" i="1"/>
  <c r="DY282" i="1" a="1"/>
  <c r="DY282" i="1" s="1"/>
  <c r="EI282" i="1" s="1"/>
  <c r="DO333" i="1"/>
  <c r="DP333" i="1" s="1"/>
  <c r="EL333" i="1" s="1"/>
  <c r="DS333" i="1"/>
  <c r="DO194" i="1"/>
  <c r="DP194" i="1" s="1"/>
  <c r="EL194" i="1" s="1"/>
  <c r="EU194" i="1" s="1"/>
  <c r="DS194" i="1"/>
  <c r="DS238" i="1"/>
  <c r="DO238" i="1"/>
  <c r="DP238" i="1" s="1"/>
  <c r="EL238" i="1" s="1"/>
  <c r="DX167" i="1"/>
  <c r="DS336" i="1"/>
  <c r="DO336" i="1"/>
  <c r="DP336" i="1" s="1"/>
  <c r="EL336" i="1" s="1"/>
  <c r="DS103" i="1"/>
  <c r="DO103" i="1"/>
  <c r="DP103" i="1" s="1"/>
  <c r="DS143" i="1"/>
  <c r="DO143" i="1"/>
  <c r="DP143" i="1" s="1"/>
  <c r="DS231" i="1"/>
  <c r="DO231" i="1"/>
  <c r="DP231" i="1" s="1"/>
  <c r="DX223" i="1"/>
  <c r="DX299" i="1"/>
  <c r="DX274" i="1"/>
  <c r="DO14" i="1"/>
  <c r="DP14" i="1" s="1"/>
  <c r="EL14" i="1" s="1"/>
  <c r="DS14" i="1"/>
  <c r="DS114" i="1"/>
  <c r="DO114" i="1"/>
  <c r="DP114" i="1" s="1"/>
  <c r="DS95" i="1"/>
  <c r="DO95" i="1"/>
  <c r="DP95" i="1" s="1"/>
  <c r="DX120" i="1"/>
  <c r="DY42" i="1" a="1"/>
  <c r="DY42" i="1" s="1"/>
  <c r="EI42" i="1" s="1"/>
  <c r="DS76" i="1"/>
  <c r="DO76" i="1"/>
  <c r="DP76" i="1" s="1"/>
  <c r="EL76" i="1" s="1"/>
  <c r="DY212" i="1" a="1"/>
  <c r="DY212" i="1" s="1"/>
  <c r="EI212" i="1" s="1"/>
  <c r="CX212" i="1"/>
  <c r="DX287" i="1"/>
  <c r="DS172" i="1"/>
  <c r="DO172" i="1"/>
  <c r="DP172" i="1" s="1"/>
  <c r="DO332" i="1"/>
  <c r="DP332" i="1" s="1"/>
  <c r="DS332" i="1"/>
  <c r="DS100" i="1"/>
  <c r="DO100" i="1"/>
  <c r="DP100" i="1" s="1"/>
  <c r="DS55" i="1"/>
  <c r="DO55" i="1"/>
  <c r="DP55" i="1" s="1"/>
  <c r="DS303" i="1"/>
  <c r="DO303" i="1"/>
  <c r="DP303" i="1" s="1"/>
  <c r="EL303" i="1" s="1"/>
  <c r="DO98" i="1"/>
  <c r="DP98" i="1" s="1"/>
  <c r="DS98" i="1"/>
  <c r="DO204" i="1"/>
  <c r="DP204" i="1" s="1"/>
  <c r="EL204" i="1" s="1"/>
  <c r="EU204" i="1" s="1"/>
  <c r="DS204" i="1"/>
  <c r="DO188" i="1"/>
  <c r="DP188" i="1" s="1"/>
  <c r="EL188" i="1" s="1"/>
  <c r="EU188" i="1" s="1"/>
  <c r="DS188" i="1"/>
  <c r="DX277" i="1"/>
  <c r="DX222" i="1"/>
  <c r="CX191" i="1"/>
  <c r="DY191" i="1" a="1"/>
  <c r="DY191" i="1" s="1"/>
  <c r="EI191" i="1" s="1"/>
  <c r="DS185" i="1"/>
  <c r="DO185" i="1"/>
  <c r="DP185" i="1" s="1"/>
  <c r="DO201" i="1"/>
  <c r="DP201" i="1" s="1"/>
  <c r="EL201" i="1" s="1"/>
  <c r="EU201" i="1" s="1"/>
  <c r="DS201" i="1"/>
  <c r="DS215" i="1"/>
  <c r="DO215" i="1"/>
  <c r="DP215" i="1" s="1"/>
  <c r="DO52" i="1"/>
  <c r="DP52" i="1" s="1"/>
  <c r="DS52" i="1"/>
  <c r="DO263" i="1"/>
  <c r="DP263" i="1" s="1"/>
  <c r="DS263" i="1"/>
  <c r="DO125" i="1"/>
  <c r="DP125" i="1" s="1"/>
  <c r="EL125" i="1" s="1"/>
  <c r="DS125" i="1"/>
  <c r="DS115" i="1"/>
  <c r="DO115" i="1"/>
  <c r="DP115" i="1" s="1"/>
  <c r="DX195" i="1"/>
  <c r="DY64" i="1" a="1"/>
  <c r="DY64" i="1" s="1"/>
  <c r="EI64" i="1" s="1"/>
  <c r="CX64" i="1"/>
  <c r="DX169" i="1"/>
  <c r="DS279" i="1"/>
  <c r="DO279" i="1"/>
  <c r="DP279" i="1" s="1"/>
  <c r="EL279" i="1" s="1"/>
  <c r="DS159" i="1"/>
  <c r="DO159" i="1"/>
  <c r="DP159" i="1" s="1"/>
  <c r="EL159" i="1" s="1"/>
  <c r="DS314" i="1"/>
  <c r="DO314" i="1"/>
  <c r="DP314" i="1" s="1"/>
  <c r="DO153" i="1"/>
  <c r="DP153" i="1" s="1"/>
  <c r="EL153" i="1" s="1"/>
  <c r="DS153" i="1"/>
  <c r="DO329" i="1"/>
  <c r="DP329" i="1" s="1"/>
  <c r="DS329" i="1"/>
  <c r="DO205" i="1"/>
  <c r="DP205" i="1" s="1"/>
  <c r="EL205" i="1" s="1"/>
  <c r="EU205" i="1" s="1"/>
  <c r="DS205" i="1"/>
  <c r="DY324" i="1" a="1"/>
  <c r="DY324" i="1" s="1"/>
  <c r="EI324" i="1" s="1"/>
  <c r="CX324" i="1"/>
  <c r="DY199" i="1" a="1"/>
  <c r="DY199" i="1" s="1"/>
  <c r="EI199" i="1" s="1"/>
  <c r="ES199" i="1" s="1"/>
  <c r="EW199" i="1" s="1"/>
  <c r="CX199" i="1"/>
  <c r="DX51" i="1"/>
  <c r="DS87" i="1"/>
  <c r="DO87" i="1"/>
  <c r="DP87" i="1" s="1"/>
  <c r="EL87" i="1" s="1"/>
  <c r="DY160" i="1" a="1"/>
  <c r="DY160" i="1" s="1"/>
  <c r="EI160" i="1" s="1"/>
  <c r="CX160" i="1"/>
  <c r="DX133" i="1"/>
  <c r="DX67" i="1"/>
  <c r="DO141" i="1"/>
  <c r="DP141" i="1" s="1"/>
  <c r="DS141" i="1"/>
  <c r="DS104" i="1"/>
  <c r="DO104" i="1"/>
  <c r="DP104" i="1" s="1"/>
  <c r="DS239" i="1"/>
  <c r="DO239" i="1"/>
  <c r="DP239" i="1" s="1"/>
  <c r="EL239" i="1" s="1"/>
  <c r="DO61" i="1"/>
  <c r="DP61" i="1" s="1"/>
  <c r="DS61" i="1"/>
  <c r="DO319" i="1"/>
  <c r="DP319" i="1" s="1"/>
  <c r="EL319" i="1" s="1"/>
  <c r="DS319" i="1"/>
  <c r="DX119" i="1"/>
  <c r="DS38" i="1"/>
  <c r="DO38" i="1"/>
  <c r="DP38" i="1" s="1"/>
  <c r="DY285" i="1" a="1"/>
  <c r="DY285" i="1" s="1"/>
  <c r="EI285" i="1" s="1"/>
  <c r="CX285" i="1"/>
  <c r="DX84" i="1"/>
  <c r="DO130" i="1"/>
  <c r="DP130" i="1" s="1"/>
  <c r="EL130" i="1" s="1"/>
  <c r="DS130" i="1"/>
  <c r="DX337" i="1"/>
  <c r="DO180" i="1"/>
  <c r="DP180" i="1" s="1"/>
  <c r="DS180" i="1"/>
  <c r="DX240" i="1"/>
  <c r="DX177" i="1"/>
  <c r="DS307" i="1"/>
  <c r="DO307" i="1"/>
  <c r="DP307" i="1" s="1"/>
  <c r="DX92" i="1"/>
  <c r="DO15" i="1"/>
  <c r="DP15" i="1" s="1"/>
  <c r="DS15" i="1"/>
  <c r="DO335" i="1"/>
  <c r="DP335" i="1" s="1"/>
  <c r="EL335" i="1" s="1"/>
  <c r="DS335" i="1"/>
  <c r="DS165" i="1"/>
  <c r="DO165" i="1"/>
  <c r="DP165" i="1" s="1"/>
  <c r="CX82" i="1"/>
  <c r="DY82" i="1" a="1"/>
  <c r="DY82" i="1" s="1"/>
  <c r="EI82" i="1" s="1"/>
  <c r="DO271" i="1"/>
  <c r="DP271" i="1" s="1"/>
  <c r="EL271" i="1" s="1"/>
  <c r="DS271" i="1"/>
  <c r="DS137" i="1"/>
  <c r="DO137" i="1"/>
  <c r="DP137" i="1" s="1"/>
  <c r="EL137" i="1" s="1"/>
  <c r="CX273" i="1"/>
  <c r="DY273" i="1" a="1"/>
  <c r="DY273" i="1" s="1"/>
  <c r="EI273" i="1" s="1"/>
  <c r="DO283" i="1"/>
  <c r="DP283" i="1" s="1"/>
  <c r="DS283" i="1"/>
  <c r="DY228" i="1" a="1"/>
  <c r="DY228" i="1" s="1"/>
  <c r="EI228" i="1" s="1"/>
  <c r="DS256" i="1"/>
  <c r="DO256" i="1"/>
  <c r="DP256" i="1" s="1"/>
  <c r="DY118" i="1" a="1"/>
  <c r="DY118" i="1" s="1"/>
  <c r="EI118" i="1" s="1"/>
  <c r="CX118" i="1"/>
  <c r="DS16" i="1"/>
  <c r="DO16" i="1"/>
  <c r="DP16" i="1" s="1"/>
  <c r="EL16" i="1" s="1"/>
  <c r="DS58" i="1"/>
  <c r="DO58" i="1"/>
  <c r="DP58" i="1" s="1"/>
  <c r="CX298" i="1"/>
  <c r="DY298" i="1" a="1"/>
  <c r="DY298" i="1" s="1"/>
  <c r="EI298" i="1" s="1"/>
  <c r="DS181" i="1"/>
  <c r="DO181" i="1"/>
  <c r="DP181" i="1" s="1"/>
  <c r="EL181" i="1" s="1"/>
  <c r="DO94" i="1"/>
  <c r="DP94" i="1" s="1"/>
  <c r="EL94" i="1" s="1"/>
  <c r="DS94" i="1"/>
  <c r="CX276" i="1"/>
  <c r="DY161" i="1" a="1"/>
  <c r="DY161" i="1" s="1"/>
  <c r="EI161" i="1" s="1"/>
  <c r="DS147" i="1"/>
  <c r="DO147" i="1"/>
  <c r="DP147" i="1" s="1"/>
  <c r="DS155" i="1"/>
  <c r="DO155" i="1"/>
  <c r="DP155" i="1" s="1"/>
  <c r="DX121" i="1"/>
  <c r="DX325" i="1"/>
  <c r="DO232" i="1"/>
  <c r="DP232" i="1" s="1"/>
  <c r="DS232" i="1"/>
  <c r="DS127" i="1"/>
  <c r="DO127" i="1"/>
  <c r="DP127" i="1" s="1"/>
  <c r="DS259" i="1"/>
  <c r="DO259" i="1"/>
  <c r="DP259" i="1" s="1"/>
  <c r="EL259" i="1" s="1"/>
  <c r="DO78" i="1"/>
  <c r="DP78" i="1" s="1"/>
  <c r="DS78" i="1"/>
  <c r="DS116" i="1"/>
  <c r="DO116" i="1"/>
  <c r="DP116" i="1" s="1"/>
  <c r="DS117" i="1"/>
  <c r="DO117" i="1"/>
  <c r="DP117" i="1" s="1"/>
  <c r="EL117" i="1" s="1"/>
  <c r="DY32" i="1" a="1"/>
  <c r="DY32" i="1" s="1"/>
  <c r="EI32" i="1" s="1"/>
  <c r="CX162" i="1"/>
  <c r="DY162" i="1" a="1"/>
  <c r="DY162" i="1" s="1"/>
  <c r="EI162" i="1" s="1"/>
  <c r="DO31" i="1"/>
  <c r="DP31" i="1" s="1"/>
  <c r="DS31" i="1"/>
  <c r="DY146" i="1" a="1"/>
  <c r="DY146" i="1" s="1"/>
  <c r="EI146" i="1" s="1"/>
  <c r="CX146" i="1"/>
  <c r="DS286" i="1"/>
  <c r="DO286" i="1"/>
  <c r="DP286" i="1" s="1"/>
  <c r="DO184" i="1"/>
  <c r="DP184" i="1" s="1"/>
  <c r="DS184" i="1"/>
  <c r="DY70" i="1" a="1"/>
  <c r="DY70" i="1" s="1"/>
  <c r="EI70" i="1" s="1"/>
  <c r="CX70" i="1"/>
  <c r="DO234" i="1"/>
  <c r="DP234" i="1" s="1"/>
  <c r="EL234" i="1" s="1"/>
  <c r="DS234" i="1"/>
  <c r="DO168" i="1"/>
  <c r="DP168" i="1" s="1"/>
  <c r="DS168" i="1"/>
  <c r="DX145" i="1"/>
  <c r="DO258" i="1"/>
  <c r="DP258" i="1" s="1"/>
  <c r="EL258" i="1" s="1"/>
  <c r="DS258" i="1"/>
  <c r="DS124" i="1"/>
  <c r="DO124" i="1"/>
  <c r="DP124" i="1" s="1"/>
  <c r="EL124" i="1" s="1"/>
  <c r="DO144" i="1"/>
  <c r="DP144" i="1" s="1"/>
  <c r="DS144" i="1"/>
  <c r="DO138" i="1"/>
  <c r="DP138" i="1" s="1"/>
  <c r="EL138" i="1" s="1"/>
  <c r="DS138" i="1"/>
  <c r="DX295" i="1"/>
  <c r="DO236" i="1"/>
  <c r="DP236" i="1" s="1"/>
  <c r="EL236" i="1" s="1"/>
  <c r="DS236" i="1"/>
  <c r="DX134" i="1"/>
  <c r="DY46" i="1" a="1"/>
  <c r="DY46" i="1" s="1"/>
  <c r="EI46" i="1" s="1"/>
  <c r="CX46" i="1"/>
  <c r="DS20" i="1"/>
  <c r="DO20" i="1"/>
  <c r="DP20" i="1" s="1"/>
  <c r="EL20" i="1" s="1"/>
  <c r="CX193" i="1"/>
  <c r="DY193" i="1" a="1"/>
  <c r="DY193" i="1" s="1"/>
  <c r="EI193" i="1" s="1"/>
  <c r="ES193" i="1" s="1"/>
  <c r="EW193" i="1" s="1"/>
  <c r="DO91" i="1"/>
  <c r="DP91" i="1" s="1"/>
  <c r="EL91" i="1" s="1"/>
  <c r="DS91" i="1"/>
  <c r="DO264" i="1"/>
  <c r="DP264" i="1" s="1"/>
  <c r="DS264" i="1"/>
  <c r="DY323" i="1" a="1"/>
  <c r="DY323" i="1" s="1"/>
  <c r="EI323" i="1" s="1"/>
  <c r="CX323" i="1"/>
  <c r="CX312" i="1"/>
  <c r="DY312" i="1" a="1"/>
  <c r="DY312" i="1" s="1"/>
  <c r="EI312" i="1" s="1"/>
  <c r="DS80" i="1"/>
  <c r="DO80" i="1"/>
  <c r="DP80" i="1" s="1"/>
  <c r="DX22" i="1"/>
  <c r="DO267" i="1"/>
  <c r="DP267" i="1" s="1"/>
  <c r="DS267" i="1"/>
  <c r="CX216" i="1"/>
  <c r="DO149" i="1"/>
  <c r="DP149" i="1" s="1"/>
  <c r="DS149" i="1"/>
  <c r="DX302" i="1"/>
  <c r="DS112" i="1"/>
  <c r="DO112" i="1"/>
  <c r="DP112" i="1" s="1"/>
  <c r="EL112" i="1" s="1"/>
  <c r="DX28" i="1"/>
  <c r="DO26" i="1"/>
  <c r="DP26" i="1" s="1"/>
  <c r="EL26" i="1" s="1"/>
  <c r="DS26" i="1"/>
  <c r="DY75" i="1" a="1"/>
  <c r="DY75" i="1" s="1"/>
  <c r="EI75" i="1" s="1"/>
  <c r="DY211" i="1" a="1"/>
  <c r="DY211" i="1" s="1"/>
  <c r="EI211" i="1" s="1"/>
  <c r="DO157" i="1"/>
  <c r="DP157" i="1" s="1"/>
  <c r="DS157" i="1"/>
  <c r="CX230" i="1"/>
  <c r="DY230" i="1" a="1"/>
  <c r="DY230" i="1" s="1"/>
  <c r="EI230" i="1" s="1"/>
  <c r="DO192" i="1"/>
  <c r="DP192" i="1" s="1"/>
  <c r="DS192" i="1"/>
  <c r="DS25" i="1"/>
  <c r="DO25" i="1"/>
  <c r="DP25" i="1" s="1"/>
  <c r="DY300" i="1" a="1"/>
  <c r="DY300" i="1" s="1"/>
  <c r="EI300" i="1" s="1"/>
  <c r="CX300" i="1"/>
  <c r="CX340" i="1"/>
  <c r="DY340" i="1" a="1"/>
  <c r="DY340" i="1" s="1"/>
  <c r="EI340" i="1" s="1"/>
  <c r="DS107" i="1"/>
  <c r="DO107" i="1"/>
  <c r="DP107" i="1" s="1"/>
  <c r="EL107" i="1" s="1"/>
  <c r="DY297" i="1" a="1"/>
  <c r="DY297" i="1" s="1"/>
  <c r="EI297" i="1" s="1"/>
  <c r="DS214" i="1"/>
  <c r="DO214" i="1"/>
  <c r="DP214" i="1" s="1"/>
  <c r="DY27" i="1" a="1"/>
  <c r="DY27" i="1" s="1"/>
  <c r="EI27" i="1" s="1"/>
  <c r="CX27" i="1"/>
  <c r="CX131" i="1"/>
  <c r="DY140" i="1" a="1"/>
  <c r="DY140" i="1" s="1"/>
  <c r="EI140" i="1" s="1"/>
  <c r="DO288" i="1"/>
  <c r="DP288" i="1" s="1"/>
  <c r="EL288" i="1" s="1"/>
  <c r="DS288" i="1"/>
  <c r="DX278" i="1"/>
  <c r="CX249" i="1"/>
  <c r="DS293" i="1"/>
  <c r="DO293" i="1"/>
  <c r="DP293" i="1" s="1"/>
  <c r="DY208" i="1" a="1"/>
  <c r="DY208" i="1" s="1"/>
  <c r="EI208" i="1" s="1"/>
  <c r="ES208" i="1" s="1"/>
  <c r="EW208" i="1" s="1"/>
  <c r="CX208" i="1"/>
  <c r="DY186" i="1" a="1"/>
  <c r="DY186" i="1" s="1"/>
  <c r="EI186" i="1" s="1"/>
  <c r="ES186" i="1" s="1"/>
  <c r="EW186" i="1" s="1"/>
  <c r="CX186" i="1"/>
  <c r="DX310" i="1"/>
  <c r="DY281" i="1" a="1"/>
  <c r="DY281" i="1" s="1"/>
  <c r="EI281" i="1" s="1"/>
  <c r="CX281" i="1"/>
  <c r="DY341" i="1" a="1"/>
  <c r="DY341" i="1" s="1"/>
  <c r="EI341" i="1" s="1"/>
  <c r="CX341" i="1"/>
  <c r="DX294" i="1"/>
  <c r="DS290" i="1"/>
  <c r="DO290" i="1"/>
  <c r="DP290" i="1" s="1"/>
  <c r="CX187" i="1"/>
  <c r="DY187" i="1" a="1"/>
  <c r="DY187" i="1" s="1"/>
  <c r="EI187" i="1" s="1"/>
  <c r="ES187" i="1" s="1"/>
  <c r="EW187" i="1" s="1"/>
  <c r="DY227" i="1" a="1"/>
  <c r="DY227" i="1" s="1"/>
  <c r="EI227" i="1" s="1"/>
  <c r="CX227" i="1"/>
  <c r="DS129" i="1"/>
  <c r="DO129" i="1"/>
  <c r="DP129" i="1" s="1"/>
  <c r="DO93" i="1"/>
  <c r="DP93" i="1" s="1"/>
  <c r="EL93" i="1" s="1"/>
  <c r="DS93" i="1"/>
  <c r="CX72" i="1"/>
  <c r="DO266" i="1"/>
  <c r="DP266" i="1" s="1"/>
  <c r="EL266" i="1" s="1"/>
  <c r="DS266" i="1"/>
  <c r="DY126" i="1" a="1"/>
  <c r="DY126" i="1" s="1"/>
  <c r="EI126" i="1" s="1"/>
  <c r="DO198" i="1"/>
  <c r="DP198" i="1" s="1"/>
  <c r="EL198" i="1" s="1"/>
  <c r="EU198" i="1" s="1"/>
  <c r="DS198" i="1"/>
  <c r="DY260" i="1" a="1"/>
  <c r="DY260" i="1" s="1"/>
  <c r="EI260" i="1" s="1"/>
  <c r="CX260" i="1"/>
  <c r="DO321" i="1"/>
  <c r="DP321" i="1" s="1"/>
  <c r="EL321" i="1" s="1"/>
  <c r="DS321" i="1"/>
  <c r="CX209" i="1"/>
  <c r="DY275" i="1" a="1"/>
  <c r="DY275" i="1" s="1"/>
  <c r="EI275" i="1" s="1"/>
  <c r="DS99" i="1"/>
  <c r="DO99" i="1"/>
  <c r="DP99" i="1" s="1"/>
  <c r="EL99" i="1" s="1"/>
  <c r="DX48" i="1"/>
  <c r="CX311" i="1"/>
  <c r="DY311" i="1" a="1"/>
  <c r="DY311" i="1" s="1"/>
  <c r="EI311" i="1" s="1"/>
  <c r="DX23" i="1"/>
  <c r="DS328" i="1"/>
  <c r="DO328" i="1"/>
  <c r="DP328" i="1" s="1"/>
  <c r="EL328" i="1" s="1"/>
  <c r="DY313" i="1" a="1"/>
  <c r="DY313" i="1" s="1"/>
  <c r="EI313" i="1" s="1"/>
  <c r="CX313" i="1"/>
  <c r="DS18" i="1"/>
  <c r="DO18" i="1"/>
  <c r="DP18" i="1" s="1"/>
  <c r="DY316" i="1" a="1"/>
  <c r="DY316" i="1" s="1"/>
  <c r="EI316" i="1" s="1"/>
  <c r="CX316" i="1"/>
  <c r="DS102" i="1"/>
  <c r="DO102" i="1"/>
  <c r="DP102" i="1" s="1"/>
  <c r="DS315" i="1"/>
  <c r="DO315" i="1"/>
  <c r="DP315" i="1" s="1"/>
  <c r="DX245" i="1"/>
  <c r="DS304" i="1"/>
  <c r="DO304" i="1"/>
  <c r="DP304" i="1" s="1"/>
  <c r="DS176" i="1"/>
  <c r="DO176" i="1"/>
  <c r="DP176" i="1" s="1"/>
  <c r="EL176" i="1" s="1"/>
  <c r="CX174" i="1"/>
  <c r="DY174" i="1" a="1"/>
  <c r="DY174" i="1" s="1"/>
  <c r="EI174" i="1" s="1"/>
  <c r="DY163" i="1" a="1"/>
  <c r="DY163" i="1" s="1"/>
  <c r="EI163" i="1" s="1"/>
  <c r="CX163" i="1"/>
  <c r="DY305" i="1" l="1" a="1"/>
  <c r="DY305" i="1" s="1"/>
  <c r="EI305" i="1" s="1"/>
  <c r="DY73" i="1" a="1"/>
  <c r="DY73" i="1" s="1"/>
  <c r="EI73" i="1" s="1"/>
  <c r="CX71" i="1"/>
  <c r="CX108" i="1"/>
  <c r="CX229" i="1"/>
  <c r="ES190" i="1"/>
  <c r="EW190" i="1" s="1"/>
  <c r="DY171" i="1" a="1"/>
  <c r="DY171" i="1" s="1"/>
  <c r="EI171" i="1" s="1"/>
  <c r="EU171" i="1" s="1"/>
  <c r="CX158" i="1"/>
  <c r="DY284" i="1" a="1"/>
  <c r="DY284" i="1" s="1"/>
  <c r="EI284" i="1" s="1"/>
  <c r="EU284" i="1" s="1"/>
  <c r="CX66" i="1"/>
  <c r="CX90" i="1"/>
  <c r="CX190" i="1"/>
  <c r="CX250" i="1"/>
  <c r="DX235" i="1"/>
  <c r="EL226" i="1"/>
  <c r="CX189" i="1"/>
  <c r="DY270" i="1" a="1"/>
  <c r="DY270" i="1" s="1"/>
  <c r="EI270" i="1" s="1"/>
  <c r="DY86" i="1" a="1"/>
  <c r="DY86" i="1" s="1"/>
  <c r="EI86" i="1" s="1"/>
  <c r="ES86" i="1" s="1"/>
  <c r="ES131" i="1"/>
  <c r="EW131" i="1" s="1"/>
  <c r="EW39" i="1"/>
  <c r="EL142" i="1"/>
  <c r="DY142" i="1" a="1"/>
  <c r="DY142" i="1" s="1"/>
  <c r="EI142" i="1" s="1"/>
  <c r="CX142" i="1"/>
  <c r="EL272" i="1"/>
  <c r="DX272" i="1"/>
  <c r="ES191" i="1"/>
  <c r="EW191" i="1" s="1"/>
  <c r="DX74" i="1"/>
  <c r="EL74" i="1"/>
  <c r="DX332" i="1"/>
  <c r="EL332" i="1"/>
  <c r="DX53" i="1"/>
  <c r="EL53" i="1"/>
  <c r="DX89" i="1"/>
  <c r="EL89" i="1"/>
  <c r="DX267" i="1"/>
  <c r="CX267" i="1" s="1"/>
  <c r="EL267" i="1"/>
  <c r="DX78" i="1"/>
  <c r="EL78" i="1"/>
  <c r="DX141" i="1"/>
  <c r="DY141" i="1" s="1" a="1"/>
  <c r="DY141" i="1" s="1"/>
  <c r="EI141" i="1" s="1"/>
  <c r="EL141" i="1"/>
  <c r="DX115" i="1"/>
  <c r="EL115" i="1"/>
  <c r="DX172" i="1"/>
  <c r="EL172" i="1"/>
  <c r="CX213" i="1"/>
  <c r="DY213" i="1" a="1"/>
  <c r="DY213" i="1" s="1"/>
  <c r="EI213" i="1" s="1"/>
  <c r="ES213" i="1" s="1"/>
  <c r="DX144" i="1"/>
  <c r="EL144" i="1"/>
  <c r="DX286" i="1"/>
  <c r="EL286" i="1"/>
  <c r="DX184" i="1"/>
  <c r="CX184" i="1" s="1"/>
  <c r="EL184" i="1"/>
  <c r="EU184" i="1" s="1"/>
  <c r="DX283" i="1"/>
  <c r="DY283" i="1" s="1" a="1"/>
  <c r="DY283" i="1" s="1"/>
  <c r="EI283" i="1" s="1"/>
  <c r="EL283" i="1"/>
  <c r="DX15" i="1"/>
  <c r="CX15" i="1" s="1"/>
  <c r="EL15" i="1"/>
  <c r="DX152" i="1"/>
  <c r="EL152" i="1"/>
  <c r="DX150" i="1"/>
  <c r="EL150" i="1"/>
  <c r="DX127" i="1"/>
  <c r="CX127" i="1" s="1"/>
  <c r="EL127" i="1"/>
  <c r="DX329" i="1"/>
  <c r="EL329" i="1"/>
  <c r="DY292" i="1" a="1"/>
  <c r="DY292" i="1" s="1"/>
  <c r="EI292" i="1" s="1"/>
  <c r="CX292" i="1"/>
  <c r="CX60" i="1"/>
  <c r="DY60" i="1" a="1"/>
  <c r="DY60" i="1" s="1"/>
  <c r="EI60" i="1" s="1"/>
  <c r="ES60" i="1" s="1"/>
  <c r="DX200" i="1"/>
  <c r="CX200" i="1" s="1"/>
  <c r="EL200" i="1"/>
  <c r="EU200" i="1" s="1"/>
  <c r="DY166" i="1" a="1"/>
  <c r="DY166" i="1" s="1"/>
  <c r="EI166" i="1" s="1"/>
  <c r="CX166" i="1"/>
  <c r="DX221" i="1"/>
  <c r="EL221" i="1"/>
  <c r="DX263" i="1"/>
  <c r="EL263" i="1"/>
  <c r="DX231" i="1"/>
  <c r="CX231" i="1" s="1"/>
  <c r="EL231" i="1"/>
  <c r="DX210" i="1"/>
  <c r="CX210" i="1" s="1"/>
  <c r="EL210" i="1"/>
  <c r="DX38" i="1"/>
  <c r="EL38" i="1"/>
  <c r="DX31" i="1"/>
  <c r="DY31" i="1" s="1" a="1"/>
  <c r="DY31" i="1" s="1"/>
  <c r="EI31" i="1" s="1"/>
  <c r="EL31" i="1"/>
  <c r="DX232" i="1"/>
  <c r="EL232" i="1"/>
  <c r="DX314" i="1"/>
  <c r="DY314" i="1" s="1" a="1"/>
  <c r="DY314" i="1" s="1"/>
  <c r="EI314" i="1" s="1"/>
  <c r="EL314" i="1"/>
  <c r="EW317" i="1"/>
  <c r="CX289" i="1"/>
  <c r="DY289" i="1" a="1"/>
  <c r="DY289" i="1" s="1"/>
  <c r="EI289" i="1" s="1"/>
  <c r="DX214" i="1"/>
  <c r="DY214" i="1" s="1" a="1"/>
  <c r="DY214" i="1" s="1"/>
  <c r="EI214" i="1" s="1"/>
  <c r="EL214" i="1"/>
  <c r="DX80" i="1"/>
  <c r="DY80" i="1" s="1" a="1"/>
  <c r="DY80" i="1" s="1"/>
  <c r="EI80" i="1" s="1"/>
  <c r="EL80" i="1"/>
  <c r="DX143" i="1"/>
  <c r="DY143" i="1" s="1" a="1"/>
  <c r="DY143" i="1" s="1"/>
  <c r="EI143" i="1" s="1"/>
  <c r="EL143" i="1"/>
  <c r="DX326" i="1"/>
  <c r="DY326" i="1" s="1" a="1"/>
  <c r="DY326" i="1" s="1"/>
  <c r="EI326" i="1" s="1"/>
  <c r="EL326" i="1"/>
  <c r="DX79" i="1"/>
  <c r="DY79" i="1" s="1" a="1"/>
  <c r="DY79" i="1" s="1"/>
  <c r="EI79" i="1" s="1"/>
  <c r="EL79" i="1"/>
  <c r="EU79" i="1" s="1"/>
  <c r="EL85" i="1"/>
  <c r="DX85" i="1"/>
  <c r="DY244" i="1" a="1"/>
  <c r="DY244" i="1" s="1"/>
  <c r="EI244" i="1" s="1"/>
  <c r="ES244" i="1" s="1"/>
  <c r="EW244" i="1" s="1"/>
  <c r="CX244" i="1"/>
  <c r="DX168" i="1"/>
  <c r="CX168" i="1" s="1"/>
  <c r="EL168" i="1"/>
  <c r="DX215" i="1"/>
  <c r="CX215" i="1" s="1"/>
  <c r="EL215" i="1"/>
  <c r="CX122" i="1"/>
  <c r="DY122" i="1" a="1"/>
  <c r="DY122" i="1" s="1"/>
  <c r="EI122" i="1" s="1"/>
  <c r="ES122" i="1" s="1"/>
  <c r="DX304" i="1"/>
  <c r="DY304" i="1" s="1" a="1"/>
  <c r="DY304" i="1" s="1"/>
  <c r="EI304" i="1" s="1"/>
  <c r="EL304" i="1"/>
  <c r="DX315" i="1"/>
  <c r="CX315" i="1" s="1"/>
  <c r="EL315" i="1"/>
  <c r="DX155" i="1"/>
  <c r="DY155" i="1" s="1" a="1"/>
  <c r="DY155" i="1" s="1"/>
  <c r="EI155" i="1" s="1"/>
  <c r="EL155" i="1"/>
  <c r="DX29" i="1"/>
  <c r="DY29" i="1" s="1" a="1"/>
  <c r="DY29" i="1" s="1"/>
  <c r="EI29" i="1" s="1"/>
  <c r="EL29" i="1"/>
  <c r="DX45" i="1"/>
  <c r="EL45" i="1"/>
  <c r="DX77" i="1"/>
  <c r="EL77" i="1"/>
  <c r="DX102" i="1"/>
  <c r="DY102" i="1" s="1" a="1"/>
  <c r="DY102" i="1" s="1"/>
  <c r="EI102" i="1" s="1"/>
  <c r="EL102" i="1"/>
  <c r="DX307" i="1"/>
  <c r="CX307" i="1" s="1"/>
  <c r="EL307" i="1"/>
  <c r="DX25" i="1"/>
  <c r="DY25" i="1" s="1" a="1"/>
  <c r="DY25" i="1" s="1"/>
  <c r="EI25" i="1" s="1"/>
  <c r="EL25" i="1"/>
  <c r="DX58" i="1"/>
  <c r="CX58" i="1" s="1"/>
  <c r="EL58" i="1"/>
  <c r="DX52" i="1"/>
  <c r="DY52" i="1" s="1" a="1"/>
  <c r="DY52" i="1" s="1"/>
  <c r="EI52" i="1" s="1"/>
  <c r="EL52" i="1"/>
  <c r="DX98" i="1"/>
  <c r="CX98" i="1" s="1"/>
  <c r="EL98" i="1"/>
  <c r="DX18" i="1"/>
  <c r="EL18" i="1"/>
  <c r="DX129" i="1"/>
  <c r="CX129" i="1" s="1"/>
  <c r="EL129" i="1"/>
  <c r="DX103" i="1"/>
  <c r="DY103" i="1" s="1" a="1"/>
  <c r="DY103" i="1" s="1"/>
  <c r="EI103" i="1" s="1"/>
  <c r="EL103" i="1"/>
  <c r="DX139" i="1"/>
  <c r="DY139" i="1" s="1" a="1"/>
  <c r="DY139" i="1" s="1"/>
  <c r="EI139" i="1" s="1"/>
  <c r="EL139" i="1"/>
  <c r="DX293" i="1"/>
  <c r="CX293" i="1" s="1"/>
  <c r="EL293" i="1"/>
  <c r="DX192" i="1"/>
  <c r="DY192" i="1" s="1" a="1"/>
  <c r="DY192" i="1" s="1"/>
  <c r="EI192" i="1" s="1"/>
  <c r="EL192" i="1"/>
  <c r="EU192" i="1" s="1"/>
  <c r="DX149" i="1"/>
  <c r="DY149" i="1" s="1" a="1"/>
  <c r="DY149" i="1" s="1"/>
  <c r="EI149" i="1" s="1"/>
  <c r="EL149" i="1"/>
  <c r="DX61" i="1"/>
  <c r="DY61" i="1" s="1" a="1"/>
  <c r="DY61" i="1" s="1"/>
  <c r="EI61" i="1" s="1"/>
  <c r="EL61" i="1"/>
  <c r="DX55" i="1"/>
  <c r="CX55" i="1" s="1"/>
  <c r="EL55" i="1"/>
  <c r="DX147" i="1"/>
  <c r="DY147" i="1" s="1" a="1"/>
  <c r="DY147" i="1" s="1"/>
  <c r="EI147" i="1" s="1"/>
  <c r="EL147" i="1"/>
  <c r="DX180" i="1"/>
  <c r="CX180" i="1" s="1"/>
  <c r="EL180" i="1"/>
  <c r="DX242" i="1"/>
  <c r="EL242" i="1"/>
  <c r="EW97" i="1"/>
  <c r="DY88" i="1" a="1"/>
  <c r="DY88" i="1" s="1"/>
  <c r="EI88" i="1" s="1"/>
  <c r="CX88" i="1"/>
  <c r="DX185" i="1"/>
  <c r="DY185" i="1" s="1" a="1"/>
  <c r="DY185" i="1" s="1"/>
  <c r="EI185" i="1" s="1"/>
  <c r="EL185" i="1"/>
  <c r="EU185" i="1" s="1"/>
  <c r="DX100" i="1"/>
  <c r="DY100" i="1" s="1" a="1"/>
  <c r="DY100" i="1" s="1"/>
  <c r="EI100" i="1" s="1"/>
  <c r="EL100" i="1"/>
  <c r="DX95" i="1"/>
  <c r="CX95" i="1" s="1"/>
  <c r="EL95" i="1"/>
  <c r="DX265" i="1"/>
  <c r="DY265" i="1" s="1" a="1"/>
  <c r="DY265" i="1" s="1"/>
  <c r="EI265" i="1" s="1"/>
  <c r="EL265" i="1"/>
  <c r="CX226" i="1"/>
  <c r="DY226" i="1" a="1"/>
  <c r="DY226" i="1" s="1"/>
  <c r="EI226" i="1" s="1"/>
  <c r="DX264" i="1"/>
  <c r="DY264" i="1" s="1" a="1"/>
  <c r="DY264" i="1" s="1"/>
  <c r="EI264" i="1" s="1"/>
  <c r="EL264" i="1"/>
  <c r="DX116" i="1"/>
  <c r="DY116" i="1" s="1" a="1"/>
  <c r="DY116" i="1" s="1"/>
  <c r="EI116" i="1" s="1"/>
  <c r="EL116" i="1"/>
  <c r="DX256" i="1"/>
  <c r="EL256" i="1"/>
  <c r="DX104" i="1"/>
  <c r="DY104" i="1" s="1" a="1"/>
  <c r="DY104" i="1" s="1"/>
  <c r="EI104" i="1" s="1"/>
  <c r="EL104" i="1"/>
  <c r="DX83" i="1"/>
  <c r="EL83" i="1"/>
  <c r="DX165" i="1"/>
  <c r="CX165" i="1" s="1"/>
  <c r="EL165" i="1"/>
  <c r="DX290" i="1"/>
  <c r="CX290" i="1" s="1"/>
  <c r="EL290" i="1"/>
  <c r="DX157" i="1"/>
  <c r="EL157" i="1"/>
  <c r="DX114" i="1"/>
  <c r="CX114" i="1" s="1"/>
  <c r="EL114" i="1"/>
  <c r="DX217" i="1"/>
  <c r="EL217" i="1"/>
  <c r="DY268" i="1" a="1"/>
  <c r="DY268" i="1" s="1"/>
  <c r="EI268" i="1" s="1"/>
  <c r="CX268" i="1"/>
  <c r="ES229" i="1"/>
  <c r="EU229" i="1"/>
  <c r="ES146" i="1"/>
  <c r="EU146" i="1"/>
  <c r="ES40" i="1"/>
  <c r="EU40" i="1"/>
  <c r="ES312" i="1"/>
  <c r="EU312" i="1"/>
  <c r="ES46" i="1"/>
  <c r="EU46" i="1"/>
  <c r="ES273" i="1"/>
  <c r="EU273" i="1"/>
  <c r="ES90" i="1"/>
  <c r="EU90" i="1"/>
  <c r="ES96" i="1"/>
  <c r="EU96" i="1"/>
  <c r="ES160" i="1"/>
  <c r="EU160" i="1"/>
  <c r="ES36" i="1"/>
  <c r="EU36" i="1"/>
  <c r="ES257" i="1"/>
  <c r="EU257" i="1"/>
  <c r="ES174" i="1"/>
  <c r="EU174" i="1"/>
  <c r="ES162" i="1"/>
  <c r="EU162" i="1"/>
  <c r="ES298" i="1"/>
  <c r="EU298" i="1"/>
  <c r="ES250" i="1"/>
  <c r="EU250" i="1"/>
  <c r="ES230" i="1"/>
  <c r="EU230" i="1"/>
  <c r="ES323" i="1"/>
  <c r="EU323" i="1"/>
  <c r="ES212" i="1"/>
  <c r="EU212" i="1"/>
  <c r="ES311" i="1"/>
  <c r="EU311" i="1"/>
  <c r="ES249" i="1"/>
  <c r="EU249" i="1"/>
  <c r="ES216" i="1"/>
  <c r="EU216" i="1"/>
  <c r="ES108" i="1"/>
  <c r="EU108" i="1"/>
  <c r="ES171" i="1"/>
  <c r="ES126" i="1"/>
  <c r="EU126" i="1"/>
  <c r="ES32" i="1"/>
  <c r="EU32" i="1"/>
  <c r="ES164" i="1"/>
  <c r="EU164" i="1"/>
  <c r="ES227" i="1"/>
  <c r="EU227" i="1"/>
  <c r="ES66" i="1"/>
  <c r="EU66" i="1"/>
  <c r="ES73" i="1"/>
  <c r="EU73" i="1"/>
  <c r="ES282" i="1"/>
  <c r="EU282" i="1"/>
  <c r="ES57" i="1"/>
  <c r="EU57" i="1"/>
  <c r="ES313" i="1"/>
  <c r="EU313" i="1"/>
  <c r="ES297" i="1"/>
  <c r="EU297" i="1"/>
  <c r="ES42" i="1"/>
  <c r="EU42" i="1"/>
  <c r="ES260" i="1"/>
  <c r="EU260" i="1"/>
  <c r="ES341" i="1"/>
  <c r="EU341" i="1"/>
  <c r="ES211" i="1"/>
  <c r="EU211" i="1"/>
  <c r="ES70" i="1"/>
  <c r="EU70" i="1"/>
  <c r="ES82" i="1"/>
  <c r="EU82" i="1"/>
  <c r="ES324" i="1"/>
  <c r="EU324" i="1"/>
  <c r="ES49" i="1"/>
  <c r="EU49" i="1"/>
  <c r="ES254" i="1"/>
  <c r="EU254" i="1"/>
  <c r="ES27" i="1"/>
  <c r="EU27" i="1"/>
  <c r="ES275" i="1"/>
  <c r="EU275" i="1"/>
  <c r="ES305" i="1"/>
  <c r="EU305" i="1"/>
  <c r="ES118" i="1"/>
  <c r="EU118" i="1"/>
  <c r="ES75" i="1"/>
  <c r="EU75" i="1"/>
  <c r="ES296" i="1"/>
  <c r="EU296" i="1"/>
  <c r="ES72" i="1"/>
  <c r="EU72" i="1"/>
  <c r="ES281" i="1"/>
  <c r="EU281" i="1"/>
  <c r="ES340" i="1"/>
  <c r="EU340" i="1"/>
  <c r="ES161" i="1"/>
  <c r="EU161" i="1"/>
  <c r="ES64" i="1"/>
  <c r="EU64" i="1"/>
  <c r="ES270" i="1"/>
  <c r="EU270" i="1"/>
  <c r="ES228" i="1"/>
  <c r="EU228" i="1"/>
  <c r="ES71" i="1"/>
  <c r="EU71" i="1"/>
  <c r="ES158" i="1"/>
  <c r="EU158" i="1"/>
  <c r="ES316" i="1"/>
  <c r="EU316" i="1"/>
  <c r="ES163" i="1"/>
  <c r="EU163" i="1"/>
  <c r="ES276" i="1"/>
  <c r="EU276" i="1"/>
  <c r="ES246" i="1"/>
  <c r="EU246" i="1"/>
  <c r="ES306" i="1"/>
  <c r="EU306" i="1"/>
  <c r="ES209" i="1"/>
  <c r="EU209" i="1"/>
  <c r="ES140" i="1"/>
  <c r="EU140" i="1"/>
  <c r="ES300" i="1"/>
  <c r="EU300" i="1"/>
  <c r="ES285" i="1"/>
  <c r="EU285" i="1"/>
  <c r="ES342" i="1"/>
  <c r="EU342" i="1"/>
  <c r="DX188" i="1"/>
  <c r="CX188" i="1" s="1"/>
  <c r="DY210" i="1" a="1"/>
  <c r="DY210" i="1" s="1"/>
  <c r="EI210" i="1" s="1"/>
  <c r="CX29" i="1"/>
  <c r="CX45" i="1"/>
  <c r="DY45" i="1" a="1"/>
  <c r="DY45" i="1" s="1"/>
  <c r="EI45" i="1" s="1"/>
  <c r="CX265" i="1"/>
  <c r="DY53" i="1" a="1"/>
  <c r="DY53" i="1" s="1"/>
  <c r="EI53" i="1" s="1"/>
  <c r="CX53" i="1"/>
  <c r="DX328" i="1"/>
  <c r="CX134" i="1"/>
  <c r="DY134" i="1" a="1"/>
  <c r="DY134" i="1" s="1"/>
  <c r="EI134" i="1" s="1"/>
  <c r="DY277" i="1" a="1"/>
  <c r="DY277" i="1" s="1"/>
  <c r="EI277" i="1" s="1"/>
  <c r="CX277" i="1"/>
  <c r="CX100" i="1"/>
  <c r="DX206" i="1"/>
  <c r="DX125" i="1"/>
  <c r="DX194" i="1"/>
  <c r="DX110" i="1"/>
  <c r="DY127" i="1" a="1"/>
  <c r="DY127" i="1" s="1"/>
  <c r="EI127" i="1" s="1"/>
  <c r="DX94" i="1"/>
  <c r="DX130" i="1"/>
  <c r="DX205" i="1"/>
  <c r="CX120" i="1"/>
  <c r="DY120" i="1" a="1"/>
  <c r="DY120" i="1" s="1"/>
  <c r="EI120" i="1" s="1"/>
  <c r="DY255" i="1" a="1"/>
  <c r="DY255" i="1" s="1"/>
  <c r="EI255" i="1" s="1"/>
  <c r="CX255" i="1"/>
  <c r="DX234" i="1"/>
  <c r="DX335" i="1"/>
  <c r="CX84" i="1"/>
  <c r="DY84" i="1" a="1"/>
  <c r="DY84" i="1" s="1"/>
  <c r="EI84" i="1" s="1"/>
  <c r="DX159" i="1"/>
  <c r="DY263" i="1" a="1"/>
  <c r="DY263" i="1" s="1"/>
  <c r="EI263" i="1" s="1"/>
  <c r="CX263" i="1"/>
  <c r="DX135" i="1"/>
  <c r="DY22" i="1" a="1"/>
  <c r="DY22" i="1" s="1"/>
  <c r="EI22" i="1" s="1"/>
  <c r="CX22" i="1"/>
  <c r="DX26" i="1"/>
  <c r="CX295" i="1"/>
  <c r="DY295" i="1" a="1"/>
  <c r="DY295" i="1" s="1"/>
  <c r="EI295" i="1" s="1"/>
  <c r="DX181" i="1"/>
  <c r="CX283" i="1"/>
  <c r="DY332" i="1" a="1"/>
  <c r="DY332" i="1" s="1"/>
  <c r="EI332" i="1" s="1"/>
  <c r="CX332" i="1"/>
  <c r="DY196" i="1" a="1"/>
  <c r="DY196" i="1" s="1"/>
  <c r="EI196" i="1" s="1"/>
  <c r="ES196" i="1" s="1"/>
  <c r="EW196" i="1" s="1"/>
  <c r="CX196" i="1"/>
  <c r="DY320" i="1" a="1"/>
  <c r="DY320" i="1" s="1"/>
  <c r="EI320" i="1" s="1"/>
  <c r="CX320" i="1"/>
  <c r="DY245" i="1" a="1"/>
  <c r="DY245" i="1" s="1"/>
  <c r="EI245" i="1" s="1"/>
  <c r="CX245" i="1"/>
  <c r="CX232" i="1"/>
  <c r="DY232" i="1" a="1"/>
  <c r="DY232" i="1" s="1"/>
  <c r="EI232" i="1" s="1"/>
  <c r="DY172" i="1" a="1"/>
  <c r="DY172" i="1" s="1"/>
  <c r="EI172" i="1" s="1"/>
  <c r="CX172" i="1"/>
  <c r="CX264" i="1"/>
  <c r="DX236" i="1"/>
  <c r="DY48" i="1" a="1"/>
  <c r="DY48" i="1" s="1"/>
  <c r="EI48" i="1" s="1"/>
  <c r="CX48" i="1"/>
  <c r="DY290" i="1" a="1"/>
  <c r="DY290" i="1" s="1"/>
  <c r="EI290" i="1" s="1"/>
  <c r="DY28" i="1" a="1"/>
  <c r="DY28" i="1" s="1"/>
  <c r="EI28" i="1" s="1"/>
  <c r="CX28" i="1"/>
  <c r="DX99" i="1"/>
  <c r="DX112" i="1"/>
  <c r="DX91" i="1"/>
  <c r="DX138" i="1"/>
  <c r="DY325" i="1" a="1"/>
  <c r="DY325" i="1" s="1"/>
  <c r="EI325" i="1" s="1"/>
  <c r="CX325" i="1"/>
  <c r="DY92" i="1" a="1"/>
  <c r="DY92" i="1" s="1"/>
  <c r="EI92" i="1" s="1"/>
  <c r="CX92" i="1"/>
  <c r="DY67" i="1" a="1"/>
  <c r="DY67" i="1" s="1"/>
  <c r="EI67" i="1" s="1"/>
  <c r="CX67" i="1"/>
  <c r="DX279" i="1"/>
  <c r="DX204" i="1"/>
  <c r="DX333" i="1"/>
  <c r="DX50" i="1"/>
  <c r="DX202" i="1"/>
  <c r="DX117" i="1"/>
  <c r="DY121" i="1" a="1"/>
  <c r="DY121" i="1" s="1"/>
  <c r="EI121" i="1" s="1"/>
  <c r="CX121" i="1"/>
  <c r="DY133" i="1" a="1"/>
  <c r="DY133" i="1" s="1"/>
  <c r="EI133" i="1" s="1"/>
  <c r="CX133" i="1"/>
  <c r="DY215" i="1" a="1"/>
  <c r="DY215" i="1" s="1"/>
  <c r="EI215" i="1" s="1"/>
  <c r="DY114" i="1" a="1"/>
  <c r="DY114" i="1" s="1"/>
  <c r="EI114" i="1" s="1"/>
  <c r="CX144" i="1"/>
  <c r="DY144" i="1" a="1"/>
  <c r="DY144" i="1" s="1"/>
  <c r="EI144" i="1" s="1"/>
  <c r="DY286" i="1" a="1"/>
  <c r="DY286" i="1" s="1"/>
  <c r="EI286" i="1" s="1"/>
  <c r="CX286" i="1"/>
  <c r="DY58" i="1" a="1"/>
  <c r="DY58" i="1" s="1"/>
  <c r="EI58" i="1" s="1"/>
  <c r="DY38" i="1" a="1"/>
  <c r="DY38" i="1" s="1"/>
  <c r="EI38" i="1" s="1"/>
  <c r="CX38" i="1"/>
  <c r="CX214" i="1"/>
  <c r="CX302" i="1"/>
  <c r="DY302" i="1" a="1"/>
  <c r="DY302" i="1" s="1"/>
  <c r="EI302" i="1" s="1"/>
  <c r="DX266" i="1"/>
  <c r="DX20" i="1"/>
  <c r="DX124" i="1"/>
  <c r="DX137" i="1"/>
  <c r="CX177" i="1"/>
  <c r="DY177" i="1" a="1"/>
  <c r="DY177" i="1" s="1"/>
  <c r="EI177" i="1" s="1"/>
  <c r="DY169" i="1" a="1"/>
  <c r="DY169" i="1" s="1"/>
  <c r="EI169" i="1" s="1"/>
  <c r="CX169" i="1"/>
  <c r="DX336" i="1"/>
  <c r="CX152" i="1"/>
  <c r="DY152" i="1" a="1"/>
  <c r="DY152" i="1" s="1"/>
  <c r="EI152" i="1" s="1"/>
  <c r="DX16" i="1"/>
  <c r="DY240" i="1" a="1"/>
  <c r="DY240" i="1" s="1"/>
  <c r="EI240" i="1" s="1"/>
  <c r="CX240" i="1"/>
  <c r="CX119" i="1"/>
  <c r="DY119" i="1" a="1"/>
  <c r="DY119" i="1" s="1"/>
  <c r="EI119" i="1" s="1"/>
  <c r="DX87" i="1"/>
  <c r="CX329" i="1"/>
  <c r="DY329" i="1" a="1"/>
  <c r="DY329" i="1" s="1"/>
  <c r="EI329" i="1" s="1"/>
  <c r="DX201" i="1"/>
  <c r="CX287" i="1"/>
  <c r="DY287" i="1" a="1"/>
  <c r="DY287" i="1" s="1"/>
  <c r="EI287" i="1" s="1"/>
  <c r="CX148" i="1"/>
  <c r="DY148" i="1" a="1"/>
  <c r="DY148" i="1" s="1"/>
  <c r="EI148" i="1" s="1"/>
  <c r="DY294" i="1" a="1"/>
  <c r="DY294" i="1" s="1"/>
  <c r="EI294" i="1" s="1"/>
  <c r="CX294" i="1"/>
  <c r="DY98" i="1" a="1"/>
  <c r="DY98" i="1" s="1"/>
  <c r="EI98" i="1" s="1"/>
  <c r="DX14" i="1"/>
  <c r="CX167" i="1"/>
  <c r="DY167" i="1" a="1"/>
  <c r="DY167" i="1" s="1"/>
  <c r="EI167" i="1" s="1"/>
  <c r="DX136" i="1"/>
  <c r="CX116" i="1"/>
  <c r="DY18" i="1" a="1"/>
  <c r="DY18" i="1" s="1"/>
  <c r="EI18" i="1" s="1"/>
  <c r="CX18" i="1"/>
  <c r="DX258" i="1"/>
  <c r="DX271" i="1"/>
  <c r="DX319" i="1"/>
  <c r="DY51" i="1" a="1"/>
  <c r="DY51" i="1" s="1"/>
  <c r="EI51" i="1" s="1"/>
  <c r="CX51" i="1"/>
  <c r="DX153" i="1"/>
  <c r="DX303" i="1"/>
  <c r="DY274" i="1" a="1"/>
  <c r="DY274" i="1" s="1"/>
  <c r="EI274" i="1" s="1"/>
  <c r="CX274" i="1"/>
  <c r="DX33" i="1"/>
  <c r="DY237" i="1" a="1"/>
  <c r="DY237" i="1" s="1"/>
  <c r="EI237" i="1" s="1"/>
  <c r="CX237" i="1"/>
  <c r="DY23" i="1" a="1"/>
  <c r="DY23" i="1" s="1"/>
  <c r="EI23" i="1" s="1"/>
  <c r="ES23" i="1" s="1"/>
  <c r="EW23" i="1" s="1"/>
  <c r="CX23" i="1"/>
  <c r="DY157" i="1" a="1"/>
  <c r="DY157" i="1" s="1"/>
  <c r="EI157" i="1" s="1"/>
  <c r="CX157" i="1"/>
  <c r="DY145" i="1" a="1"/>
  <c r="DY145" i="1" s="1"/>
  <c r="EI145" i="1" s="1"/>
  <c r="CX145" i="1"/>
  <c r="DY195" i="1" a="1"/>
  <c r="DY195" i="1" s="1"/>
  <c r="EI195" i="1" s="1"/>
  <c r="ES195" i="1" s="1"/>
  <c r="EW195" i="1" s="1"/>
  <c r="CX195" i="1"/>
  <c r="DX76" i="1"/>
  <c r="DX198" i="1"/>
  <c r="DX321" i="1"/>
  <c r="DY310" i="1" a="1"/>
  <c r="DY310" i="1" s="1"/>
  <c r="EI310" i="1" s="1"/>
  <c r="CX310" i="1"/>
  <c r="DX176" i="1"/>
  <c r="DX93" i="1"/>
  <c r="DX288" i="1"/>
  <c r="DX107" i="1"/>
  <c r="DY78" i="1" a="1"/>
  <c r="DY78" i="1" s="1"/>
  <c r="EI78" i="1" s="1"/>
  <c r="CX78" i="1"/>
  <c r="DY256" i="1" a="1"/>
  <c r="DY256" i="1" s="1"/>
  <c r="EI256" i="1" s="1"/>
  <c r="CX256" i="1"/>
  <c r="DY180" i="1" a="1"/>
  <c r="DY180" i="1" s="1"/>
  <c r="EI180" i="1" s="1"/>
  <c r="CX115" i="1"/>
  <c r="DY115" i="1" a="1"/>
  <c r="DY115" i="1" s="1"/>
  <c r="EI115" i="1" s="1"/>
  <c r="DY55" i="1" a="1"/>
  <c r="DY55" i="1" s="1"/>
  <c r="EI55" i="1" s="1"/>
  <c r="DY299" i="1" a="1"/>
  <c r="DY299" i="1" s="1"/>
  <c r="EI299" i="1" s="1"/>
  <c r="CX299" i="1"/>
  <c r="DX238" i="1"/>
  <c r="CX219" i="1"/>
  <c r="DY219" i="1" a="1"/>
  <c r="DY219" i="1" s="1"/>
  <c r="EI219" i="1" s="1"/>
  <c r="CX278" i="1"/>
  <c r="DY278" i="1" a="1"/>
  <c r="DY278" i="1" s="1"/>
  <c r="EI278" i="1" s="1"/>
  <c r="DX259" i="1"/>
  <c r="DY337" i="1" a="1"/>
  <c r="DY337" i="1" s="1"/>
  <c r="EI337" i="1" s="1"/>
  <c r="CX337" i="1"/>
  <c r="DX239" i="1"/>
  <c r="DY222" i="1" a="1"/>
  <c r="DY222" i="1" s="1"/>
  <c r="EI222" i="1" s="1"/>
  <c r="CX222" i="1"/>
  <c r="DY223" i="1" a="1"/>
  <c r="DY223" i="1" s="1"/>
  <c r="EI223" i="1" s="1"/>
  <c r="CX223" i="1"/>
  <c r="DX269" i="1"/>
  <c r="CX155" i="1" l="1"/>
  <c r="CX61" i="1"/>
  <c r="CX103" i="1"/>
  <c r="CX52" i="1"/>
  <c r="CX80" i="1"/>
  <c r="DY267" i="1" a="1"/>
  <c r="DY267" i="1" s="1"/>
  <c r="EI267" i="1" s="1"/>
  <c r="CX31" i="1"/>
  <c r="CX149" i="1"/>
  <c r="ES284" i="1"/>
  <c r="EW284" i="1" s="1"/>
  <c r="DY315" i="1" a="1"/>
  <c r="DY315" i="1" s="1"/>
  <c r="EI315" i="1" s="1"/>
  <c r="EU315" i="1" s="1"/>
  <c r="EU86" i="1"/>
  <c r="EW86" i="1" s="1"/>
  <c r="DY231" i="1" a="1"/>
  <c r="DY231" i="1" s="1"/>
  <c r="EI231" i="1" s="1"/>
  <c r="EU231" i="1" s="1"/>
  <c r="CX192" i="1"/>
  <c r="DY15" i="1" a="1"/>
  <c r="DY15" i="1" s="1"/>
  <c r="EI15" i="1" s="1"/>
  <c r="ES15" i="1" s="1"/>
  <c r="CX141" i="1"/>
  <c r="CX314" i="1"/>
  <c r="DY95" i="1" a="1"/>
  <c r="DY95" i="1" s="1"/>
  <c r="EI95" i="1" s="1"/>
  <c r="DY235" i="1" a="1"/>
  <c r="DY235" i="1" s="1"/>
  <c r="EI235" i="1" s="1"/>
  <c r="CX235" i="1"/>
  <c r="CX147" i="1"/>
  <c r="DY129" i="1" a="1"/>
  <c r="DY129" i="1" s="1"/>
  <c r="EI129" i="1" s="1"/>
  <c r="ES129" i="1" s="1"/>
  <c r="DY168" i="1" a="1"/>
  <c r="DY168" i="1" s="1"/>
  <c r="EI168" i="1" s="1"/>
  <c r="ES168" i="1" s="1"/>
  <c r="DY200" i="1" a="1"/>
  <c r="DY200" i="1" s="1"/>
  <c r="EI200" i="1" s="1"/>
  <c r="ES200" i="1" s="1"/>
  <c r="EW200" i="1" s="1"/>
  <c r="CX139" i="1"/>
  <c r="CX143" i="1"/>
  <c r="CX25" i="1"/>
  <c r="DY293" i="1" a="1"/>
  <c r="DY293" i="1" s="1"/>
  <c r="EI293" i="1" s="1"/>
  <c r="ES293" i="1" s="1"/>
  <c r="ES142" i="1"/>
  <c r="CX304" i="1"/>
  <c r="CX102" i="1"/>
  <c r="EW311" i="1"/>
  <c r="EW174" i="1"/>
  <c r="DY307" i="1" a="1"/>
  <c r="DY307" i="1" s="1"/>
  <c r="EI307" i="1" s="1"/>
  <c r="EU307" i="1" s="1"/>
  <c r="DY165" i="1" a="1"/>
  <c r="DY165" i="1" s="1"/>
  <c r="EI165" i="1" s="1"/>
  <c r="ES165" i="1" s="1"/>
  <c r="EW297" i="1"/>
  <c r="ES185" i="1"/>
  <c r="EW185" i="1" s="1"/>
  <c r="CX185" i="1"/>
  <c r="DY184" i="1" a="1"/>
  <c r="DY184" i="1" s="1"/>
  <c r="EI184" i="1" s="1"/>
  <c r="ES184" i="1" s="1"/>
  <c r="EW184" i="1" s="1"/>
  <c r="EW66" i="1"/>
  <c r="CX104" i="1"/>
  <c r="ES192" i="1"/>
  <c r="EW192" i="1" s="1"/>
  <c r="CX326" i="1"/>
  <c r="ES79" i="1"/>
  <c r="EW79" i="1" s="1"/>
  <c r="EW164" i="1"/>
  <c r="EU142" i="1"/>
  <c r="EW254" i="1"/>
  <c r="CX79" i="1"/>
  <c r="EW227" i="1"/>
  <c r="EW324" i="1"/>
  <c r="EW312" i="1"/>
  <c r="EW82" i="1"/>
  <c r="EW211" i="1"/>
  <c r="DY188" i="1" a="1"/>
  <c r="DY188" i="1" s="1"/>
  <c r="EI188" i="1" s="1"/>
  <c r="ES188" i="1" s="1"/>
  <c r="EW188" i="1" s="1"/>
  <c r="EW70" i="1"/>
  <c r="EW313" i="1"/>
  <c r="EW341" i="1"/>
  <c r="EW249" i="1"/>
  <c r="DY74" i="1" a="1"/>
  <c r="DY74" i="1" s="1"/>
  <c r="EI74" i="1" s="1"/>
  <c r="ES74" i="1" s="1"/>
  <c r="CX74" i="1"/>
  <c r="CX272" i="1"/>
  <c r="DY272" i="1" a="1"/>
  <c r="DY272" i="1" s="1"/>
  <c r="EI272" i="1" s="1"/>
  <c r="EW228" i="1"/>
  <c r="EW306" i="1"/>
  <c r="EW126" i="1"/>
  <c r="EW246" i="1"/>
  <c r="EW276" i="1"/>
  <c r="EW163" i="1"/>
  <c r="EW158" i="1"/>
  <c r="EW273" i="1"/>
  <c r="EW316" i="1"/>
  <c r="EW260" i="1"/>
  <c r="EW57" i="1"/>
  <c r="EW171" i="1"/>
  <c r="EW323" i="1"/>
  <c r="EW36" i="1"/>
  <c r="EW40" i="1"/>
  <c r="CX221" i="1"/>
  <c r="DY221" i="1" a="1"/>
  <c r="DY221" i="1" s="1"/>
  <c r="EI221" i="1" s="1"/>
  <c r="ES221" i="1" s="1"/>
  <c r="EW282" i="1"/>
  <c r="EW108" i="1"/>
  <c r="EW230" i="1"/>
  <c r="EW160" i="1"/>
  <c r="CX85" i="1"/>
  <c r="DY85" i="1" a="1"/>
  <c r="DY85" i="1" s="1"/>
  <c r="EI85" i="1" s="1"/>
  <c r="ES166" i="1"/>
  <c r="EU166" i="1"/>
  <c r="EW71" i="1"/>
  <c r="EW49" i="1"/>
  <c r="EW42" i="1"/>
  <c r="EW73" i="1"/>
  <c r="EW216" i="1"/>
  <c r="EW250" i="1"/>
  <c r="EW146" i="1"/>
  <c r="DY83" i="1" a="1"/>
  <c r="DY83" i="1" s="1"/>
  <c r="EI83" i="1" s="1"/>
  <c r="CX83" i="1"/>
  <c r="EW298" i="1"/>
  <c r="EW96" i="1"/>
  <c r="EW229" i="1"/>
  <c r="EW162" i="1"/>
  <c r="EW90" i="1"/>
  <c r="ES268" i="1"/>
  <c r="EU268" i="1"/>
  <c r="ES88" i="1"/>
  <c r="EU88" i="1"/>
  <c r="ES292" i="1"/>
  <c r="EU292" i="1"/>
  <c r="CX89" i="1"/>
  <c r="DY89" i="1" a="1"/>
  <c r="DY89" i="1" s="1"/>
  <c r="EI89" i="1" s="1"/>
  <c r="CX217" i="1"/>
  <c r="DY217" i="1" a="1"/>
  <c r="DY217" i="1" s="1"/>
  <c r="EI217" i="1" s="1"/>
  <c r="DY242" i="1" a="1"/>
  <c r="DY242" i="1" s="1"/>
  <c r="EI242" i="1" s="1"/>
  <c r="CX242" i="1"/>
  <c r="EW32" i="1"/>
  <c r="EW212" i="1"/>
  <c r="EW257" i="1"/>
  <c r="EW46" i="1"/>
  <c r="ES226" i="1"/>
  <c r="EU226" i="1"/>
  <c r="EU122" i="1"/>
  <c r="EW122" i="1" s="1"/>
  <c r="ES289" i="1"/>
  <c r="EU289" i="1"/>
  <c r="DY150" i="1" a="1"/>
  <c r="DY150" i="1" s="1"/>
  <c r="EI150" i="1" s="1"/>
  <c r="CX150" i="1"/>
  <c r="EU60" i="1"/>
  <c r="EW60" i="1" s="1"/>
  <c r="CX77" i="1"/>
  <c r="DY77" i="1" a="1"/>
  <c r="DY77" i="1" s="1"/>
  <c r="EI77" i="1" s="1"/>
  <c r="ES77" i="1" s="1"/>
  <c r="EU213" i="1"/>
  <c r="EW213" i="1" s="1"/>
  <c r="ES256" i="1"/>
  <c r="EU256" i="1"/>
  <c r="ES302" i="1"/>
  <c r="EU302" i="1"/>
  <c r="ES222" i="1"/>
  <c r="EU222" i="1"/>
  <c r="ES240" i="1"/>
  <c r="EU240" i="1"/>
  <c r="ES48" i="1"/>
  <c r="EU48" i="1"/>
  <c r="ES104" i="1"/>
  <c r="EU104" i="1"/>
  <c r="EW75" i="1"/>
  <c r="ES214" i="1"/>
  <c r="EU214" i="1"/>
  <c r="ES315" i="1"/>
  <c r="ES295" i="1"/>
  <c r="EU295" i="1"/>
  <c r="ES53" i="1"/>
  <c r="EU53" i="1"/>
  <c r="ES294" i="1"/>
  <c r="EU294" i="1"/>
  <c r="ES215" i="1"/>
  <c r="EU215" i="1"/>
  <c r="ES67" i="1"/>
  <c r="EU67" i="1"/>
  <c r="ES232" i="1"/>
  <c r="EU232" i="1"/>
  <c r="EW342" i="1"/>
  <c r="EW270" i="1"/>
  <c r="EW118" i="1"/>
  <c r="ES299" i="1"/>
  <c r="EU299" i="1"/>
  <c r="ES265" i="1"/>
  <c r="EU265" i="1"/>
  <c r="ES147" i="1"/>
  <c r="EU147" i="1"/>
  <c r="ES255" i="1"/>
  <c r="EU255" i="1"/>
  <c r="ES55" i="1"/>
  <c r="EU55" i="1"/>
  <c r="ES145" i="1"/>
  <c r="EU145" i="1"/>
  <c r="ES102" i="1"/>
  <c r="EU102" i="1"/>
  <c r="ES152" i="1"/>
  <c r="EU152" i="1"/>
  <c r="ES38" i="1"/>
  <c r="EU38" i="1"/>
  <c r="ES133" i="1"/>
  <c r="EU133" i="1"/>
  <c r="ES92" i="1"/>
  <c r="EU92" i="1"/>
  <c r="ES25" i="1"/>
  <c r="EU25" i="1"/>
  <c r="ES143" i="1"/>
  <c r="EU143" i="1"/>
  <c r="ES45" i="1"/>
  <c r="EU45" i="1"/>
  <c r="EW64" i="1"/>
  <c r="EW305" i="1"/>
  <c r="ES337" i="1"/>
  <c r="EU337" i="1"/>
  <c r="ES245" i="1"/>
  <c r="EU245" i="1"/>
  <c r="ES148" i="1"/>
  <c r="EU148" i="1"/>
  <c r="ES115" i="1"/>
  <c r="EU115" i="1"/>
  <c r="ES157" i="1"/>
  <c r="EU157" i="1"/>
  <c r="ES18" i="1"/>
  <c r="EU18" i="1"/>
  <c r="ES58" i="1"/>
  <c r="EU58" i="1"/>
  <c r="ES325" i="1"/>
  <c r="EU325" i="1"/>
  <c r="ES264" i="1"/>
  <c r="EU264" i="1"/>
  <c r="ES80" i="1"/>
  <c r="EU80" i="1"/>
  <c r="ES120" i="1"/>
  <c r="EU120" i="1"/>
  <c r="ES100" i="1"/>
  <c r="EU100" i="1"/>
  <c r="EW285" i="1"/>
  <c r="EW161" i="1"/>
  <c r="EW275" i="1"/>
  <c r="ES155" i="1"/>
  <c r="EU155" i="1"/>
  <c r="ES320" i="1"/>
  <c r="EU320" i="1"/>
  <c r="ES29" i="1"/>
  <c r="EU29" i="1"/>
  <c r="ES78" i="1"/>
  <c r="EU78" i="1"/>
  <c r="ES116" i="1"/>
  <c r="EU116" i="1"/>
  <c r="ES169" i="1"/>
  <c r="EU169" i="1"/>
  <c r="ES121" i="1"/>
  <c r="EU121" i="1"/>
  <c r="ES95" i="1"/>
  <c r="EU95" i="1"/>
  <c r="ES277" i="1"/>
  <c r="EU277" i="1"/>
  <c r="EW300" i="1"/>
  <c r="EW340" i="1"/>
  <c r="EW27" i="1"/>
  <c r="ES51" i="1"/>
  <c r="EU51" i="1"/>
  <c r="ES22" i="1"/>
  <c r="EU22" i="1"/>
  <c r="ES310" i="1"/>
  <c r="EU310" i="1"/>
  <c r="ES149" i="1"/>
  <c r="EU149" i="1"/>
  <c r="ES237" i="1"/>
  <c r="EU237" i="1"/>
  <c r="ES167" i="1"/>
  <c r="EU167" i="1"/>
  <c r="ES329" i="1"/>
  <c r="EU329" i="1"/>
  <c r="ES286" i="1"/>
  <c r="EU286" i="1"/>
  <c r="EW140" i="1"/>
  <c r="EW281" i="1"/>
  <c r="ES278" i="1"/>
  <c r="EU278" i="1"/>
  <c r="ES144" i="1"/>
  <c r="EU144" i="1"/>
  <c r="ES172" i="1"/>
  <c r="EU172" i="1"/>
  <c r="ES332" i="1"/>
  <c r="EU332" i="1"/>
  <c r="ES127" i="1"/>
  <c r="EU127" i="1"/>
  <c r="ES134" i="1"/>
  <c r="EU134" i="1"/>
  <c r="ES326" i="1"/>
  <c r="EU326" i="1"/>
  <c r="ES61" i="1"/>
  <c r="EU61" i="1"/>
  <c r="ES31" i="1"/>
  <c r="EU31" i="1"/>
  <c r="ES28" i="1"/>
  <c r="EU28" i="1"/>
  <c r="ES52" i="1"/>
  <c r="EU52" i="1"/>
  <c r="ES263" i="1"/>
  <c r="EU263" i="1"/>
  <c r="ES210" i="1"/>
  <c r="EU210" i="1"/>
  <c r="EW209" i="1"/>
  <c r="EW72" i="1"/>
  <c r="ES287" i="1"/>
  <c r="EU287" i="1"/>
  <c r="ES177" i="1"/>
  <c r="EU177" i="1"/>
  <c r="ES103" i="1"/>
  <c r="EU103" i="1"/>
  <c r="ES290" i="1"/>
  <c r="EU290" i="1"/>
  <c r="ES314" i="1"/>
  <c r="EU314" i="1"/>
  <c r="ES180" i="1"/>
  <c r="EU180" i="1"/>
  <c r="ES274" i="1"/>
  <c r="EU274" i="1"/>
  <c r="ES119" i="1"/>
  <c r="EU119" i="1"/>
  <c r="ES223" i="1"/>
  <c r="EU223" i="1"/>
  <c r="ES139" i="1"/>
  <c r="EU139" i="1"/>
  <c r="ES98" i="1"/>
  <c r="EU98" i="1"/>
  <c r="ES283" i="1"/>
  <c r="EU283" i="1"/>
  <c r="ES84" i="1"/>
  <c r="EU84" i="1"/>
  <c r="EW296" i="1"/>
  <c r="ES219" i="1"/>
  <c r="EU219" i="1"/>
  <c r="ES267" i="1"/>
  <c r="EU267" i="1"/>
  <c r="ES114" i="1"/>
  <c r="EU114" i="1"/>
  <c r="ES141" i="1"/>
  <c r="EU141" i="1"/>
  <c r="ES304" i="1"/>
  <c r="EU304" i="1"/>
  <c r="DY124" i="1" a="1"/>
  <c r="DY124" i="1" s="1"/>
  <c r="EI124" i="1" s="1"/>
  <c r="CX124" i="1"/>
  <c r="DY153" i="1" a="1"/>
  <c r="DY153" i="1" s="1"/>
  <c r="EI153" i="1" s="1"/>
  <c r="CX153" i="1"/>
  <c r="DY76" i="1" a="1"/>
  <c r="DY76" i="1" s="1"/>
  <c r="EI76" i="1" s="1"/>
  <c r="CX76" i="1"/>
  <c r="CX279" i="1"/>
  <c r="DY279" i="1" a="1"/>
  <c r="DY279" i="1" s="1"/>
  <c r="EI279" i="1" s="1"/>
  <c r="CX181" i="1"/>
  <c r="DY181" i="1" a="1"/>
  <c r="DY181" i="1" s="1"/>
  <c r="EI181" i="1" s="1"/>
  <c r="DY335" i="1" a="1"/>
  <c r="DY335" i="1" s="1"/>
  <c r="EI335" i="1" s="1"/>
  <c r="CX335" i="1"/>
  <c r="DY234" i="1" a="1"/>
  <c r="DY234" i="1" s="1"/>
  <c r="EI234" i="1" s="1"/>
  <c r="CX234" i="1"/>
  <c r="CX107" i="1"/>
  <c r="DY107" i="1" a="1"/>
  <c r="DY107" i="1" s="1"/>
  <c r="EI107" i="1" s="1"/>
  <c r="CX319" i="1"/>
  <c r="DY319" i="1" a="1"/>
  <c r="DY319" i="1" s="1"/>
  <c r="EI319" i="1" s="1"/>
  <c r="CX206" i="1"/>
  <c r="DY206" i="1" a="1"/>
  <c r="DY206" i="1" s="1"/>
  <c r="EI206" i="1" s="1"/>
  <c r="ES206" i="1" s="1"/>
  <c r="EW206" i="1" s="1"/>
  <c r="DY288" i="1" a="1"/>
  <c r="DY288" i="1" s="1"/>
  <c r="EI288" i="1" s="1"/>
  <c r="CX288" i="1"/>
  <c r="CX271" i="1"/>
  <c r="DY271" i="1" a="1"/>
  <c r="DY271" i="1" s="1"/>
  <c r="EI271" i="1" s="1"/>
  <c r="DY26" i="1" a="1"/>
  <c r="DY26" i="1" s="1"/>
  <c r="EI26" i="1" s="1"/>
  <c r="CX26" i="1"/>
  <c r="DY239" i="1" a="1"/>
  <c r="DY239" i="1" s="1"/>
  <c r="EI239" i="1" s="1"/>
  <c r="CX239" i="1"/>
  <c r="DY238" i="1" a="1"/>
  <c r="DY238" i="1" s="1"/>
  <c r="EI238" i="1" s="1"/>
  <c r="CX238" i="1"/>
  <c r="CX16" i="1"/>
  <c r="DY16" i="1" a="1"/>
  <c r="DY16" i="1" s="1"/>
  <c r="EI16" i="1" s="1"/>
  <c r="CX259" i="1"/>
  <c r="DY259" i="1" a="1"/>
  <c r="DY259" i="1" s="1"/>
  <c r="EI259" i="1" s="1"/>
  <c r="DY93" i="1" a="1"/>
  <c r="DY93" i="1" s="1"/>
  <c r="EI93" i="1" s="1"/>
  <c r="CX93" i="1"/>
  <c r="CX258" i="1"/>
  <c r="DY258" i="1" a="1"/>
  <c r="DY258" i="1" s="1"/>
  <c r="EI258" i="1" s="1"/>
  <c r="CX176" i="1"/>
  <c r="DY176" i="1" a="1"/>
  <c r="DY176" i="1" s="1"/>
  <c r="EI176" i="1" s="1"/>
  <c r="DY236" i="1" a="1"/>
  <c r="DY236" i="1" s="1"/>
  <c r="EI236" i="1" s="1"/>
  <c r="CX236" i="1"/>
  <c r="DY336" i="1" a="1"/>
  <c r="DY336" i="1" s="1"/>
  <c r="EI336" i="1" s="1"/>
  <c r="CX336" i="1"/>
  <c r="CX138" i="1"/>
  <c r="DY138" i="1" a="1"/>
  <c r="DY138" i="1" s="1"/>
  <c r="EI138" i="1" s="1"/>
  <c r="DY321" i="1" a="1"/>
  <c r="DY321" i="1" s="1"/>
  <c r="EI321" i="1" s="1"/>
  <c r="CX321" i="1"/>
  <c r="DY91" i="1" a="1"/>
  <c r="DY91" i="1" s="1"/>
  <c r="EI91" i="1" s="1"/>
  <c r="CX91" i="1"/>
  <c r="DY205" i="1" a="1"/>
  <c r="DY205" i="1" s="1"/>
  <c r="EI205" i="1" s="1"/>
  <c r="ES205" i="1" s="1"/>
  <c r="EW205" i="1" s="1"/>
  <c r="CX205" i="1"/>
  <c r="DY136" i="1" a="1"/>
  <c r="DY136" i="1" s="1"/>
  <c r="EI136" i="1" s="1"/>
  <c r="CX136" i="1"/>
  <c r="CX201" i="1"/>
  <c r="DY201" i="1" a="1"/>
  <c r="DY201" i="1" s="1"/>
  <c r="EI201" i="1" s="1"/>
  <c r="ES201" i="1" s="1"/>
  <c r="EW201" i="1" s="1"/>
  <c r="CX117" i="1"/>
  <c r="DY117" i="1" a="1"/>
  <c r="DY117" i="1" s="1"/>
  <c r="EI117" i="1" s="1"/>
  <c r="CX112" i="1"/>
  <c r="DY112" i="1" a="1"/>
  <c r="DY112" i="1" s="1"/>
  <c r="EI112" i="1" s="1"/>
  <c r="DY130" i="1" a="1"/>
  <c r="DY130" i="1" s="1"/>
  <c r="EI130" i="1" s="1"/>
  <c r="CX130" i="1"/>
  <c r="CX99" i="1"/>
  <c r="DY99" i="1" a="1"/>
  <c r="DY99" i="1" s="1"/>
  <c r="EI99" i="1" s="1"/>
  <c r="DY135" i="1" a="1"/>
  <c r="DY135" i="1" s="1"/>
  <c r="EI135" i="1" s="1"/>
  <c r="CX135" i="1"/>
  <c r="DY94" i="1" a="1"/>
  <c r="DY94" i="1" s="1"/>
  <c r="EI94" i="1" s="1"/>
  <c r="CX94" i="1"/>
  <c r="DY33" i="1" a="1"/>
  <c r="DY33" i="1" s="1"/>
  <c r="EI33" i="1" s="1"/>
  <c r="CX33" i="1"/>
  <c r="DY137" i="1" a="1"/>
  <c r="DY137" i="1" s="1"/>
  <c r="EI137" i="1" s="1"/>
  <c r="CX137" i="1"/>
  <c r="DY269" i="1" a="1"/>
  <c r="DY269" i="1" s="1"/>
  <c r="EI269" i="1" s="1"/>
  <c r="CX269" i="1"/>
  <c r="CX87" i="1"/>
  <c r="DY87" i="1" a="1"/>
  <c r="DY87" i="1" s="1"/>
  <c r="EI87" i="1" s="1"/>
  <c r="CX202" i="1"/>
  <c r="DY202" i="1" a="1"/>
  <c r="DY202" i="1" s="1"/>
  <c r="EI202" i="1" s="1"/>
  <c r="ES202" i="1" s="1"/>
  <c r="EW202" i="1" s="1"/>
  <c r="DY14" i="1" a="1"/>
  <c r="DY14" i="1" s="1"/>
  <c r="EI14" i="1" s="1"/>
  <c r="CX14" i="1"/>
  <c r="CX13" i="1" s="1"/>
  <c r="CX20" i="1"/>
  <c r="DY20" i="1" a="1"/>
  <c r="DY20" i="1" s="1"/>
  <c r="EI20" i="1" s="1"/>
  <c r="CX50" i="1"/>
  <c r="DY50" i="1" a="1"/>
  <c r="DY50" i="1" s="1"/>
  <c r="EI50" i="1" s="1"/>
  <c r="DY159" i="1" a="1"/>
  <c r="DY159" i="1" s="1"/>
  <c r="EI159" i="1" s="1"/>
  <c r="CX159" i="1"/>
  <c r="DY110" i="1" a="1"/>
  <c r="DY110" i="1" s="1"/>
  <c r="EI110" i="1" s="1"/>
  <c r="CX110" i="1"/>
  <c r="DY328" i="1" a="1"/>
  <c r="DY328" i="1" s="1"/>
  <c r="EI328" i="1" s="1"/>
  <c r="CX328" i="1"/>
  <c r="CX198" i="1"/>
  <c r="DY198" i="1" a="1"/>
  <c r="DY198" i="1" s="1"/>
  <c r="EI198" i="1" s="1"/>
  <c r="ES198" i="1" s="1"/>
  <c r="EW198" i="1" s="1"/>
  <c r="DY303" i="1" a="1"/>
  <c r="DY303" i="1" s="1"/>
  <c r="EI303" i="1" s="1"/>
  <c r="CX303" i="1"/>
  <c r="DY266" i="1" a="1"/>
  <c r="DY266" i="1" s="1"/>
  <c r="EI266" i="1" s="1"/>
  <c r="CX266" i="1"/>
  <c r="DY333" i="1" a="1"/>
  <c r="DY333" i="1" s="1"/>
  <c r="EI333" i="1" s="1"/>
  <c r="CX333" i="1"/>
  <c r="CX194" i="1"/>
  <c r="DY194" i="1" a="1"/>
  <c r="DY194" i="1" s="1"/>
  <c r="EI194" i="1" s="1"/>
  <c r="ES194" i="1" s="1"/>
  <c r="EW194" i="1" s="1"/>
  <c r="DY204" i="1" a="1"/>
  <c r="DY204" i="1" s="1"/>
  <c r="EI204" i="1" s="1"/>
  <c r="ES204" i="1" s="1"/>
  <c r="EW204" i="1" s="1"/>
  <c r="CX204" i="1"/>
  <c r="DY125" i="1" a="1"/>
  <c r="DY125" i="1" s="1"/>
  <c r="EI125" i="1" s="1"/>
  <c r="CX125" i="1"/>
  <c r="EU293" i="1" l="1"/>
  <c r="EW293" i="1" s="1"/>
  <c r="EU129" i="1"/>
  <c r="EU165" i="1"/>
  <c r="EU168" i="1"/>
  <c r="EW168" i="1" s="1"/>
  <c r="ES231" i="1"/>
  <c r="EW231" i="1" s="1"/>
  <c r="EU15" i="1"/>
  <c r="EW15" i="1" s="1"/>
  <c r="ES307" i="1"/>
  <c r="EW307" i="1" s="1"/>
  <c r="ES235" i="1"/>
  <c r="EU235" i="1"/>
  <c r="EW142" i="1"/>
  <c r="EW120" i="1"/>
  <c r="EW115" i="1"/>
  <c r="EW226" i="1"/>
  <c r="EW268" i="1"/>
  <c r="EW92" i="1"/>
  <c r="EW147" i="1"/>
  <c r="EW292" i="1"/>
  <c r="EW78" i="1"/>
  <c r="EU77" i="1"/>
  <c r="EW77" i="1" s="1"/>
  <c r="EW98" i="1"/>
  <c r="EW103" i="1"/>
  <c r="EW31" i="1"/>
  <c r="EW278" i="1"/>
  <c r="EW310" i="1"/>
  <c r="EW100" i="1"/>
  <c r="EU221" i="1"/>
  <c r="EW221" i="1" s="1"/>
  <c r="EW48" i="1"/>
  <c r="EW214" i="1"/>
  <c r="EW139" i="1"/>
  <c r="EW61" i="1"/>
  <c r="EW177" i="1"/>
  <c r="EW22" i="1"/>
  <c r="ES272" i="1"/>
  <c r="EU272" i="1"/>
  <c r="EU74" i="1"/>
  <c r="EW74" i="1" s="1"/>
  <c r="EW29" i="1"/>
  <c r="EW88" i="1"/>
  <c r="EW180" i="1"/>
  <c r="EW157" i="1"/>
  <c r="EW255" i="1"/>
  <c r="EW169" i="1"/>
  <c r="EW45" i="1"/>
  <c r="EW102" i="1"/>
  <c r="EW256" i="1"/>
  <c r="EW166" i="1"/>
  <c r="ES85" i="1"/>
  <c r="EU85" i="1"/>
  <c r="EW232" i="1"/>
  <c r="EW129" i="1"/>
  <c r="EW25" i="1"/>
  <c r="EW55" i="1"/>
  <c r="EW104" i="1"/>
  <c r="ES242" i="1"/>
  <c r="EU242" i="1"/>
  <c r="ES217" i="1"/>
  <c r="EU217" i="1"/>
  <c r="ES150" i="1"/>
  <c r="EU150" i="1"/>
  <c r="ES83" i="1"/>
  <c r="EU83" i="1"/>
  <c r="ES89" i="1"/>
  <c r="EU89" i="1"/>
  <c r="EW289" i="1"/>
  <c r="EW277" i="1"/>
  <c r="EW320" i="1"/>
  <c r="EW133" i="1"/>
  <c r="EW265" i="1"/>
  <c r="EW240" i="1"/>
  <c r="EW267" i="1"/>
  <c r="EW95" i="1"/>
  <c r="EW155" i="1"/>
  <c r="EW38" i="1"/>
  <c r="EW222" i="1"/>
  <c r="EW121" i="1"/>
  <c r="EW152" i="1"/>
  <c r="EW299" i="1"/>
  <c r="EW302" i="1"/>
  <c r="ES107" i="1"/>
  <c r="EU107" i="1"/>
  <c r="ES99" i="1"/>
  <c r="EU99" i="1"/>
  <c r="ES16" i="1"/>
  <c r="EU16" i="1"/>
  <c r="ES266" i="1"/>
  <c r="EU266" i="1"/>
  <c r="ES14" i="1"/>
  <c r="EU14" i="1"/>
  <c r="ES321" i="1"/>
  <c r="EU321" i="1"/>
  <c r="EW304" i="1"/>
  <c r="EW116" i="1"/>
  <c r="EW143" i="1"/>
  <c r="EW145" i="1"/>
  <c r="ES234" i="1"/>
  <c r="EU234" i="1"/>
  <c r="EW141" i="1"/>
  <c r="ES112" i="1"/>
  <c r="EU112" i="1"/>
  <c r="EW223" i="1"/>
  <c r="EW287" i="1"/>
  <c r="EW326" i="1"/>
  <c r="EW165" i="1"/>
  <c r="EW51" i="1"/>
  <c r="EW80" i="1"/>
  <c r="EW148" i="1"/>
  <c r="EW67" i="1"/>
  <c r="ES336" i="1"/>
  <c r="EU336" i="1"/>
  <c r="ES239" i="1"/>
  <c r="EU239" i="1"/>
  <c r="ES335" i="1"/>
  <c r="EU335" i="1"/>
  <c r="EW114" i="1"/>
  <c r="ES303" i="1"/>
  <c r="EU303" i="1"/>
  <c r="ES130" i="1"/>
  <c r="EU130" i="1"/>
  <c r="ES238" i="1"/>
  <c r="EU238" i="1"/>
  <c r="ES87" i="1"/>
  <c r="EU87" i="1"/>
  <c r="ES117" i="1"/>
  <c r="EU117" i="1"/>
  <c r="ES181" i="1"/>
  <c r="EU181" i="1"/>
  <c r="EW119" i="1"/>
  <c r="EW134" i="1"/>
  <c r="EW286" i="1"/>
  <c r="EW264" i="1"/>
  <c r="EW245" i="1"/>
  <c r="EW215" i="1"/>
  <c r="ES269" i="1"/>
  <c r="EU269" i="1"/>
  <c r="ES236" i="1"/>
  <c r="EU236" i="1"/>
  <c r="ES26" i="1"/>
  <c r="EU26" i="1"/>
  <c r="ES176" i="1"/>
  <c r="EU176" i="1"/>
  <c r="ES271" i="1"/>
  <c r="EU271" i="1"/>
  <c r="ES279" i="1"/>
  <c r="EU279" i="1"/>
  <c r="EW274" i="1"/>
  <c r="EW210" i="1"/>
  <c r="EW127" i="1"/>
  <c r="EW329" i="1"/>
  <c r="EW325" i="1"/>
  <c r="EW294" i="1"/>
  <c r="ES125" i="1"/>
  <c r="EU125" i="1"/>
  <c r="ES110" i="1"/>
  <c r="EU110" i="1"/>
  <c r="ES137" i="1"/>
  <c r="EU137" i="1"/>
  <c r="EW219" i="1"/>
  <c r="ES328" i="1"/>
  <c r="EU328" i="1"/>
  <c r="ES258" i="1"/>
  <c r="EU258" i="1"/>
  <c r="EW263" i="1"/>
  <c r="EW332" i="1"/>
  <c r="EW167" i="1"/>
  <c r="EW337" i="1"/>
  <c r="EW53" i="1"/>
  <c r="ES136" i="1"/>
  <c r="EU136" i="1"/>
  <c r="ES288" i="1"/>
  <c r="EU288" i="1"/>
  <c r="ES76" i="1"/>
  <c r="EU76" i="1"/>
  <c r="EW84" i="1"/>
  <c r="EW314" i="1"/>
  <c r="EW52" i="1"/>
  <c r="EW172" i="1"/>
  <c r="EW237" i="1"/>
  <c r="EW58" i="1"/>
  <c r="EW295" i="1"/>
  <c r="ES33" i="1"/>
  <c r="EU33" i="1"/>
  <c r="ES50" i="1"/>
  <c r="EU50" i="1"/>
  <c r="ES94" i="1"/>
  <c r="EU94" i="1"/>
  <c r="ES93" i="1"/>
  <c r="EU93" i="1"/>
  <c r="ES153" i="1"/>
  <c r="EU153" i="1"/>
  <c r="ES20" i="1"/>
  <c r="EU20" i="1"/>
  <c r="ES259" i="1"/>
  <c r="EU259" i="1"/>
  <c r="ES319" i="1"/>
  <c r="EU319" i="1"/>
  <c r="EW283" i="1"/>
  <c r="EW290" i="1"/>
  <c r="EW28" i="1"/>
  <c r="EW144" i="1"/>
  <c r="EW149" i="1"/>
  <c r="EW18" i="1"/>
  <c r="EW315" i="1"/>
  <c r="ES138" i="1"/>
  <c r="EU138" i="1"/>
  <c r="ES159" i="1"/>
  <c r="EU159" i="1"/>
  <c r="ES333" i="1"/>
  <c r="EU333" i="1"/>
  <c r="ES135" i="1"/>
  <c r="EU135" i="1"/>
  <c r="ES91" i="1"/>
  <c r="EU91" i="1"/>
  <c r="ES124" i="1"/>
  <c r="EU124" i="1"/>
  <c r="CO132" i="1"/>
  <c r="DR132" i="1" s="1"/>
  <c r="EW235" i="1" l="1"/>
  <c r="EW14" i="1"/>
  <c r="EW333" i="1"/>
  <c r="EW258" i="1"/>
  <c r="EW99" i="1"/>
  <c r="EW83" i="1"/>
  <c r="EW85" i="1"/>
  <c r="EW336" i="1"/>
  <c r="EW272" i="1"/>
  <c r="EW150" i="1"/>
  <c r="EW91" i="1"/>
  <c r="EW269" i="1"/>
  <c r="EW130" i="1"/>
  <c r="EW266" i="1"/>
  <c r="EW16" i="1"/>
  <c r="EW76" i="1"/>
  <c r="EW89" i="1"/>
  <c r="EW288" i="1"/>
  <c r="EW176" i="1"/>
  <c r="EW153" i="1"/>
  <c r="EW136" i="1"/>
  <c r="EW26" i="1"/>
  <c r="EW87" i="1"/>
  <c r="EW242" i="1"/>
  <c r="EW303" i="1"/>
  <c r="EW236" i="1"/>
  <c r="EW217" i="1"/>
  <c r="EW138" i="1"/>
  <c r="EW135" i="1"/>
  <c r="EW159" i="1"/>
  <c r="EW328" i="1"/>
  <c r="EW279" i="1"/>
  <c r="EW234" i="1"/>
  <c r="EW107" i="1"/>
  <c r="EW239" i="1"/>
  <c r="EW93" i="1"/>
  <c r="EW137" i="1"/>
  <c r="EW94" i="1"/>
  <c r="EW124" i="1"/>
  <c r="EW238" i="1"/>
  <c r="EW271" i="1"/>
  <c r="EW181" i="1"/>
  <c r="EW117" i="1"/>
  <c r="EW110" i="1"/>
  <c r="EW321" i="1"/>
  <c r="EW50" i="1"/>
  <c r="EW125" i="1"/>
  <c r="EW33" i="1"/>
  <c r="EW319" i="1"/>
  <c r="EW259" i="1"/>
  <c r="EW112" i="1"/>
  <c r="EW20" i="1"/>
  <c r="EW335" i="1"/>
  <c r="DO132" i="1"/>
  <c r="DP132" i="1" s="1"/>
  <c r="DS132" i="1"/>
  <c r="DX132" i="1" l="1"/>
  <c r="DY132" i="1" s="1" a="1"/>
  <c r="DY132" i="1" s="1"/>
  <c r="EI132" i="1" s="1"/>
  <c r="EL132" i="1"/>
  <c r="EU132" i="1" s="1"/>
  <c r="ES132" i="1" l="1"/>
  <c r="EW132" i="1" s="1"/>
  <c r="CX132" i="1"/>
  <c r="DI105" i="1"/>
  <c r="DK105" i="1" s="1"/>
  <c r="DK7" i="1" s="1"/>
  <c r="CO105" i="1"/>
  <c r="DR105" i="1" s="1"/>
  <c r="DO105" i="1" l="1"/>
  <c r="DP105" i="1" s="1"/>
  <c r="DS105" i="1"/>
  <c r="EL105" i="1" l="1"/>
  <c r="DX105" i="1"/>
  <c r="CX105" i="1" l="1"/>
  <c r="CW7" i="1" s="1"/>
  <c r="DY105" i="1" a="1"/>
  <c r="DY105" i="1" s="1"/>
  <c r="EI105" i="1" s="1"/>
  <c r="ES105" i="1" s="1"/>
  <c r="EU105" i="1"/>
  <c r="EU7" i="1" s="1"/>
  <c r="EL7" i="1"/>
  <c r="EW105" i="1" l="1"/>
  <c r="EW7" i="1" s="1"/>
  <c r="ES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<sst xmlns="http://schemas.openxmlformats.org/spreadsheetml/2006/main" count="35586" uniqueCount="4415">
  <si>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</si>
  <si>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</si>
  <si>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</si>
  <si>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</si>
  <si>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</si>
  <si>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</si>
  <si>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</si>
  <si>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</si>
  <si>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</si>
  <si>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</si>
  <si>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</si>
  <si>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</si>
  <si>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</si>
  <si>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</si>
  <si>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</si>
  <si>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</si>
  <si>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</si>
  <si>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</si>
  <si>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</si>
  <si>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</si>
  <si>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</si>
  <si>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</si>
  <si>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</si>
  <si>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</si>
  <si>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</si>
  <si>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</si>
  <si>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</si>
  <si>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</si>
  <si>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</si>
  <si>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</si>
  <si>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</si>
  <si>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</si>
  <si>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</si>
  <si>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</si>
  <si>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</si>
  <si>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</si>
  <si>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</si>
  <si>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</si>
  <si>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</si>
  <si>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</si>
  <si>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</si>
  <si>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</si>
  <si>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</si>
  <si>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</si>
  <si>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</si>
  <si>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</si>
  <si>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</si>
  <si>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</si>
  <si>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</si>
  <si>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</si>
  <si>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</si>
  <si>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</si>
  <si>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</si>
  <si>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</si>
  <si>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</si>
  <si>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</si>
  <si>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</si>
  <si>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</si>
  <si>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</si>
  <si>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</si>
  <si>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</si>
  <si>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</si>
  <si>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</si>
  <si>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</si>
  <si>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</si>
  <si>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</si>
  <si>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</si>
  <si>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</si>
  <si>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</si>
  <si>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</si>
  <si>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</si>
  <si>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</si>
  <si>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</si>
  <si>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</si>
  <si>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</si>
  <si>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</si>
  <si>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</si>
  <si>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</si>
  <si>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</si>
  <si>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</si>
  <si>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</si>
  <si>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</si>
  <si>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</si>
  <si>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</si>
  <si>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</si>
  <si>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</si>
  <si>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</si>
  <si>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</si>
  <si>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</si>
  <si>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</si>
  <si>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</si>
  <si>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</si>
  <si>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</si>
  <si>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</si>
  <si>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</si>
  <si>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</si>
  <si>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</si>
  <si>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</si>
  <si>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</si>
  <si>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</si>
  <si>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</si>
  <si>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</si>
  <si>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</si>
  <si>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</si>
  <si>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</si>
  <si>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</si>
  <si>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</si>
  <si>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</si>
  <si>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</si>
  <si>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</si>
  <si>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</si>
  <si>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</si>
  <si>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</si>
  <si>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</si>
  <si>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</si>
  <si>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</si>
  <si>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</si>
  <si>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</si>
  <si>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</si>
  <si>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</si>
  <si>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</si>
  <si>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</si>
  <si>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</si>
  <si>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</si>
  <si>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</si>
  <si>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</si>
  <si>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</si>
  <si>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</si>
  <si>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</si>
  <si>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</si>
  <si>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</si>
  <si>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</si>
  <si>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</si>
  <si>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</si>
  <si>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katalias_katreg_id</t>
  </si>
  <si>
    <t>katalias_id</t>
  </si>
  <si>
    <t>katalias_katid</t>
  </si>
  <si>
    <t>sql</t>
  </si>
  <si>
    <t>stazakat_id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</si>
  <si>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</si>
  <si>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</si>
  <si>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</si>
  <si>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</si>
  <si>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</si>
  <si>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</si>
  <si>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</si>
  <si>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</si>
  <si>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</si>
  <si>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</si>
  <si>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stupac C je alias za kategoriju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</si>
  <si>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</si>
  <si>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</si>
  <si>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</si>
  <si>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</si>
  <si>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</si>
  <si>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</si>
  <si>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</si>
  <si>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</si>
  <si>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</si>
  <si>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</si>
  <si>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</si>
  <si>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</si>
  <si>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</si>
  <si>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</si>
  <si>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</si>
  <si>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klubovi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</si>
  <si>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</si>
  <si>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</si>
  <si>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</si>
  <si>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</si>
  <si>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</si>
  <si>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</si>
  <si>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</si>
  <si>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</si>
  <si>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</si>
  <si>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</si>
  <si>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</si>
  <si>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</si>
  <si>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</si>
  <si>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</si>
  <si>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</si>
  <si>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</si>
  <si>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</si>
  <si>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</si>
  <si>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</si>
  <si>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</si>
  <si>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</si>
  <si>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</si>
  <si>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</si>
  <si>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</si>
  <si>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</si>
  <si>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</si>
  <si>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</si>
  <si>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</si>
  <si>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</si>
  <si>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</si>
  <si>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</si>
  <si>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</si>
  <si>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</si>
  <si>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</si>
  <si>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</si>
  <si>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</si>
  <si>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</si>
  <si>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</si>
  <si>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</si>
  <si>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</si>
  <si>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</si>
  <si>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</si>
  <si>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</si>
  <si>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</si>
  <si>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</si>
  <si>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</si>
  <si>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</si>
  <si>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</si>
  <si>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</si>
  <si>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</si>
  <si>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</si>
  <si>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</si>
  <si>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</si>
  <si>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</si>
  <si>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</si>
  <si>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</si>
  <si>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</si>
  <si>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</si>
  <si>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</si>
  <si>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novi_alias_id</t>
  </si>
  <si>
    <t>ŠTO SE DOGAĐA KADA POSTOJEĆI NATJECATELJ IZ REGISTRA NASTUPA ZA NEPOSTOJEĆI KLUB?</t>
  </si>
  <si>
    <t>AUTOMATSKO DODAVANJE NOVE KATEGORIJE U TABLICU kategorija</t>
  </si>
  <si>
    <t>ime i prezime natjecatelja</t>
  </si>
  <si>
    <t>rbr (reg)</t>
  </si>
  <si>
    <t>sort</t>
  </si>
  <si>
    <t>SELECT
	id,
	oznaka,
	naziv,
	originalstatus_id AS oevent_classifier
FROM
	status_rezultat
ORDER BY
	id</t>
  </si>
  <si>
    <t>originalstatus_id</t>
  </si>
  <si>
    <t>stazakategorija_id</t>
  </si>
  <si>
    <t>broj registriranih</t>
  </si>
  <si>
    <t>rezultata</t>
  </si>
  <si>
    <t>broj pogrešnih</t>
  </si>
  <si>
    <t>provjera</t>
  </si>
  <si>
    <t>&lt;&gt; klubovi</t>
  </si>
  <si>
    <t>broj &lt;&gt;</t>
  </si>
  <si>
    <t>nastup za različit klub od onog za koji je natjecatelj registriran</t>
  </si>
  <si>
    <t>v1.00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</si>
  <si>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</si>
  <si>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</si>
  <si>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</si>
  <si>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</si>
  <si>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</si>
  <si>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</si>
  <si>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</si>
  <si>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</si>
  <si>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</si>
  <si>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</si>
  <si>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</si>
  <si>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</si>
  <si>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</si>
  <si>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</si>
  <si>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</si>
  <si>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</si>
  <si>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</si>
  <si>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</si>
  <si>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</si>
  <si>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</si>
  <si>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</si>
  <si>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</si>
  <si>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</si>
  <si>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</si>
  <si>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</si>
  <si>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</si>
  <si>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</si>
  <si>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</si>
  <si>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</si>
  <si>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</si>
  <si>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</si>
  <si>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</si>
  <si>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</si>
  <si>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</si>
  <si>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</si>
  <si>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</si>
  <si>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</si>
  <si>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</si>
  <si>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</si>
  <si>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PROVJERITI UPISUJE LI DOBRO ALIASE ZA slučaj VIHOR-KAPELA</t>
  </si>
  <si>
    <t>diskvalificiranih</t>
  </si>
  <si>
    <t>za provjeru</t>
  </si>
  <si>
    <t>txt</t>
  </si>
  <si>
    <t>concat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</si>
  <si>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</si>
  <si>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</si>
  <si>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</si>
  <si>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</si>
  <si>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</si>
  <si>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</si>
  <si>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</si>
  <si>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</si>
  <si>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</si>
  <si>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</si>
  <si>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</si>
  <si>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</si>
  <si>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</si>
  <si>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</si>
  <si>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</si>
  <si>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</si>
  <si>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</si>
  <si>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</si>
  <si>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</si>
  <si>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</si>
  <si>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</si>
  <si>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</si>
  <si>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</si>
  <si>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</si>
  <si>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</si>
  <si>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</si>
  <si>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</si>
  <si>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</si>
  <si>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</si>
  <si>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</si>
  <si>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</si>
  <si>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</si>
  <si>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</si>
  <si>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</si>
  <si>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</si>
  <si>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</si>
  <si>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</si>
  <si>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</si>
  <si>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</si>
  <si>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</si>
  <si>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</si>
  <si>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</si>
  <si>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</si>
  <si>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</si>
  <si>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</si>
  <si>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</si>
  <si>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</si>
  <si>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</si>
  <si>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</si>
  <si>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</si>
  <si>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</si>
  <si>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</si>
  <si>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</si>
  <si>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</si>
  <si>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</si>
  <si>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</si>
  <si>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</si>
  <si>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</si>
  <si>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</si>
  <si>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</si>
  <si>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</si>
  <si>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</si>
  <si>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</si>
  <si>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</si>
  <si>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2442558</t>
  </si>
  <si>
    <t>210</t>
  </si>
  <si>
    <t>Pinjušić</t>
  </si>
  <si>
    <t>Lovro</t>
  </si>
  <si>
    <t>M</t>
  </si>
  <si>
    <t>0</t>
  </si>
  <si>
    <t>61:00</t>
  </si>
  <si>
    <t>92:38</t>
  </si>
  <si>
    <t>31:38</t>
  </si>
  <si>
    <t>3</t>
  </si>
  <si>
    <t>JAP</t>
  </si>
  <si>
    <t>OK Japetic</t>
  </si>
  <si>
    <t>CRO</t>
  </si>
  <si>
    <t>11</t>
  </si>
  <si>
    <t>M12</t>
  </si>
  <si>
    <t>0,0</t>
  </si>
  <si>
    <t>26</t>
  </si>
  <si>
    <t>1.93</t>
  </si>
  <si>
    <t>30</t>
  </si>
  <si>
    <t>7</t>
  </si>
  <si>
    <t>1</t>
  </si>
  <si>
    <t>35</t>
  </si>
  <si>
    <t>08:59</t>
  </si>
  <si>
    <t>59</t>
  </si>
  <si>
    <t>11:23</t>
  </si>
  <si>
    <t>60</t>
  </si>
  <si>
    <t>15:48</t>
  </si>
  <si>
    <t>66</t>
  </si>
  <si>
    <t>18:55</t>
  </si>
  <si>
    <t>34</t>
  </si>
  <si>
    <t>21:27</t>
  </si>
  <si>
    <t>38</t>
  </si>
  <si>
    <t>27:55</t>
  </si>
  <si>
    <t>100</t>
  </si>
  <si>
    <t>31:01</t>
  </si>
  <si>
    <t>219393</t>
  </si>
  <si>
    <t>225</t>
  </si>
  <si>
    <t>Tanković</t>
  </si>
  <si>
    <t>Marin</t>
  </si>
  <si>
    <t>65:00</t>
  </si>
  <si>
    <t>98:21</t>
  </si>
  <si>
    <t>33:21</t>
  </si>
  <si>
    <t>6</t>
  </si>
  <si>
    <t>OK Jelen</t>
  </si>
  <si>
    <t>2</t>
  </si>
  <si>
    <t>05:20</t>
  </si>
  <si>
    <t>07:35</t>
  </si>
  <si>
    <t>12:33</t>
  </si>
  <si>
    <t>16:38</t>
  </si>
  <si>
    <t>19:15</t>
  </si>
  <si>
    <t>28:02</t>
  </si>
  <si>
    <t>32:44</t>
  </si>
  <si>
    <t>2117408</t>
  </si>
  <si>
    <t>142</t>
  </si>
  <si>
    <t>Lah</t>
  </si>
  <si>
    <t>Mario</t>
  </si>
  <si>
    <t>57:00</t>
  </si>
  <si>
    <t>98:54</t>
  </si>
  <si>
    <t>41:54</t>
  </si>
  <si>
    <t>8</t>
  </si>
  <si>
    <t>OK Varaždin</t>
  </si>
  <si>
    <t>09:08</t>
  </si>
  <si>
    <t>14:03</t>
  </si>
  <si>
    <t>20:27</t>
  </si>
  <si>
    <t>24:41</t>
  </si>
  <si>
    <t>27:57</t>
  </si>
  <si>
    <t>36:24</t>
  </si>
  <si>
    <t>40:47</t>
  </si>
  <si>
    <t>2221141</t>
  </si>
  <si>
    <t>157</t>
  </si>
  <si>
    <t>Mance</t>
  </si>
  <si>
    <t>Teo</t>
  </si>
  <si>
    <t>93:00</t>
  </si>
  <si>
    <t>138:37</t>
  </si>
  <si>
    <t>45:37</t>
  </si>
  <si>
    <t>Vihor</t>
  </si>
  <si>
    <t>OK Vihor</t>
  </si>
  <si>
    <t>4</t>
  </si>
  <si>
    <t>07:29</t>
  </si>
  <si>
    <t>09:54</t>
  </si>
  <si>
    <t>20:39</t>
  </si>
  <si>
    <t>24:55</t>
  </si>
  <si>
    <t>31:03</t>
  </si>
  <si>
    <t>41:59</t>
  </si>
  <si>
    <t>44:52</t>
  </si>
  <si>
    <t>237595</t>
  </si>
  <si>
    <t>199</t>
  </si>
  <si>
    <t>Petravić</t>
  </si>
  <si>
    <t>Ivan</t>
  </si>
  <si>
    <t>77:00</t>
  </si>
  <si>
    <t>150:16</t>
  </si>
  <si>
    <t>73:16</t>
  </si>
  <si>
    <t>5</t>
  </si>
  <si>
    <t>16:37</t>
  </si>
  <si>
    <t>23:41</t>
  </si>
  <si>
    <t>28:20</t>
  </si>
  <si>
    <t>32:05</t>
  </si>
  <si>
    <t>35:43</t>
  </si>
  <si>
    <t>62:59</t>
  </si>
  <si>
    <t>72:21</t>
  </si>
  <si>
    <t>245249</t>
  </si>
  <si>
    <t>179</t>
  </si>
  <si>
    <t>Kaniški</t>
  </si>
  <si>
    <t>Petar</t>
  </si>
  <si>
    <t>81:00</t>
  </si>
  <si>
    <t>Maksimir</t>
  </si>
  <si>
    <t>OK Maksimir</t>
  </si>
  <si>
    <t>428003</t>
  </si>
  <si>
    <t>116</t>
  </si>
  <si>
    <t>Berečki</t>
  </si>
  <si>
    <t>53:00</t>
  </si>
  <si>
    <t>8007766</t>
  </si>
  <si>
    <t>276</t>
  </si>
  <si>
    <t>Rako</t>
  </si>
  <si>
    <t>Jure</t>
  </si>
  <si>
    <t>85:00</t>
  </si>
  <si>
    <t>328</t>
  </si>
  <si>
    <t>Vacant</t>
  </si>
  <si>
    <t>73:00</t>
  </si>
  <si>
    <t>2136724</t>
  </si>
  <si>
    <t>261</t>
  </si>
  <si>
    <t>Anadolac</t>
  </si>
  <si>
    <t>Filip</t>
  </si>
  <si>
    <t>89:00</t>
  </si>
  <si>
    <t>329</t>
  </si>
  <si>
    <t>Boban</t>
  </si>
  <si>
    <t>Jakov</t>
  </si>
  <si>
    <t>69:00</t>
  </si>
  <si>
    <t>OK MERZ CRO</t>
  </si>
  <si>
    <t>OK Ivan Merz</t>
  </si>
  <si>
    <t>8017369</t>
  </si>
  <si>
    <t>266</t>
  </si>
  <si>
    <t>Mahović</t>
  </si>
  <si>
    <t>24:00</t>
  </si>
  <si>
    <t>52:31</t>
  </si>
  <si>
    <t>28:31</t>
  </si>
  <si>
    <t>10</t>
  </si>
  <si>
    <t>M14</t>
  </si>
  <si>
    <t>27</t>
  </si>
  <si>
    <t>2.77</t>
  </si>
  <si>
    <t>65</t>
  </si>
  <si>
    <t>9</t>
  </si>
  <si>
    <t>00:55</t>
  </si>
  <si>
    <t>06:12</t>
  </si>
  <si>
    <t>72</t>
  </si>
  <si>
    <t>09:52</t>
  </si>
  <si>
    <t>69</t>
  </si>
  <si>
    <t>15:43</t>
  </si>
  <si>
    <t>67</t>
  </si>
  <si>
    <t>18:03</t>
  </si>
  <si>
    <t>68</t>
  </si>
  <si>
    <t>22:40</t>
  </si>
  <si>
    <t>70</t>
  </si>
  <si>
    <t>24:53</t>
  </si>
  <si>
    <t>26:45</t>
  </si>
  <si>
    <t>27:59</t>
  </si>
  <si>
    <t>236873</t>
  </si>
  <si>
    <t>23</t>
  </si>
  <si>
    <t>Gojmerac</t>
  </si>
  <si>
    <t>Luka</t>
  </si>
  <si>
    <t>15:00</t>
  </si>
  <si>
    <t>49:54</t>
  </si>
  <si>
    <t>34:54</t>
  </si>
  <si>
    <t>01:02</t>
  </si>
  <si>
    <t>04:47</t>
  </si>
  <si>
    <t>09:32</t>
  </si>
  <si>
    <t>14:17</t>
  </si>
  <si>
    <t>16:11</t>
  </si>
  <si>
    <t>26:56</t>
  </si>
  <si>
    <t>29:42</t>
  </si>
  <si>
    <t>32:25</t>
  </si>
  <si>
    <t>34:33</t>
  </si>
  <si>
    <t>2128477</t>
  </si>
  <si>
    <t>176</t>
  </si>
  <si>
    <t>Meštrović</t>
  </si>
  <si>
    <t>Martin</t>
  </si>
  <si>
    <t>33:00</t>
  </si>
  <si>
    <t>87:04</t>
  </si>
  <si>
    <t>54:04</t>
  </si>
  <si>
    <t>KAP</t>
  </si>
  <si>
    <t>OK Kapela</t>
  </si>
  <si>
    <t>00:57</t>
  </si>
  <si>
    <t>08:39</t>
  </si>
  <si>
    <t>18:17</t>
  </si>
  <si>
    <t>23:04</t>
  </si>
  <si>
    <t>25:01</t>
  </si>
  <si>
    <t>38:59</t>
  </si>
  <si>
    <t>48:46</t>
  </si>
  <si>
    <t>51:40</t>
  </si>
  <si>
    <t>53:28</t>
  </si>
  <si>
    <t>893832</t>
  </si>
  <si>
    <t>147</t>
  </si>
  <si>
    <t>Mazić</t>
  </si>
  <si>
    <t>Mikula</t>
  </si>
  <si>
    <t>03:00</t>
  </si>
  <si>
    <t>71:39</t>
  </si>
  <si>
    <t>68:39</t>
  </si>
  <si>
    <t>01:35</t>
  </si>
  <si>
    <t>06:09</t>
  </si>
  <si>
    <t>23:19</t>
  </si>
  <si>
    <t>30:17</t>
  </si>
  <si>
    <t>34:15</t>
  </si>
  <si>
    <t>58:19</t>
  </si>
  <si>
    <t>62:13</t>
  </si>
  <si>
    <t>65:37</t>
  </si>
  <si>
    <t>67:57</t>
  </si>
  <si>
    <t>2138242</t>
  </si>
  <si>
    <t>262</t>
  </si>
  <si>
    <t>Adam</t>
  </si>
  <si>
    <t>39:00</t>
  </si>
  <si>
    <t>111:05</t>
  </si>
  <si>
    <t>72:05</t>
  </si>
  <si>
    <t>01:43</t>
  </si>
  <si>
    <t>06:55</t>
  </si>
  <si>
    <t>24:12</t>
  </si>
  <si>
    <t>34:09</t>
  </si>
  <si>
    <t>37:55</t>
  </si>
  <si>
    <t>54:17</t>
  </si>
  <si>
    <t>58:09</t>
  </si>
  <si>
    <t>69:20</t>
  </si>
  <si>
    <t>71:21</t>
  </si>
  <si>
    <t>406741</t>
  </si>
  <si>
    <t>48</t>
  </si>
  <si>
    <t>Nikolić</t>
  </si>
  <si>
    <t>Matko</t>
  </si>
  <si>
    <t>36:00</t>
  </si>
  <si>
    <t>111:06</t>
  </si>
  <si>
    <t>75:06</t>
  </si>
  <si>
    <t>01:47</t>
  </si>
  <si>
    <t>07:25</t>
  </si>
  <si>
    <t>27:07</t>
  </si>
  <si>
    <t>37:00</t>
  </si>
  <si>
    <t>40:52</t>
  </si>
  <si>
    <t>56:23</t>
  </si>
  <si>
    <t>60:58</t>
  </si>
  <si>
    <t>71:56</t>
  </si>
  <si>
    <t>74:15</t>
  </si>
  <si>
    <t>410651</t>
  </si>
  <si>
    <t>122</t>
  </si>
  <si>
    <t>Lesjak</t>
  </si>
  <si>
    <t>Karlo</t>
  </si>
  <si>
    <t>30:00</t>
  </si>
  <si>
    <t>110:20</t>
  </si>
  <si>
    <t>80:20</t>
  </si>
  <si>
    <t>02:05</t>
  </si>
  <si>
    <t>13:33</t>
  </si>
  <si>
    <t>33:01</t>
  </si>
  <si>
    <t>43:03</t>
  </si>
  <si>
    <t>46:54</t>
  </si>
  <si>
    <t>62:30</t>
  </si>
  <si>
    <t>66:54</t>
  </si>
  <si>
    <t>77:51</t>
  </si>
  <si>
    <t>79:47</t>
  </si>
  <si>
    <t>219392</t>
  </si>
  <si>
    <t>224</t>
  </si>
  <si>
    <t>Marko</t>
  </si>
  <si>
    <t>12:00</t>
  </si>
  <si>
    <t>107:20</t>
  </si>
  <si>
    <t>95:20</t>
  </si>
  <si>
    <t>01:38</t>
  </si>
  <si>
    <t>08:58</t>
  </si>
  <si>
    <t>42:10</t>
  </si>
  <si>
    <t>51:46</t>
  </si>
  <si>
    <t>54:24</t>
  </si>
  <si>
    <t>67:23</t>
  </si>
  <si>
    <t>88:49</t>
  </si>
  <si>
    <t>92:17</t>
  </si>
  <si>
    <t>94:13</t>
  </si>
  <si>
    <t>2115772</t>
  </si>
  <si>
    <t>156</t>
  </si>
  <si>
    <t>Sučić</t>
  </si>
  <si>
    <t>09:00</t>
  </si>
  <si>
    <t>111:00</t>
  </si>
  <si>
    <t>102:00</t>
  </si>
  <si>
    <t>06:21</t>
  </si>
  <si>
    <t>12:54</t>
  </si>
  <si>
    <t>57:04</t>
  </si>
  <si>
    <t>64:25</t>
  </si>
  <si>
    <t>68:01</t>
  </si>
  <si>
    <t>84:05</t>
  </si>
  <si>
    <t>88:07</t>
  </si>
  <si>
    <t>99:18</t>
  </si>
  <si>
    <t>101:19</t>
  </si>
  <si>
    <t>2115776</t>
  </si>
  <si>
    <t>104</t>
  </si>
  <si>
    <t>Ilić</t>
  </si>
  <si>
    <t>Tristan</t>
  </si>
  <si>
    <t>21:00</t>
  </si>
  <si>
    <t>327</t>
  </si>
  <si>
    <t>18:00</t>
  </si>
  <si>
    <t>326</t>
  </si>
  <si>
    <t>06:00</t>
  </si>
  <si>
    <t>1020030</t>
  </si>
  <si>
    <t>167</t>
  </si>
  <si>
    <t>Hodak</t>
  </si>
  <si>
    <t>Janko</t>
  </si>
  <si>
    <t>27:00</t>
  </si>
  <si>
    <t>237558</t>
  </si>
  <si>
    <t>124</t>
  </si>
  <si>
    <t>17:00</t>
  </si>
  <si>
    <t>54:06</t>
  </si>
  <si>
    <t>37:06</t>
  </si>
  <si>
    <t>M16</t>
  </si>
  <si>
    <t>28</t>
  </si>
  <si>
    <t>3.91</t>
  </si>
  <si>
    <t>125</t>
  </si>
  <si>
    <t>61</t>
  </si>
  <si>
    <t>09:42</t>
  </si>
  <si>
    <t>64</t>
  </si>
  <si>
    <t>12:42</t>
  </si>
  <si>
    <t>39</t>
  </si>
  <si>
    <t>21:53</t>
  </si>
  <si>
    <t>63</t>
  </si>
  <si>
    <t>25:57</t>
  </si>
  <si>
    <t>31:21</t>
  </si>
  <si>
    <t>34:03</t>
  </si>
  <si>
    <t>35:29</t>
  </si>
  <si>
    <t>36:41</t>
  </si>
  <si>
    <t>1422007</t>
  </si>
  <si>
    <t>185</t>
  </si>
  <si>
    <t>Strmečki</t>
  </si>
  <si>
    <t>Vibor</t>
  </si>
  <si>
    <t>02:00</t>
  </si>
  <si>
    <t>42:04</t>
  </si>
  <si>
    <t>40:04</t>
  </si>
  <si>
    <t>09:38</t>
  </si>
  <si>
    <t>13:17</t>
  </si>
  <si>
    <t>19:07</t>
  </si>
  <si>
    <t>24:57</t>
  </si>
  <si>
    <t>33:28</t>
  </si>
  <si>
    <t>36:10</t>
  </si>
  <si>
    <t>38:06</t>
  </si>
  <si>
    <t>39:26</t>
  </si>
  <si>
    <t>2141169</t>
  </si>
  <si>
    <t>280</t>
  </si>
  <si>
    <t>Milković</t>
  </si>
  <si>
    <t>Patrick</t>
  </si>
  <si>
    <t>11:00</t>
  </si>
  <si>
    <t>61:15</t>
  </si>
  <si>
    <t>50:15</t>
  </si>
  <si>
    <t>07:21</t>
  </si>
  <si>
    <t>12:41</t>
  </si>
  <si>
    <t>19:05</t>
  </si>
  <si>
    <t>28:30</t>
  </si>
  <si>
    <t>37:25</t>
  </si>
  <si>
    <t>46:11</t>
  </si>
  <si>
    <t>47:55</t>
  </si>
  <si>
    <t>49:43</t>
  </si>
  <si>
    <t>2115762</t>
  </si>
  <si>
    <t>254</t>
  </si>
  <si>
    <t>Jurač</t>
  </si>
  <si>
    <t>26:00</t>
  </si>
  <si>
    <t>99:05</t>
  </si>
  <si>
    <t>73:05</t>
  </si>
  <si>
    <t>20:56</t>
  </si>
  <si>
    <t>32:31</t>
  </si>
  <si>
    <t>40:09</t>
  </si>
  <si>
    <t>48:06</t>
  </si>
  <si>
    <t>63:31</t>
  </si>
  <si>
    <t>66:46</t>
  </si>
  <si>
    <t>71:05</t>
  </si>
  <si>
    <t>72:29</t>
  </si>
  <si>
    <t>237592</t>
  </si>
  <si>
    <t>238</t>
  </si>
  <si>
    <t>Kuzmanić</t>
  </si>
  <si>
    <t>Borna</t>
  </si>
  <si>
    <t>23:00</t>
  </si>
  <si>
    <t>98:35</t>
  </si>
  <si>
    <t>75:35</t>
  </si>
  <si>
    <t>25:24</t>
  </si>
  <si>
    <t>31:41</t>
  </si>
  <si>
    <t>40:55</t>
  </si>
  <si>
    <t>50:21</t>
  </si>
  <si>
    <t>66:36</t>
  </si>
  <si>
    <t>69:52</t>
  </si>
  <si>
    <t>72:48</t>
  </si>
  <si>
    <t>74:58</t>
  </si>
  <si>
    <t>406735</t>
  </si>
  <si>
    <t>Vukelić</t>
  </si>
  <si>
    <t>Juraj</t>
  </si>
  <si>
    <t>14:00</t>
  </si>
  <si>
    <t>237599</t>
  </si>
  <si>
    <t>268</t>
  </si>
  <si>
    <t>Jelinić</t>
  </si>
  <si>
    <t>Mark</t>
  </si>
  <si>
    <t>29:00</t>
  </si>
  <si>
    <t>325</t>
  </si>
  <si>
    <t>32:00</t>
  </si>
  <si>
    <t>237608</t>
  </si>
  <si>
    <t>102</t>
  </si>
  <si>
    <t>Jandras</t>
  </si>
  <si>
    <t>Goran</t>
  </si>
  <si>
    <t>20:00</t>
  </si>
  <si>
    <t>71:32</t>
  </si>
  <si>
    <t>51:32</t>
  </si>
  <si>
    <t>08:20</t>
  </si>
  <si>
    <t>20:59</t>
  </si>
  <si>
    <t>27:51</t>
  </si>
  <si>
    <t>42:34</t>
  </si>
  <si>
    <t>46:13</t>
  </si>
  <si>
    <t>49:33</t>
  </si>
  <si>
    <t>51:00</t>
  </si>
  <si>
    <t>893801</t>
  </si>
  <si>
    <t>Yelen</t>
  </si>
  <si>
    <t>Kaan</t>
  </si>
  <si>
    <t>08:00</t>
  </si>
  <si>
    <t>123:18</t>
  </si>
  <si>
    <t>115:18</t>
  </si>
  <si>
    <t>77:52</t>
  </si>
  <si>
    <t>81:35</t>
  </si>
  <si>
    <t>114:36</t>
  </si>
  <si>
    <t>324</t>
  </si>
  <si>
    <t>05:00</t>
  </si>
  <si>
    <t>8135002</t>
  </si>
  <si>
    <t>58</t>
  </si>
  <si>
    <t>Gobec</t>
  </si>
  <si>
    <t>Jan</t>
  </si>
  <si>
    <t>59:38</t>
  </si>
  <si>
    <t>51:38</t>
  </si>
  <si>
    <t>M20</t>
  </si>
  <si>
    <t>29</t>
  </si>
  <si>
    <t>5.91</t>
  </si>
  <si>
    <t>290</t>
  </si>
  <si>
    <t>41</t>
  </si>
  <si>
    <t>09:51</t>
  </si>
  <si>
    <t>71</t>
  </si>
  <si>
    <t>14:39</t>
  </si>
  <si>
    <t>47</t>
  </si>
  <si>
    <t>19:28</t>
  </si>
  <si>
    <t>45</t>
  </si>
  <si>
    <t>50</t>
  </si>
  <si>
    <t>26:20</t>
  </si>
  <si>
    <t>46</t>
  </si>
  <si>
    <t>28:17</t>
  </si>
  <si>
    <t>49</t>
  </si>
  <si>
    <t>30:07</t>
  </si>
  <si>
    <t>62</t>
  </si>
  <si>
    <t>48:31</t>
  </si>
  <si>
    <t>55</t>
  </si>
  <si>
    <t>50:48</t>
  </si>
  <si>
    <t>51:11</t>
  </si>
  <si>
    <t>1289347</t>
  </si>
  <si>
    <t>202</t>
  </si>
  <si>
    <t>Kukec</t>
  </si>
  <si>
    <t>Jura</t>
  </si>
  <si>
    <t>101:33</t>
  </si>
  <si>
    <t>65:33</t>
  </si>
  <si>
    <t>11:27</t>
  </si>
  <si>
    <t>19:21</t>
  </si>
  <si>
    <t>23:38</t>
  </si>
  <si>
    <t>26:58</t>
  </si>
  <si>
    <t>37:03</t>
  </si>
  <si>
    <t>61:48</t>
  </si>
  <si>
    <t>64:30</t>
  </si>
  <si>
    <t>65:10</t>
  </si>
  <si>
    <t>585858</t>
  </si>
  <si>
    <t>255</t>
  </si>
  <si>
    <t>28:00</t>
  </si>
  <si>
    <t>101:48</t>
  </si>
  <si>
    <t>73:48</t>
  </si>
  <si>
    <t>10:29</t>
  </si>
  <si>
    <t>18:49</t>
  </si>
  <si>
    <t>23:25</t>
  </si>
  <si>
    <t>26:27</t>
  </si>
  <si>
    <t>33:19</t>
  </si>
  <si>
    <t>35:40</t>
  </si>
  <si>
    <t>42:06</t>
  </si>
  <si>
    <t>70:01</t>
  </si>
  <si>
    <t>72:40</t>
  </si>
  <si>
    <t>7000638</t>
  </si>
  <si>
    <t>Kolarek</t>
  </si>
  <si>
    <t>Noa</t>
  </si>
  <si>
    <t>101:41</t>
  </si>
  <si>
    <t>81:41</t>
  </si>
  <si>
    <t>13:45</t>
  </si>
  <si>
    <t>23:24</t>
  </si>
  <si>
    <t>30:06</t>
  </si>
  <si>
    <t>34:43</t>
  </si>
  <si>
    <t>41:15</t>
  </si>
  <si>
    <t>43:34</t>
  </si>
  <si>
    <t>50:04</t>
  </si>
  <si>
    <t>77:53</t>
  </si>
  <si>
    <t>80:34</t>
  </si>
  <si>
    <t>81:12</t>
  </si>
  <si>
    <t>2113338</t>
  </si>
  <si>
    <t>188</t>
  </si>
  <si>
    <t>Kocijan</t>
  </si>
  <si>
    <t>121:46</t>
  </si>
  <si>
    <t>97:46</t>
  </si>
  <si>
    <t>25:05</t>
  </si>
  <si>
    <t>41:36</t>
  </si>
  <si>
    <t>45:54</t>
  </si>
  <si>
    <t>53:52</t>
  </si>
  <si>
    <t>56:38</t>
  </si>
  <si>
    <t>60:24</t>
  </si>
  <si>
    <t>93:15</t>
  </si>
  <si>
    <t>96:42</t>
  </si>
  <si>
    <t>97:12</t>
  </si>
  <si>
    <t>8656792</t>
  </si>
  <si>
    <t>115</t>
  </si>
  <si>
    <t>Pevec</t>
  </si>
  <si>
    <t>Ozren</t>
  </si>
  <si>
    <t>16:00</t>
  </si>
  <si>
    <t>173:07</t>
  </si>
  <si>
    <t>157:07</t>
  </si>
  <si>
    <t>19:52</t>
  </si>
  <si>
    <t>43:00</t>
  </si>
  <si>
    <t>49:28</t>
  </si>
  <si>
    <t>54:16</t>
  </si>
  <si>
    <t>78:09</t>
  </si>
  <si>
    <t>83:24</t>
  </si>
  <si>
    <t>90:36</t>
  </si>
  <si>
    <t>150:32</t>
  </si>
  <si>
    <t>155:40</t>
  </si>
  <si>
    <t>156:36</t>
  </si>
  <si>
    <t>322</t>
  </si>
  <si>
    <t>04:00</t>
  </si>
  <si>
    <t>446317</t>
  </si>
  <si>
    <t>191</t>
  </si>
  <si>
    <t>Cindrić</t>
  </si>
  <si>
    <t>Antonio</t>
  </si>
  <si>
    <t>323</t>
  </si>
  <si>
    <t>40:00</t>
  </si>
  <si>
    <t>2113340</t>
  </si>
  <si>
    <t>184</t>
  </si>
  <si>
    <t>Pasquino</t>
  </si>
  <si>
    <t>104:22</t>
  </si>
  <si>
    <t>72:22</t>
  </si>
  <si>
    <t>43:39</t>
  </si>
  <si>
    <t>71:00</t>
  </si>
  <si>
    <t>887794</t>
  </si>
  <si>
    <t>Hribar</t>
  </si>
  <si>
    <t>Andraž</t>
  </si>
  <si>
    <t>60:00</t>
  </si>
  <si>
    <t>123:39</t>
  </si>
  <si>
    <t>63:39</t>
  </si>
  <si>
    <t>M21A</t>
  </si>
  <si>
    <t>24</t>
  </si>
  <si>
    <t>9.14</t>
  </si>
  <si>
    <t>460</t>
  </si>
  <si>
    <t>17</t>
  </si>
  <si>
    <t>43</t>
  </si>
  <si>
    <t>07:28</t>
  </si>
  <si>
    <t>56</t>
  </si>
  <si>
    <t>10:25</t>
  </si>
  <si>
    <t>11:38</t>
  </si>
  <si>
    <t>15:06</t>
  </si>
  <si>
    <t>18:36</t>
  </si>
  <si>
    <t>21:13</t>
  </si>
  <si>
    <t>22:15</t>
  </si>
  <si>
    <t>23:31</t>
  </si>
  <si>
    <t>31</t>
  </si>
  <si>
    <t>40:34</t>
  </si>
  <si>
    <t>51</t>
  </si>
  <si>
    <t>42:26</t>
  </si>
  <si>
    <t>32</t>
  </si>
  <si>
    <t>43:56</t>
  </si>
  <si>
    <t>33</t>
  </si>
  <si>
    <t>47:29</t>
  </si>
  <si>
    <t>52</t>
  </si>
  <si>
    <t>53:17</t>
  </si>
  <si>
    <t>53</t>
  </si>
  <si>
    <t>55:32</t>
  </si>
  <si>
    <t>54</t>
  </si>
  <si>
    <t>61:40</t>
  </si>
  <si>
    <t>62:45</t>
  </si>
  <si>
    <t>63:11</t>
  </si>
  <si>
    <t>8221221</t>
  </si>
  <si>
    <t>291</t>
  </si>
  <si>
    <t>Razum</t>
  </si>
  <si>
    <t>Matija</t>
  </si>
  <si>
    <t>34:00</t>
  </si>
  <si>
    <t>98:05</t>
  </si>
  <si>
    <t>64:05</t>
  </si>
  <si>
    <t>08:47</t>
  </si>
  <si>
    <t>11:30</t>
  </si>
  <si>
    <t>12:43</t>
  </si>
  <si>
    <t>15:49</t>
  </si>
  <si>
    <t>22:14</t>
  </si>
  <si>
    <t>23:47</t>
  </si>
  <si>
    <t>26:44</t>
  </si>
  <si>
    <t>42:52</t>
  </si>
  <si>
    <t>44:35</t>
  </si>
  <si>
    <t>48:15</t>
  </si>
  <si>
    <t>54:46</t>
  </si>
  <si>
    <t>56:44</t>
  </si>
  <si>
    <t>62:17</t>
  </si>
  <si>
    <t>63:18</t>
  </si>
  <si>
    <t>63:40</t>
  </si>
  <si>
    <t>7910421</t>
  </si>
  <si>
    <t>Horvat</t>
  </si>
  <si>
    <t>Lobel</t>
  </si>
  <si>
    <t>96:16</t>
  </si>
  <si>
    <t>70:16</t>
  </si>
  <si>
    <t>09:16</t>
  </si>
  <si>
    <t>12:05</t>
  </si>
  <si>
    <t>13:19</t>
  </si>
  <si>
    <t>17:42</t>
  </si>
  <si>
    <t>21:50</t>
  </si>
  <si>
    <t>24:36</t>
  </si>
  <si>
    <t>26:01</t>
  </si>
  <si>
    <t>27:41</t>
  </si>
  <si>
    <t>46:55</t>
  </si>
  <si>
    <t>48:44</t>
  </si>
  <si>
    <t>50:12</t>
  </si>
  <si>
    <t>53:16</t>
  </si>
  <si>
    <t>59:25</t>
  </si>
  <si>
    <t>68:12</t>
  </si>
  <si>
    <t>69:26</t>
  </si>
  <si>
    <t>69:51</t>
  </si>
  <si>
    <t>7210949</t>
  </si>
  <si>
    <t>244</t>
  </si>
  <si>
    <t>Gadžić</t>
  </si>
  <si>
    <t>Dražen</t>
  </si>
  <si>
    <t>46:00</t>
  </si>
  <si>
    <t>122:29</t>
  </si>
  <si>
    <t>76:29</t>
  </si>
  <si>
    <t>08:48</t>
  </si>
  <si>
    <t>11:26</t>
  </si>
  <si>
    <t>17:03</t>
  </si>
  <si>
    <t>20:58</t>
  </si>
  <si>
    <t>23:02</t>
  </si>
  <si>
    <t>24:13</t>
  </si>
  <si>
    <t>25:58</t>
  </si>
  <si>
    <t>47:19</t>
  </si>
  <si>
    <t>49:07</t>
  </si>
  <si>
    <t>50:52</t>
  </si>
  <si>
    <t>54:11</t>
  </si>
  <si>
    <t>63:16</t>
  </si>
  <si>
    <t>66:03</t>
  </si>
  <si>
    <t>74:28</t>
  </si>
  <si>
    <t>75:43</t>
  </si>
  <si>
    <t>76:05</t>
  </si>
  <si>
    <t>222940</t>
  </si>
  <si>
    <t>250</t>
  </si>
  <si>
    <t>Vujanić</t>
  </si>
  <si>
    <t>109:45</t>
  </si>
  <si>
    <t>91:45</t>
  </si>
  <si>
    <t>11:21</t>
  </si>
  <si>
    <t>16:06</t>
  </si>
  <si>
    <t>17:34</t>
  </si>
  <si>
    <t>27:32</t>
  </si>
  <si>
    <t>29:56</t>
  </si>
  <si>
    <t>31:25</t>
  </si>
  <si>
    <t>33:40</t>
  </si>
  <si>
    <t>57:27</t>
  </si>
  <si>
    <t>60:51</t>
  </si>
  <si>
    <t>62:42</t>
  </si>
  <si>
    <t>68:21</t>
  </si>
  <si>
    <t>78:01</t>
  </si>
  <si>
    <t>80:35</t>
  </si>
  <si>
    <t>89:14</t>
  </si>
  <si>
    <t>90:50</t>
  </si>
  <si>
    <t>91:16</t>
  </si>
  <si>
    <t>2442560</t>
  </si>
  <si>
    <t>249</t>
  </si>
  <si>
    <t>Josip</t>
  </si>
  <si>
    <t>10:00</t>
  </si>
  <si>
    <t>102:46</t>
  </si>
  <si>
    <t>92:46</t>
  </si>
  <si>
    <t>10:46</t>
  </si>
  <si>
    <t>17:35</t>
  </si>
  <si>
    <t>22:13</t>
  </si>
  <si>
    <t>28:09</t>
  </si>
  <si>
    <t>30:24</t>
  </si>
  <si>
    <t>32:04</t>
  </si>
  <si>
    <t>34:47</t>
  </si>
  <si>
    <t>56:31</t>
  </si>
  <si>
    <t>58:58</t>
  </si>
  <si>
    <t>60:52</t>
  </si>
  <si>
    <t>67:03</t>
  </si>
  <si>
    <t>75:31</t>
  </si>
  <si>
    <t>78:20</t>
  </si>
  <si>
    <t>89:50</t>
  </si>
  <si>
    <t>91:43</t>
  </si>
  <si>
    <t>92:11</t>
  </si>
  <si>
    <t>893831</t>
  </si>
  <si>
    <t>145</t>
  </si>
  <si>
    <t>Varnica</t>
  </si>
  <si>
    <t>Tomislav</t>
  </si>
  <si>
    <t>22:00</t>
  </si>
  <si>
    <t>121:28</t>
  </si>
  <si>
    <t>99:28</t>
  </si>
  <si>
    <t>15:01</t>
  </si>
  <si>
    <t>19:11</t>
  </si>
  <si>
    <t>21:16</t>
  </si>
  <si>
    <t>27:13</t>
  </si>
  <si>
    <t>33:17</t>
  </si>
  <si>
    <t>36:07</t>
  </si>
  <si>
    <t>37:37</t>
  </si>
  <si>
    <t>40:19</t>
  </si>
  <si>
    <t>65:53</t>
  </si>
  <si>
    <t>68:40</t>
  </si>
  <si>
    <t>70:45</t>
  </si>
  <si>
    <t>75:08</t>
  </si>
  <si>
    <t>84:27</t>
  </si>
  <si>
    <t>87:33</t>
  </si>
  <si>
    <t>96:52</t>
  </si>
  <si>
    <t>98:29</t>
  </si>
  <si>
    <t>99:00</t>
  </si>
  <si>
    <t>7777733</t>
  </si>
  <si>
    <t>206</t>
  </si>
  <si>
    <t>Marković</t>
  </si>
  <si>
    <t>Frane</t>
  </si>
  <si>
    <t>103:54</t>
  </si>
  <si>
    <t>101:54</t>
  </si>
  <si>
    <t>19:49</t>
  </si>
  <si>
    <t>25:44</t>
  </si>
  <si>
    <t>31:13</t>
  </si>
  <si>
    <t>33:53</t>
  </si>
  <si>
    <t>35:49</t>
  </si>
  <si>
    <t>38:49</t>
  </si>
  <si>
    <t>64:27</t>
  </si>
  <si>
    <t>67:08</t>
  </si>
  <si>
    <t>69:07</t>
  </si>
  <si>
    <t>75:01</t>
  </si>
  <si>
    <t>84:41</t>
  </si>
  <si>
    <t>88:17</t>
  </si>
  <si>
    <t>98:37</t>
  </si>
  <si>
    <t>100:25</t>
  </si>
  <si>
    <t>101:15</t>
  </si>
  <si>
    <t>899007</t>
  </si>
  <si>
    <t>110</t>
  </si>
  <si>
    <t>Berković</t>
  </si>
  <si>
    <t>Vedran</t>
  </si>
  <si>
    <t>155:48</t>
  </si>
  <si>
    <t>125:48</t>
  </si>
  <si>
    <t>14:35</t>
  </si>
  <si>
    <t>19:36</t>
  </si>
  <si>
    <t>26:12</t>
  </si>
  <si>
    <t>32:57</t>
  </si>
  <si>
    <t>38:36</t>
  </si>
  <si>
    <t>44:54</t>
  </si>
  <si>
    <t>47:57</t>
  </si>
  <si>
    <t>78:50</t>
  </si>
  <si>
    <t>81:57</t>
  </si>
  <si>
    <t>84:25</t>
  </si>
  <si>
    <t>89:37</t>
  </si>
  <si>
    <t>103:57</t>
  </si>
  <si>
    <t>108:34</t>
  </si>
  <si>
    <t>119:44</t>
  </si>
  <si>
    <t>124:18</t>
  </si>
  <si>
    <t>125:08</t>
  </si>
  <si>
    <t>446318</t>
  </si>
  <si>
    <t>248</t>
  </si>
  <si>
    <t>Košćica</t>
  </si>
  <si>
    <t>Miran</t>
  </si>
  <si>
    <t>42:00</t>
  </si>
  <si>
    <t>171:16</t>
  </si>
  <si>
    <t>129:16</t>
  </si>
  <si>
    <t>18:09</t>
  </si>
  <si>
    <t>22:43</t>
  </si>
  <si>
    <t>24:29</t>
  </si>
  <si>
    <t>30:04</t>
  </si>
  <si>
    <t>35:10</t>
  </si>
  <si>
    <t>39:19</t>
  </si>
  <si>
    <t>40:41</t>
  </si>
  <si>
    <t>42:59</t>
  </si>
  <si>
    <t>85:19</t>
  </si>
  <si>
    <t>91:01</t>
  </si>
  <si>
    <t>93:11</t>
  </si>
  <si>
    <t>97:14</t>
  </si>
  <si>
    <t>111:29</t>
  </si>
  <si>
    <t>115:07</t>
  </si>
  <si>
    <t>126:23</t>
  </si>
  <si>
    <t>128:01</t>
  </si>
  <si>
    <t>128:38</t>
  </si>
  <si>
    <t>308</t>
  </si>
  <si>
    <t>38:00</t>
  </si>
  <si>
    <t>309</t>
  </si>
  <si>
    <t>8009715</t>
  </si>
  <si>
    <t>80</t>
  </si>
  <si>
    <t>Filetin</t>
  </si>
  <si>
    <t>500739</t>
  </si>
  <si>
    <t>120</t>
  </si>
  <si>
    <t>Jelić</t>
  </si>
  <si>
    <t>Ivor</t>
  </si>
  <si>
    <t>80:00</t>
  </si>
  <si>
    <t>122:32</t>
  </si>
  <si>
    <t>42:32</t>
  </si>
  <si>
    <t>M21B</t>
  </si>
  <si>
    <t>12:59</t>
  </si>
  <si>
    <t>16:53</t>
  </si>
  <si>
    <t>22:35</t>
  </si>
  <si>
    <t>35:34</t>
  </si>
  <si>
    <t>38:02</t>
  </si>
  <si>
    <t>41:58</t>
  </si>
  <si>
    <t>7209461</t>
  </si>
  <si>
    <t>88</t>
  </si>
  <si>
    <t>Pleše</t>
  </si>
  <si>
    <t>Danko</t>
  </si>
  <si>
    <t>35:00</t>
  </si>
  <si>
    <t>78:55</t>
  </si>
  <si>
    <t>43:55</t>
  </si>
  <si>
    <t>11:11</t>
  </si>
  <si>
    <t>14:33</t>
  </si>
  <si>
    <t>27:03</t>
  </si>
  <si>
    <t>31:40</t>
  </si>
  <si>
    <t>37:18</t>
  </si>
  <si>
    <t>42:15</t>
  </si>
  <si>
    <t>43:27</t>
  </si>
  <si>
    <t>7212119</t>
  </si>
  <si>
    <t>271</t>
  </si>
  <si>
    <t>Timo Vilim</t>
  </si>
  <si>
    <t>107:00</t>
  </si>
  <si>
    <t>152:03</t>
  </si>
  <si>
    <t>45:03</t>
  </si>
  <si>
    <t>10:14</t>
  </si>
  <si>
    <t>14:34</t>
  </si>
  <si>
    <t>21:26</t>
  </si>
  <si>
    <t>27:38</t>
  </si>
  <si>
    <t>35:58</t>
  </si>
  <si>
    <t>42:38</t>
  </si>
  <si>
    <t>44:30</t>
  </si>
  <si>
    <t>2115766</t>
  </si>
  <si>
    <t>234</t>
  </si>
  <si>
    <t>Kučinac</t>
  </si>
  <si>
    <t>116:00</t>
  </si>
  <si>
    <t>161:11</t>
  </si>
  <si>
    <t>45:11</t>
  </si>
  <si>
    <t>11:37</t>
  </si>
  <si>
    <t>15:50</t>
  </si>
  <si>
    <t>24:18</t>
  </si>
  <si>
    <t>29:24</t>
  </si>
  <si>
    <t>37:15</t>
  </si>
  <si>
    <t>43:07</t>
  </si>
  <si>
    <t>44:41</t>
  </si>
  <si>
    <t>236862</t>
  </si>
  <si>
    <t>133</t>
  </si>
  <si>
    <t>Klasić</t>
  </si>
  <si>
    <t>Dominik</t>
  </si>
  <si>
    <t>137:00</t>
  </si>
  <si>
    <t>185:04</t>
  </si>
  <si>
    <t>48:04</t>
  </si>
  <si>
    <t>11:14</t>
  </si>
  <si>
    <t>15:26</t>
  </si>
  <si>
    <t>21:23</t>
  </si>
  <si>
    <t>27:06</t>
  </si>
  <si>
    <t>38:05</t>
  </si>
  <si>
    <t>42:24</t>
  </si>
  <si>
    <t>46:06</t>
  </si>
  <si>
    <t>47:31</t>
  </si>
  <si>
    <t>2030936</t>
  </si>
  <si>
    <t>138</t>
  </si>
  <si>
    <t>Mađarić</t>
  </si>
  <si>
    <t>Predrag</t>
  </si>
  <si>
    <t>131:00</t>
  </si>
  <si>
    <t>181:25</t>
  </si>
  <si>
    <t>50:25</t>
  </si>
  <si>
    <t>14:13</t>
  </si>
  <si>
    <t>18:12</t>
  </si>
  <si>
    <t>23:52</t>
  </si>
  <si>
    <t>29:40</t>
  </si>
  <si>
    <t>45:36</t>
  </si>
  <si>
    <t>48:02</t>
  </si>
  <si>
    <t>49:41</t>
  </si>
  <si>
    <t>337656</t>
  </si>
  <si>
    <t>297</t>
  </si>
  <si>
    <t>Putniković</t>
  </si>
  <si>
    <t>Branimir</t>
  </si>
  <si>
    <t>104:00</t>
  </si>
  <si>
    <t>155:30</t>
  </si>
  <si>
    <t>51:30</t>
  </si>
  <si>
    <t>18:25</t>
  </si>
  <si>
    <t>22:25</t>
  </si>
  <si>
    <t>27:16</t>
  </si>
  <si>
    <t>33:25</t>
  </si>
  <si>
    <t>47:11</t>
  </si>
  <si>
    <t>49:25</t>
  </si>
  <si>
    <t>222408</t>
  </si>
  <si>
    <t>79</t>
  </si>
  <si>
    <t>Kos</t>
  </si>
  <si>
    <t>Zlatan</t>
  </si>
  <si>
    <t>124:23</t>
  </si>
  <si>
    <t>53:23</t>
  </si>
  <si>
    <t>14:14</t>
  </si>
  <si>
    <t>19:30</t>
  </si>
  <si>
    <t>26:40</t>
  </si>
  <si>
    <t>34:55</t>
  </si>
  <si>
    <t>43:59</t>
  </si>
  <si>
    <t>47:18</t>
  </si>
  <si>
    <t>52:33</t>
  </si>
  <si>
    <t>7207151</t>
  </si>
  <si>
    <t>307</t>
  </si>
  <si>
    <t>Malović</t>
  </si>
  <si>
    <t>62:00</t>
  </si>
  <si>
    <t>123:09</t>
  </si>
  <si>
    <t>61:09</t>
  </si>
  <si>
    <t>10:21</t>
  </si>
  <si>
    <t>17:22</t>
  </si>
  <si>
    <t>31:10</t>
  </si>
  <si>
    <t>38:13</t>
  </si>
  <si>
    <t>51:27</t>
  </si>
  <si>
    <t>54:51</t>
  </si>
  <si>
    <t>58:17</t>
  </si>
  <si>
    <t>60:26</t>
  </si>
  <si>
    <t>2300279</t>
  </si>
  <si>
    <t>180</t>
  </si>
  <si>
    <t>Tonković</t>
  </si>
  <si>
    <t>Zdravko</t>
  </si>
  <si>
    <t>99:21</t>
  </si>
  <si>
    <t>61:21</t>
  </si>
  <si>
    <t>15:52</t>
  </si>
  <si>
    <t>20:45</t>
  </si>
  <si>
    <t>28:01</t>
  </si>
  <si>
    <t>36:19</t>
  </si>
  <si>
    <t>51:18</t>
  </si>
  <si>
    <t>55:08</t>
  </si>
  <si>
    <t>58:35</t>
  </si>
  <si>
    <t>60:32</t>
  </si>
  <si>
    <t>237556</t>
  </si>
  <si>
    <t>265</t>
  </si>
  <si>
    <t>Verović</t>
  </si>
  <si>
    <t>Kristijan</t>
  </si>
  <si>
    <t>95:00</t>
  </si>
  <si>
    <t>164:26</t>
  </si>
  <si>
    <t>10:44</t>
  </si>
  <si>
    <t>16:07</t>
  </si>
  <si>
    <t>32:28</t>
  </si>
  <si>
    <t>44:56</t>
  </si>
  <si>
    <t>56:17</t>
  </si>
  <si>
    <t>60:44</t>
  </si>
  <si>
    <t>66:12</t>
  </si>
  <si>
    <t>68:59</t>
  </si>
  <si>
    <t>893849</t>
  </si>
  <si>
    <t>107</t>
  </si>
  <si>
    <t>Burgund</t>
  </si>
  <si>
    <t>134:00</t>
  </si>
  <si>
    <t>205:34</t>
  </si>
  <si>
    <t>71:34</t>
  </si>
  <si>
    <t>12</t>
  </si>
  <si>
    <t>14:22</t>
  </si>
  <si>
    <t>20:55</t>
  </si>
  <si>
    <t>35:50</t>
  </si>
  <si>
    <t>43:52</t>
  </si>
  <si>
    <t>57:08</t>
  </si>
  <si>
    <t>61:20</t>
  </si>
  <si>
    <t>67:35</t>
  </si>
  <si>
    <t>70:39</t>
  </si>
  <si>
    <t>2113388</t>
  </si>
  <si>
    <t>141</t>
  </si>
  <si>
    <t>Siniša</t>
  </si>
  <si>
    <t>56:00</t>
  </si>
  <si>
    <t>131:28</t>
  </si>
  <si>
    <t>75:28</t>
  </si>
  <si>
    <t>13</t>
  </si>
  <si>
    <t>28:25</t>
  </si>
  <si>
    <t>34:19</t>
  </si>
  <si>
    <t>41:27</t>
  </si>
  <si>
    <t>50:23</t>
  </si>
  <si>
    <t>62:16</t>
  </si>
  <si>
    <t>67:14</t>
  </si>
  <si>
    <t>71:51</t>
  </si>
  <si>
    <t>74:42</t>
  </si>
  <si>
    <t>222417</t>
  </si>
  <si>
    <t>Klement</t>
  </si>
  <si>
    <t>Tihomir</t>
  </si>
  <si>
    <t>138:50</t>
  </si>
  <si>
    <t>85:50</t>
  </si>
  <si>
    <t>14</t>
  </si>
  <si>
    <t>33:06</t>
  </si>
  <si>
    <t>39:08</t>
  </si>
  <si>
    <t>47:34</t>
  </si>
  <si>
    <t>56:59</t>
  </si>
  <si>
    <t>69:59</t>
  </si>
  <si>
    <t>76:56</t>
  </si>
  <si>
    <t>82:03</t>
  </si>
  <si>
    <t>84:55</t>
  </si>
  <si>
    <t>222402</t>
  </si>
  <si>
    <t>83</t>
  </si>
  <si>
    <t>Valjak</t>
  </si>
  <si>
    <t>Željko</t>
  </si>
  <si>
    <t>83:00</t>
  </si>
  <si>
    <t>169:08</t>
  </si>
  <si>
    <t>86:08</t>
  </si>
  <si>
    <t>15</t>
  </si>
  <si>
    <t>10:41</t>
  </si>
  <si>
    <t>25:50</t>
  </si>
  <si>
    <t>60:21</t>
  </si>
  <si>
    <t>72:52</t>
  </si>
  <si>
    <t>78:11</t>
  </si>
  <si>
    <t>82:42</t>
  </si>
  <si>
    <t>85:16</t>
  </si>
  <si>
    <t>2118094</t>
  </si>
  <si>
    <t>235</t>
  </si>
  <si>
    <t>Vodopija</t>
  </si>
  <si>
    <t>Dario</t>
  </si>
  <si>
    <t>47:00</t>
  </si>
  <si>
    <t>138:02</t>
  </si>
  <si>
    <t>91:02</t>
  </si>
  <si>
    <t>16</t>
  </si>
  <si>
    <t>38:44</t>
  </si>
  <si>
    <t>44:57</t>
  </si>
  <si>
    <t>53:21</t>
  </si>
  <si>
    <t>62:51</t>
  </si>
  <si>
    <t>75:45</t>
  </si>
  <si>
    <t>82:47</t>
  </si>
  <si>
    <t>87:55</t>
  </si>
  <si>
    <t>90:33</t>
  </si>
  <si>
    <t>2030934</t>
  </si>
  <si>
    <t>139</t>
  </si>
  <si>
    <t>Šantek</t>
  </si>
  <si>
    <t>74:00</t>
  </si>
  <si>
    <t>166:27</t>
  </si>
  <si>
    <t>92:27</t>
  </si>
  <si>
    <t>44:38</t>
  </si>
  <si>
    <t>49:53</t>
  </si>
  <si>
    <t>60:03</t>
  </si>
  <si>
    <t>69:40</t>
  </si>
  <si>
    <t>82:57</t>
  </si>
  <si>
    <t>86:38</t>
  </si>
  <si>
    <t>89:26</t>
  </si>
  <si>
    <t>222415</t>
  </si>
  <si>
    <t>Kavečić</t>
  </si>
  <si>
    <t>Domagoj</t>
  </si>
  <si>
    <t>92:00</t>
  </si>
  <si>
    <t>185:45</t>
  </si>
  <si>
    <t>93:45</t>
  </si>
  <si>
    <t>18</t>
  </si>
  <si>
    <t>38:03</t>
  </si>
  <si>
    <t>53:13</t>
  </si>
  <si>
    <t>62:24</t>
  </si>
  <si>
    <t>69:33</t>
  </si>
  <si>
    <t>83:20</t>
  </si>
  <si>
    <t>87:12</t>
  </si>
  <si>
    <t>91:24</t>
  </si>
  <si>
    <t>93:02</t>
  </si>
  <si>
    <t>893830</t>
  </si>
  <si>
    <t>152</t>
  </si>
  <si>
    <t>Težak</t>
  </si>
  <si>
    <t>187:29</t>
  </si>
  <si>
    <t>19</t>
  </si>
  <si>
    <t>18:28</t>
  </si>
  <si>
    <t>22:53</t>
  </si>
  <si>
    <t>67:24</t>
  </si>
  <si>
    <t>74:52</t>
  </si>
  <si>
    <t>87:42</t>
  </si>
  <si>
    <t>92:05</t>
  </si>
  <si>
    <t>96:14</t>
  </si>
  <si>
    <t>98:02</t>
  </si>
  <si>
    <t>8190186</t>
  </si>
  <si>
    <t>193</t>
  </si>
  <si>
    <t>Klarić</t>
  </si>
  <si>
    <t>Vjekoslav</t>
  </si>
  <si>
    <t>86:00</t>
  </si>
  <si>
    <t>185:32</t>
  </si>
  <si>
    <t>99:32</t>
  </si>
  <si>
    <t>20</t>
  </si>
  <si>
    <t>26:33</t>
  </si>
  <si>
    <t>33:38</t>
  </si>
  <si>
    <t>60:47</t>
  </si>
  <si>
    <t>71:54</t>
  </si>
  <si>
    <t>90:01</t>
  </si>
  <si>
    <t>93:17</t>
  </si>
  <si>
    <t>97:10</t>
  </si>
  <si>
    <t>98:51</t>
  </si>
  <si>
    <t>406866</t>
  </si>
  <si>
    <t>91</t>
  </si>
  <si>
    <t>50:00</t>
  </si>
  <si>
    <t>149:52</t>
  </si>
  <si>
    <t>99:52</t>
  </si>
  <si>
    <t>21</t>
  </si>
  <si>
    <t>19:25</t>
  </si>
  <si>
    <t>26:38</t>
  </si>
  <si>
    <t>35:32</t>
  </si>
  <si>
    <t>46:02</t>
  </si>
  <si>
    <t>82:00</t>
  </si>
  <si>
    <t>88:51</t>
  </si>
  <si>
    <t>96:05</t>
  </si>
  <si>
    <t>99:08</t>
  </si>
  <si>
    <t>222409</t>
  </si>
  <si>
    <t>78</t>
  </si>
  <si>
    <t>Martinović</t>
  </si>
  <si>
    <t>Dino</t>
  </si>
  <si>
    <t>101:00</t>
  </si>
  <si>
    <t>207:29</t>
  </si>
  <si>
    <t>106:29</t>
  </si>
  <si>
    <t>22</t>
  </si>
  <si>
    <t>35:24</t>
  </si>
  <si>
    <t>41:05</t>
  </si>
  <si>
    <t>63:02</t>
  </si>
  <si>
    <t>73:55</t>
  </si>
  <si>
    <t>86:51</t>
  </si>
  <si>
    <t>96:32</t>
  </si>
  <si>
    <t>103:07</t>
  </si>
  <si>
    <t>105:45</t>
  </si>
  <si>
    <t>222410</t>
  </si>
  <si>
    <t>75</t>
  </si>
  <si>
    <t>Cimperšak Žigrović</t>
  </si>
  <si>
    <t>Jurica</t>
  </si>
  <si>
    <t>113:00</t>
  </si>
  <si>
    <t>220:35</t>
  </si>
  <si>
    <t>107:35</t>
  </si>
  <si>
    <t>43:20</t>
  </si>
  <si>
    <t>53:44</t>
  </si>
  <si>
    <t>62:44</t>
  </si>
  <si>
    <t>69:38</t>
  </si>
  <si>
    <t>96:34</t>
  </si>
  <si>
    <t>99:56</t>
  </si>
  <si>
    <t>104:23</t>
  </si>
  <si>
    <t>106:46</t>
  </si>
  <si>
    <t>418498</t>
  </si>
  <si>
    <t>94</t>
  </si>
  <si>
    <t>Lozančić</t>
  </si>
  <si>
    <t>Franjo</t>
  </si>
  <si>
    <t>128:00</t>
  </si>
  <si>
    <t>235:41</t>
  </si>
  <si>
    <t>107:41</t>
  </si>
  <si>
    <t>28:54</t>
  </si>
  <si>
    <t>34:46</t>
  </si>
  <si>
    <t>43:50</t>
  </si>
  <si>
    <t>82:35</t>
  </si>
  <si>
    <t>93:06</t>
  </si>
  <si>
    <t>97:03</t>
  </si>
  <si>
    <t>105:22</t>
  </si>
  <si>
    <t>107:03</t>
  </si>
  <si>
    <t>232289</t>
  </si>
  <si>
    <t>Trčak</t>
  </si>
  <si>
    <t>Emil</t>
  </si>
  <si>
    <t>125:00</t>
  </si>
  <si>
    <t>236:44</t>
  </si>
  <si>
    <t>111:44</t>
  </si>
  <si>
    <t>25</t>
  </si>
  <si>
    <t>32:35</t>
  </si>
  <si>
    <t>42:44</t>
  </si>
  <si>
    <t>50:22</t>
  </si>
  <si>
    <t>58:03</t>
  </si>
  <si>
    <t>82:58</t>
  </si>
  <si>
    <t>100:47</t>
  </si>
  <si>
    <t>108:46</t>
  </si>
  <si>
    <t>110:27</t>
  </si>
  <si>
    <t>345974</t>
  </si>
  <si>
    <t>101</t>
  </si>
  <si>
    <t>Hrvoje</t>
  </si>
  <si>
    <t>98:00</t>
  </si>
  <si>
    <t>220:34</t>
  </si>
  <si>
    <t>122:34</t>
  </si>
  <si>
    <t>59:03</t>
  </si>
  <si>
    <t>77:48</t>
  </si>
  <si>
    <t>84:22</t>
  </si>
  <si>
    <t>111:38</t>
  </si>
  <si>
    <t>115:09</t>
  </si>
  <si>
    <t>119:20</t>
  </si>
  <si>
    <t>121:39</t>
  </si>
  <si>
    <t>439280</t>
  </si>
  <si>
    <t>93</t>
  </si>
  <si>
    <t>Lucić</t>
  </si>
  <si>
    <t>Nikola</t>
  </si>
  <si>
    <t>207:30</t>
  </si>
  <si>
    <t>142:30</t>
  </si>
  <si>
    <t>71:22</t>
  </si>
  <si>
    <t>77:03</t>
  </si>
  <si>
    <t>109:42</t>
  </si>
  <si>
    <t>122:54</t>
  </si>
  <si>
    <t>132:38</t>
  </si>
  <si>
    <t>139:08</t>
  </si>
  <si>
    <t>141:47</t>
  </si>
  <si>
    <t>2115778</t>
  </si>
  <si>
    <t>106</t>
  </si>
  <si>
    <t>Ćorić</t>
  </si>
  <si>
    <t>Zoran</t>
  </si>
  <si>
    <t>59:00</t>
  </si>
  <si>
    <t>205:33</t>
  </si>
  <si>
    <t>146:33</t>
  </si>
  <si>
    <t>60:37</t>
  </si>
  <si>
    <t>67:32</t>
  </si>
  <si>
    <t>103:43</t>
  </si>
  <si>
    <t>115:48</t>
  </si>
  <si>
    <t>131:10</t>
  </si>
  <si>
    <t>136:14</t>
  </si>
  <si>
    <t>142:13</t>
  </si>
  <si>
    <t>145:34</t>
  </si>
  <si>
    <t>364421</t>
  </si>
  <si>
    <t>Prekrat</t>
  </si>
  <si>
    <t>Mladen</t>
  </si>
  <si>
    <t>235:37</t>
  </si>
  <si>
    <t>158:37</t>
  </si>
  <si>
    <t>81:56</t>
  </si>
  <si>
    <t>93:05</t>
  </si>
  <si>
    <t>102:55</t>
  </si>
  <si>
    <t>127:03</t>
  </si>
  <si>
    <t>145:35</t>
  </si>
  <si>
    <t>149:28</t>
  </si>
  <si>
    <t>154:37</t>
  </si>
  <si>
    <t>157:46</t>
  </si>
  <si>
    <t>893843</t>
  </si>
  <si>
    <t>109</t>
  </si>
  <si>
    <t>Barišić</t>
  </si>
  <si>
    <t>110:00</t>
  </si>
  <si>
    <t>321</t>
  </si>
  <si>
    <t>143:00</t>
  </si>
  <si>
    <t>222412</t>
  </si>
  <si>
    <t>73</t>
  </si>
  <si>
    <t>Juratović</t>
  </si>
  <si>
    <t>44:00</t>
  </si>
  <si>
    <t>439114</t>
  </si>
  <si>
    <t>Balić</t>
  </si>
  <si>
    <t>Ante</t>
  </si>
  <si>
    <t>119:00</t>
  </si>
  <si>
    <t>2115777</t>
  </si>
  <si>
    <t>154</t>
  </si>
  <si>
    <t>Valter</t>
  </si>
  <si>
    <t>122:00</t>
  </si>
  <si>
    <t>218966</t>
  </si>
  <si>
    <t>304</t>
  </si>
  <si>
    <t>Golubić</t>
  </si>
  <si>
    <t>Andrija</t>
  </si>
  <si>
    <t>68:00</t>
  </si>
  <si>
    <t>OKM</t>
  </si>
  <si>
    <t>OK Medjimurje</t>
  </si>
  <si>
    <t>320</t>
  </si>
  <si>
    <t>146:00</t>
  </si>
  <si>
    <t>2115763</t>
  </si>
  <si>
    <t>253</t>
  </si>
  <si>
    <t>41:00</t>
  </si>
  <si>
    <t>222419</t>
  </si>
  <si>
    <t>85</t>
  </si>
  <si>
    <t>Stipeljković</t>
  </si>
  <si>
    <t>140:00</t>
  </si>
  <si>
    <t>8080678</t>
  </si>
  <si>
    <t>205</t>
  </si>
  <si>
    <t>Legac</t>
  </si>
  <si>
    <t>Lino</t>
  </si>
  <si>
    <t>135:53</t>
  </si>
  <si>
    <t>50:53</t>
  </si>
  <si>
    <t>M35</t>
  </si>
  <si>
    <t>6.38</t>
  </si>
  <si>
    <t>03:46</t>
  </si>
  <si>
    <t>42</t>
  </si>
  <si>
    <t>05:15</t>
  </si>
  <si>
    <t>10:47</t>
  </si>
  <si>
    <t>13:51</t>
  </si>
  <si>
    <t>17:51</t>
  </si>
  <si>
    <t>20:17</t>
  </si>
  <si>
    <t>24:11</t>
  </si>
  <si>
    <t>27:22</t>
  </si>
  <si>
    <t>29:15</t>
  </si>
  <si>
    <t>57</t>
  </si>
  <si>
    <t>46:34</t>
  </si>
  <si>
    <t>48:42</t>
  </si>
  <si>
    <t>49:52</t>
  </si>
  <si>
    <t>7820618</t>
  </si>
  <si>
    <t>Delić</t>
  </si>
  <si>
    <t>136:00</t>
  </si>
  <si>
    <t>193:59</t>
  </si>
  <si>
    <t>57:59</t>
  </si>
  <si>
    <t>04:05</t>
  </si>
  <si>
    <t>05:53</t>
  </si>
  <si>
    <t>12:08</t>
  </si>
  <si>
    <t>15:34</t>
  </si>
  <si>
    <t>20:31</t>
  </si>
  <si>
    <t>23:22</t>
  </si>
  <si>
    <t>27:43</t>
  </si>
  <si>
    <t>31:22</t>
  </si>
  <si>
    <t>33:15</t>
  </si>
  <si>
    <t>53:08</t>
  </si>
  <si>
    <t>55:30</t>
  </si>
  <si>
    <t>56:49</t>
  </si>
  <si>
    <t>7032222</t>
  </si>
  <si>
    <t>237</t>
  </si>
  <si>
    <t>Pongrac</t>
  </si>
  <si>
    <t>115:00</t>
  </si>
  <si>
    <t>174:57</t>
  </si>
  <si>
    <t>59:57</t>
  </si>
  <si>
    <t>07:45</t>
  </si>
  <si>
    <t>09:34</t>
  </si>
  <si>
    <t>14:38</t>
  </si>
  <si>
    <t>17:39</t>
  </si>
  <si>
    <t>22:26</t>
  </si>
  <si>
    <t>29:54</t>
  </si>
  <si>
    <t>34:07</t>
  </si>
  <si>
    <t>35:54</t>
  </si>
  <si>
    <t>57:23</t>
  </si>
  <si>
    <t>58:57</t>
  </si>
  <si>
    <t>59:29</t>
  </si>
  <si>
    <t>8291983</t>
  </si>
  <si>
    <t>319</t>
  </si>
  <si>
    <t>Bijelić</t>
  </si>
  <si>
    <t>118:00</t>
  </si>
  <si>
    <t>178:35</t>
  </si>
  <si>
    <t>60:35</t>
  </si>
  <si>
    <t>BJE</t>
  </si>
  <si>
    <t>OK Bjelovar</t>
  </si>
  <si>
    <t>03:54</t>
  </si>
  <si>
    <t>05:59</t>
  </si>
  <si>
    <t>11:34</t>
  </si>
  <si>
    <t>14:48</t>
  </si>
  <si>
    <t>21:18</t>
  </si>
  <si>
    <t>34:38</t>
  </si>
  <si>
    <t>36:47</t>
  </si>
  <si>
    <t>55:25</t>
  </si>
  <si>
    <t>58:07</t>
  </si>
  <si>
    <t>59:59</t>
  </si>
  <si>
    <t>8232323</t>
  </si>
  <si>
    <t>231</t>
  </si>
  <si>
    <t>Budi</t>
  </si>
  <si>
    <t>109:00</t>
  </si>
  <si>
    <t>170:54</t>
  </si>
  <si>
    <t>61:54</t>
  </si>
  <si>
    <t>04:31</t>
  </si>
  <si>
    <t>06:40</t>
  </si>
  <si>
    <t>12:53</t>
  </si>
  <si>
    <t>23:42</t>
  </si>
  <si>
    <t>31:05</t>
  </si>
  <si>
    <t>34:24</t>
  </si>
  <si>
    <t>36:16</t>
  </si>
  <si>
    <t>57:03</t>
  </si>
  <si>
    <t>59:32</t>
  </si>
  <si>
    <t>60:56</t>
  </si>
  <si>
    <t>61:26</t>
  </si>
  <si>
    <t>1151981</t>
  </si>
  <si>
    <t>165</t>
  </si>
  <si>
    <t>Canjuga</t>
  </si>
  <si>
    <t>Krunoslav</t>
  </si>
  <si>
    <t>97:00</t>
  </si>
  <si>
    <t>163:09</t>
  </si>
  <si>
    <t>66:09</t>
  </si>
  <si>
    <t>04:03</t>
  </si>
  <si>
    <t>05:44</t>
  </si>
  <si>
    <t>11:58</t>
  </si>
  <si>
    <t>15:42</t>
  </si>
  <si>
    <t>23:51</t>
  </si>
  <si>
    <t>39:04</t>
  </si>
  <si>
    <t>40:42</t>
  </si>
  <si>
    <t>60:16</t>
  </si>
  <si>
    <t>62:47</t>
  </si>
  <si>
    <t>65:20</t>
  </si>
  <si>
    <t>65:45</t>
  </si>
  <si>
    <t>7211185</t>
  </si>
  <si>
    <t>295</t>
  </si>
  <si>
    <t>Bublić</t>
  </si>
  <si>
    <t>94:00</t>
  </si>
  <si>
    <t>163:07</t>
  </si>
  <si>
    <t>08:32</t>
  </si>
  <si>
    <t>10:30</t>
  </si>
  <si>
    <t>16:40</t>
  </si>
  <si>
    <t>20:30</t>
  </si>
  <si>
    <t>25:36</t>
  </si>
  <si>
    <t>28:51</t>
  </si>
  <si>
    <t>33:12</t>
  </si>
  <si>
    <t>41:55</t>
  </si>
  <si>
    <t>43:36</t>
  </si>
  <si>
    <t>63:14</t>
  </si>
  <si>
    <t>65:44</t>
  </si>
  <si>
    <t>68:19</t>
  </si>
  <si>
    <t>68:44</t>
  </si>
  <si>
    <t>7207785</t>
  </si>
  <si>
    <t>279</t>
  </si>
  <si>
    <t>Gverić</t>
  </si>
  <si>
    <t>139:00</t>
  </si>
  <si>
    <t>208:22</t>
  </si>
  <si>
    <t>69:22</t>
  </si>
  <si>
    <t>05:02</t>
  </si>
  <si>
    <t>07:17</t>
  </si>
  <si>
    <t>14:40</t>
  </si>
  <si>
    <t>24:19</t>
  </si>
  <si>
    <t>33:09</t>
  </si>
  <si>
    <t>37:36</t>
  </si>
  <si>
    <t>39:59</t>
  </si>
  <si>
    <t>63:10</t>
  </si>
  <si>
    <t>7207153</t>
  </si>
  <si>
    <t>288</t>
  </si>
  <si>
    <t>Suhina</t>
  </si>
  <si>
    <t>Vanja</t>
  </si>
  <si>
    <t>106:00</t>
  </si>
  <si>
    <t>175:24</t>
  </si>
  <si>
    <t>69:24</t>
  </si>
  <si>
    <t>05:05</t>
  </si>
  <si>
    <t>07:40</t>
  </si>
  <si>
    <t>16:49</t>
  </si>
  <si>
    <t>30:40</t>
  </si>
  <si>
    <t>35:45</t>
  </si>
  <si>
    <t>40:20</t>
  </si>
  <si>
    <t>42:19</t>
  </si>
  <si>
    <t>66:43</t>
  </si>
  <si>
    <t>68:17</t>
  </si>
  <si>
    <t>68:48</t>
  </si>
  <si>
    <t>7005141</t>
  </si>
  <si>
    <t>277</t>
  </si>
  <si>
    <t>Duje</t>
  </si>
  <si>
    <t>130:00</t>
  </si>
  <si>
    <t>199:30</t>
  </si>
  <si>
    <t>69:30</t>
  </si>
  <si>
    <t>05:22</t>
  </si>
  <si>
    <t>14:52</t>
  </si>
  <si>
    <t>18:29</t>
  </si>
  <si>
    <t>32:02</t>
  </si>
  <si>
    <t>37:10</t>
  </si>
  <si>
    <t>39:38</t>
  </si>
  <si>
    <t>64:22</t>
  </si>
  <si>
    <t>66:50</t>
  </si>
  <si>
    <t>68:26</t>
  </si>
  <si>
    <t>68:57</t>
  </si>
  <si>
    <t>7778899</t>
  </si>
  <si>
    <t>246</t>
  </si>
  <si>
    <t>Vuk</t>
  </si>
  <si>
    <t>124:00</t>
  </si>
  <si>
    <t>199:11</t>
  </si>
  <si>
    <t>75:11</t>
  </si>
  <si>
    <t>11:08</t>
  </si>
  <si>
    <t>12:56</t>
  </si>
  <si>
    <t>20:44</t>
  </si>
  <si>
    <t>29:49</t>
  </si>
  <si>
    <t>33:11</t>
  </si>
  <si>
    <t>40:11</t>
  </si>
  <si>
    <t>43:44</t>
  </si>
  <si>
    <t>45:29</t>
  </si>
  <si>
    <t>69:46</t>
  </si>
  <si>
    <t>72:34</t>
  </si>
  <si>
    <t>74:37</t>
  </si>
  <si>
    <t>1782000</t>
  </si>
  <si>
    <t>113</t>
  </si>
  <si>
    <t>Hainž</t>
  </si>
  <si>
    <t>Miroslav</t>
  </si>
  <si>
    <t>121:00</t>
  </si>
  <si>
    <t>199:12</t>
  </si>
  <si>
    <t>78:12</t>
  </si>
  <si>
    <t>05:50</t>
  </si>
  <si>
    <t>08:37</t>
  </si>
  <si>
    <t>16:20</t>
  </si>
  <si>
    <t>20:22</t>
  </si>
  <si>
    <t>29:16</t>
  </si>
  <si>
    <t>32:20</t>
  </si>
  <si>
    <t>42:45</t>
  </si>
  <si>
    <t>45:39</t>
  </si>
  <si>
    <t>70:46</t>
  </si>
  <si>
    <t>75:03</t>
  </si>
  <si>
    <t>76:55</t>
  </si>
  <si>
    <t>77:49</t>
  </si>
  <si>
    <t>2088246</t>
  </si>
  <si>
    <t>175</t>
  </si>
  <si>
    <t>100:00</t>
  </si>
  <si>
    <t>179:32</t>
  </si>
  <si>
    <t>79:32</t>
  </si>
  <si>
    <t>05:37</t>
  </si>
  <si>
    <t>07:51</t>
  </si>
  <si>
    <t>21:10</t>
  </si>
  <si>
    <t>29:18</t>
  </si>
  <si>
    <t>33:32</t>
  </si>
  <si>
    <t>38:52</t>
  </si>
  <si>
    <t>43:18</t>
  </si>
  <si>
    <t>45:47</t>
  </si>
  <si>
    <t>72:59</t>
  </si>
  <si>
    <t>76:24</t>
  </si>
  <si>
    <t>78:07</t>
  </si>
  <si>
    <t>78:52</t>
  </si>
  <si>
    <t>2143685</t>
  </si>
  <si>
    <t>Bunčić</t>
  </si>
  <si>
    <t>127:00</t>
  </si>
  <si>
    <t>208:36</t>
  </si>
  <si>
    <t>81:36</t>
  </si>
  <si>
    <t>05:49</t>
  </si>
  <si>
    <t>08:52</t>
  </si>
  <si>
    <t>17:48</t>
  </si>
  <si>
    <t>21:46</t>
  </si>
  <si>
    <t>28:55</t>
  </si>
  <si>
    <t>34:14</t>
  </si>
  <si>
    <t>48:26</t>
  </si>
  <si>
    <t>75:19</t>
  </si>
  <si>
    <t>78:47</t>
  </si>
  <si>
    <t>80:30</t>
  </si>
  <si>
    <t>81:05</t>
  </si>
  <si>
    <t>2113424</t>
  </si>
  <si>
    <t>Kosić</t>
  </si>
  <si>
    <t>103:00</t>
  </si>
  <si>
    <t>186:11</t>
  </si>
  <si>
    <t>83:11</t>
  </si>
  <si>
    <t>06:30</t>
  </si>
  <si>
    <t>09:44</t>
  </si>
  <si>
    <t>19:17</t>
  </si>
  <si>
    <t>24:21</t>
  </si>
  <si>
    <t>31:15</t>
  </si>
  <si>
    <t>35:11</t>
  </si>
  <si>
    <t>41:51</t>
  </si>
  <si>
    <t>47:15</t>
  </si>
  <si>
    <t>50:45</t>
  </si>
  <si>
    <t>76:35</t>
  </si>
  <si>
    <t>80:04</t>
  </si>
  <si>
    <t>81:37</t>
  </si>
  <si>
    <t>82:28</t>
  </si>
  <si>
    <t>219397</t>
  </si>
  <si>
    <t>Mulig</t>
  </si>
  <si>
    <t>Dragutin</t>
  </si>
  <si>
    <t>91:00</t>
  </si>
  <si>
    <t>179:20</t>
  </si>
  <si>
    <t>88:20</t>
  </si>
  <si>
    <t>05:27</t>
  </si>
  <si>
    <t>08:08</t>
  </si>
  <si>
    <t>25:35</t>
  </si>
  <si>
    <t>38:25</t>
  </si>
  <si>
    <t>42:25</t>
  </si>
  <si>
    <t>48:01</t>
  </si>
  <si>
    <t>52:11</t>
  </si>
  <si>
    <t>54:29</t>
  </si>
  <si>
    <t>85:03</t>
  </si>
  <si>
    <t>86:54</t>
  </si>
  <si>
    <t>87:30</t>
  </si>
  <si>
    <t>259763</t>
  </si>
  <si>
    <t>112</t>
  </si>
  <si>
    <t>Ferreira</t>
  </si>
  <si>
    <t>Fausto</t>
  </si>
  <si>
    <t>88:00</t>
  </si>
  <si>
    <t>178:38</t>
  </si>
  <si>
    <t>90:38</t>
  </si>
  <si>
    <t>20:12</t>
  </si>
  <si>
    <t>28:32</t>
  </si>
  <si>
    <t>32:32</t>
  </si>
  <si>
    <t>41:39</t>
  </si>
  <si>
    <t>45:08</t>
  </si>
  <si>
    <t>50:41</t>
  </si>
  <si>
    <t>57:14</t>
  </si>
  <si>
    <t>84:36</t>
  </si>
  <si>
    <t>87:51</t>
  </si>
  <si>
    <t>90:04</t>
  </si>
  <si>
    <t>2054888</t>
  </si>
  <si>
    <t>264</t>
  </si>
  <si>
    <t>Tubin</t>
  </si>
  <si>
    <t>Damir</t>
  </si>
  <si>
    <t>112:00</t>
  </si>
  <si>
    <t>221:27</t>
  </si>
  <si>
    <t>109:27</t>
  </si>
  <si>
    <t>17:12</t>
  </si>
  <si>
    <t>20:07</t>
  </si>
  <si>
    <t>28:37</t>
  </si>
  <si>
    <t>34:13</t>
  </si>
  <si>
    <t>41:21</t>
  </si>
  <si>
    <t>51:29</t>
  </si>
  <si>
    <t>101:27</t>
  </si>
  <si>
    <t>105:35</t>
  </si>
  <si>
    <t>108:00</t>
  </si>
  <si>
    <t>108:43</t>
  </si>
  <si>
    <t>7112111</t>
  </si>
  <si>
    <t>44</t>
  </si>
  <si>
    <t>Novosel</t>
  </si>
  <si>
    <t>133:00</t>
  </si>
  <si>
    <t>245:39</t>
  </si>
  <si>
    <t>112:39</t>
  </si>
  <si>
    <t>06:25</t>
  </si>
  <si>
    <t>09:02</t>
  </si>
  <si>
    <t>16:48</t>
  </si>
  <si>
    <t>21:34</t>
  </si>
  <si>
    <t>37:39</t>
  </si>
  <si>
    <t>41:43</t>
  </si>
  <si>
    <t>50:14</t>
  </si>
  <si>
    <t>58:04</t>
  </si>
  <si>
    <t>60:43</t>
  </si>
  <si>
    <t>104:17</t>
  </si>
  <si>
    <t>108:24</t>
  </si>
  <si>
    <t>110:56</t>
  </si>
  <si>
    <t>318</t>
  </si>
  <si>
    <t>142:00</t>
  </si>
  <si>
    <t>7211121</t>
  </si>
  <si>
    <t>143</t>
  </si>
  <si>
    <t>Stankovski</t>
  </si>
  <si>
    <t>Dalibor</t>
  </si>
  <si>
    <t>8411972</t>
  </si>
  <si>
    <t>75:00</t>
  </si>
  <si>
    <t>115:43</t>
  </si>
  <si>
    <t>40:43</t>
  </si>
  <si>
    <t>M45</t>
  </si>
  <si>
    <t>4.77</t>
  </si>
  <si>
    <t>240</t>
  </si>
  <si>
    <t>06:02</t>
  </si>
  <si>
    <t>13:44</t>
  </si>
  <si>
    <t>15:17</t>
  </si>
  <si>
    <t>18:35</t>
  </si>
  <si>
    <t>21:59</t>
  </si>
  <si>
    <t>39:14</t>
  </si>
  <si>
    <t>40:16</t>
  </si>
  <si>
    <t>8077277</t>
  </si>
  <si>
    <t>281</t>
  </si>
  <si>
    <t>Salopek</t>
  </si>
  <si>
    <t>140:08</t>
  </si>
  <si>
    <t>41:08</t>
  </si>
  <si>
    <t>RIS</t>
  </si>
  <si>
    <t>OK Ris</t>
  </si>
  <si>
    <t>13:16</t>
  </si>
  <si>
    <t>14:46</t>
  </si>
  <si>
    <t>18:43</t>
  </si>
  <si>
    <t>26:32</t>
  </si>
  <si>
    <t>2126436</t>
  </si>
  <si>
    <t>303</t>
  </si>
  <si>
    <t>Markulinčić</t>
  </si>
  <si>
    <t>117:39</t>
  </si>
  <si>
    <t>48:39</t>
  </si>
  <si>
    <t>09:26</t>
  </si>
  <si>
    <t>18:11</t>
  </si>
  <si>
    <t>20:13</t>
  </si>
  <si>
    <t>24:51</t>
  </si>
  <si>
    <t>27:45</t>
  </si>
  <si>
    <t>32:50</t>
  </si>
  <si>
    <t>48:08</t>
  </si>
  <si>
    <t>8250869</t>
  </si>
  <si>
    <t>Orehoci</t>
  </si>
  <si>
    <t>Robert</t>
  </si>
  <si>
    <t>84:00</t>
  </si>
  <si>
    <t>134:14</t>
  </si>
  <si>
    <t>07:44</t>
  </si>
  <si>
    <t>17:21</t>
  </si>
  <si>
    <t>26:23</t>
  </si>
  <si>
    <t>32:14</t>
  </si>
  <si>
    <t>48:13</t>
  </si>
  <si>
    <t>49:35</t>
  </si>
  <si>
    <t>1401011</t>
  </si>
  <si>
    <t>Trivunović</t>
  </si>
  <si>
    <t>Vladimir</t>
  </si>
  <si>
    <t>90:00</t>
  </si>
  <si>
    <t>141:39</t>
  </si>
  <si>
    <t>51:39</t>
  </si>
  <si>
    <t>06:31</t>
  </si>
  <si>
    <t>15:39</t>
  </si>
  <si>
    <t>23:59</t>
  </si>
  <si>
    <t>27:35</t>
  </si>
  <si>
    <t>33:27</t>
  </si>
  <si>
    <t>50:02</t>
  </si>
  <si>
    <t>51:05</t>
  </si>
  <si>
    <t>300743</t>
  </si>
  <si>
    <t>37</t>
  </si>
  <si>
    <t>Bojan</t>
  </si>
  <si>
    <t>162:16</t>
  </si>
  <si>
    <t>07:52</t>
  </si>
  <si>
    <t>18:02</t>
  </si>
  <si>
    <t>20:29</t>
  </si>
  <si>
    <t>25:12</t>
  </si>
  <si>
    <t>35:17</t>
  </si>
  <si>
    <t>52:21</t>
  </si>
  <si>
    <t>53:42</t>
  </si>
  <si>
    <t>7891004</t>
  </si>
  <si>
    <t>283</t>
  </si>
  <si>
    <t>Bogović</t>
  </si>
  <si>
    <t>Marijan</t>
  </si>
  <si>
    <t>45:00</t>
  </si>
  <si>
    <t>99:33</t>
  </si>
  <si>
    <t>54:33</t>
  </si>
  <si>
    <t>08:07</t>
  </si>
  <si>
    <t>18:56</t>
  </si>
  <si>
    <t>27:29</t>
  </si>
  <si>
    <t>30:30</t>
  </si>
  <si>
    <t>37:08</t>
  </si>
  <si>
    <t>52:48</t>
  </si>
  <si>
    <t>53:58</t>
  </si>
  <si>
    <t>2126440</t>
  </si>
  <si>
    <t>118</t>
  </si>
  <si>
    <t>Hercigonja</t>
  </si>
  <si>
    <t>72:00</t>
  </si>
  <si>
    <t>128:25</t>
  </si>
  <si>
    <t>56:25</t>
  </si>
  <si>
    <t>07:53</t>
  </si>
  <si>
    <t>20:40</t>
  </si>
  <si>
    <t>22:49</t>
  </si>
  <si>
    <t>27:56</t>
  </si>
  <si>
    <t>31:04</t>
  </si>
  <si>
    <t>37:31</t>
  </si>
  <si>
    <t>54:54</t>
  </si>
  <si>
    <t>893833</t>
  </si>
  <si>
    <t>207</t>
  </si>
  <si>
    <t>Horjan</t>
  </si>
  <si>
    <t>Zdenko</t>
  </si>
  <si>
    <t>120:00</t>
  </si>
  <si>
    <t>178:21</t>
  </si>
  <si>
    <t>58:21</t>
  </si>
  <si>
    <t>15:53</t>
  </si>
  <si>
    <t>21:54</t>
  </si>
  <si>
    <t>30:23</t>
  </si>
  <si>
    <t>33:07</t>
  </si>
  <si>
    <t>41:57</t>
  </si>
  <si>
    <t>55:59</t>
  </si>
  <si>
    <t>57:51</t>
  </si>
  <si>
    <t>8314625</t>
  </si>
  <si>
    <t>135</t>
  </si>
  <si>
    <t>Tišljar</t>
  </si>
  <si>
    <t>Ivo</t>
  </si>
  <si>
    <t>163:06</t>
  </si>
  <si>
    <t>61:06</t>
  </si>
  <si>
    <t>ORI</t>
  </si>
  <si>
    <t>OK Orion</t>
  </si>
  <si>
    <t>08:41</t>
  </si>
  <si>
    <t>20:37</t>
  </si>
  <si>
    <t>22:52</t>
  </si>
  <si>
    <t>27:47</t>
  </si>
  <si>
    <t>31:54</t>
  </si>
  <si>
    <t>38:50</t>
  </si>
  <si>
    <t>58:47</t>
  </si>
  <si>
    <t>60:17</t>
  </si>
  <si>
    <t>2144743</t>
  </si>
  <si>
    <t>212</t>
  </si>
  <si>
    <t>Posinjak</t>
  </si>
  <si>
    <t>122:11</t>
  </si>
  <si>
    <t>62:11</t>
  </si>
  <si>
    <t>08:19</t>
  </si>
  <si>
    <t>30:54</t>
  </si>
  <si>
    <t>35:15</t>
  </si>
  <si>
    <t>41:48</t>
  </si>
  <si>
    <t>60:15</t>
  </si>
  <si>
    <t>61:33</t>
  </si>
  <si>
    <t>7777600</t>
  </si>
  <si>
    <t>183</t>
  </si>
  <si>
    <t>Penić</t>
  </si>
  <si>
    <t>Ivan Ivo</t>
  </si>
  <si>
    <t>66:00</t>
  </si>
  <si>
    <t>128:29</t>
  </si>
  <si>
    <t>62:29</t>
  </si>
  <si>
    <t>06:50</t>
  </si>
  <si>
    <t>33:47</t>
  </si>
  <si>
    <t>37:17</t>
  </si>
  <si>
    <t>43:24</t>
  </si>
  <si>
    <t>60:36</t>
  </si>
  <si>
    <t>61:56</t>
  </si>
  <si>
    <t>1420752</t>
  </si>
  <si>
    <t>Šantić</t>
  </si>
  <si>
    <t>78:00</t>
  </si>
  <si>
    <t>143:04</t>
  </si>
  <si>
    <t>65:04</t>
  </si>
  <si>
    <t>23:03</t>
  </si>
  <si>
    <t>25:22</t>
  </si>
  <si>
    <t>33:35</t>
  </si>
  <si>
    <t>62:23</t>
  </si>
  <si>
    <t>64:01</t>
  </si>
  <si>
    <t>222420</t>
  </si>
  <si>
    <t>Paliska</t>
  </si>
  <si>
    <t>Alen</t>
  </si>
  <si>
    <t>105:00</t>
  </si>
  <si>
    <t>170:53</t>
  </si>
  <si>
    <t>14:44</t>
  </si>
  <si>
    <t>30:08</t>
  </si>
  <si>
    <t>31:42</t>
  </si>
  <si>
    <t>36:40</t>
  </si>
  <si>
    <t>40:21</t>
  </si>
  <si>
    <t>47:07</t>
  </si>
  <si>
    <t>62:50</t>
  </si>
  <si>
    <t>65:25</t>
  </si>
  <si>
    <t>2442603</t>
  </si>
  <si>
    <t>242</t>
  </si>
  <si>
    <t>Mareković</t>
  </si>
  <si>
    <t>147:59</t>
  </si>
  <si>
    <t>66:59</t>
  </si>
  <si>
    <t>07:38</t>
  </si>
  <si>
    <t>20:08</t>
  </si>
  <si>
    <t>22:28</t>
  </si>
  <si>
    <t>26:47</t>
  </si>
  <si>
    <t>30:18</t>
  </si>
  <si>
    <t>44:50</t>
  </si>
  <si>
    <t>63:23</t>
  </si>
  <si>
    <t>66:20</t>
  </si>
  <si>
    <t>2133029</t>
  </si>
  <si>
    <t>251</t>
  </si>
  <si>
    <t>Dasović</t>
  </si>
  <si>
    <t>96:00</t>
  </si>
  <si>
    <t>164:40</t>
  </si>
  <si>
    <t>09:01</t>
  </si>
  <si>
    <t>23:36</t>
  </si>
  <si>
    <t>33:36</t>
  </si>
  <si>
    <t>37:45</t>
  </si>
  <si>
    <t>45:13</t>
  </si>
  <si>
    <t>68:02</t>
  </si>
  <si>
    <t>2143690</t>
  </si>
  <si>
    <t>177</t>
  </si>
  <si>
    <t>Nimac</t>
  </si>
  <si>
    <t>113:50</t>
  </si>
  <si>
    <t>71:50</t>
  </si>
  <si>
    <t>11:35</t>
  </si>
  <si>
    <t>23:12</t>
  </si>
  <si>
    <t>25:07</t>
  </si>
  <si>
    <t>30:43</t>
  </si>
  <si>
    <t>34:02</t>
  </si>
  <si>
    <t>49:16</t>
  </si>
  <si>
    <t>69:08</t>
  </si>
  <si>
    <t>71:09</t>
  </si>
  <si>
    <t>7778000</t>
  </si>
  <si>
    <t>293</t>
  </si>
  <si>
    <t>Pavlin</t>
  </si>
  <si>
    <t>87:00</t>
  </si>
  <si>
    <t>162:42</t>
  </si>
  <si>
    <t>75:42</t>
  </si>
  <si>
    <t>10:01</t>
  </si>
  <si>
    <t>21:48</t>
  </si>
  <si>
    <t>31:11</t>
  </si>
  <si>
    <t>37:53</t>
  </si>
  <si>
    <t>42:16</t>
  </si>
  <si>
    <t>73:49</t>
  </si>
  <si>
    <t>206436</t>
  </si>
  <si>
    <t>189:59</t>
  </si>
  <si>
    <t>78:59</t>
  </si>
  <si>
    <t>18:54</t>
  </si>
  <si>
    <t>35:35</t>
  </si>
  <si>
    <t>40:24</t>
  </si>
  <si>
    <t>47:22</t>
  </si>
  <si>
    <t>54:21</t>
  </si>
  <si>
    <t>76:46</t>
  </si>
  <si>
    <t>78:28</t>
  </si>
  <si>
    <t>2221120</t>
  </si>
  <si>
    <t>148</t>
  </si>
  <si>
    <t>Boris</t>
  </si>
  <si>
    <t>114:00</t>
  </si>
  <si>
    <t>193:58</t>
  </si>
  <si>
    <t>79:58</t>
  </si>
  <si>
    <t>12:18</t>
  </si>
  <si>
    <t>24:58</t>
  </si>
  <si>
    <t>32:24</t>
  </si>
  <si>
    <t>37:42</t>
  </si>
  <si>
    <t>51:04</t>
  </si>
  <si>
    <t>77:50</t>
  </si>
  <si>
    <t>79:23</t>
  </si>
  <si>
    <t>893823</t>
  </si>
  <si>
    <t>74</t>
  </si>
  <si>
    <t>Ćetković</t>
  </si>
  <si>
    <t>Dinko</t>
  </si>
  <si>
    <t>148:15</t>
  </si>
  <si>
    <t>97:15</t>
  </si>
  <si>
    <t>17:25</t>
  </si>
  <si>
    <t>45:41</t>
  </si>
  <si>
    <t>50:11</t>
  </si>
  <si>
    <t>56:26</t>
  </si>
  <si>
    <t>60:42</t>
  </si>
  <si>
    <t>74:55</t>
  </si>
  <si>
    <t>93:36</t>
  </si>
  <si>
    <t>237596</t>
  </si>
  <si>
    <t>198</t>
  </si>
  <si>
    <t>446316</t>
  </si>
  <si>
    <t>270</t>
  </si>
  <si>
    <t>Šaflin</t>
  </si>
  <si>
    <t>54:00</t>
  </si>
  <si>
    <t>2039993</t>
  </si>
  <si>
    <t>298</t>
  </si>
  <si>
    <t>Tounec</t>
  </si>
  <si>
    <t>Vlatko</t>
  </si>
  <si>
    <t>117:00</t>
  </si>
  <si>
    <t>316</t>
  </si>
  <si>
    <t>701122</t>
  </si>
  <si>
    <t>178</t>
  </si>
  <si>
    <t>48:00</t>
  </si>
  <si>
    <t>10:18</t>
  </si>
  <si>
    <t>39:46</t>
  </si>
  <si>
    <t>41:32</t>
  </si>
  <si>
    <t>46:08</t>
  </si>
  <si>
    <t>51:44</t>
  </si>
  <si>
    <t>68:49</t>
  </si>
  <si>
    <t>317</t>
  </si>
  <si>
    <t>63:00</t>
  </si>
  <si>
    <t>7111959</t>
  </si>
  <si>
    <t>287</t>
  </si>
  <si>
    <t>Štambuk</t>
  </si>
  <si>
    <t>58:00</t>
  </si>
  <si>
    <t>90:40</t>
  </si>
  <si>
    <t>32:40</t>
  </si>
  <si>
    <t>M55</t>
  </si>
  <si>
    <t>3.63</t>
  </si>
  <si>
    <t>150</t>
  </si>
  <si>
    <t>03:30</t>
  </si>
  <si>
    <t>09:49</t>
  </si>
  <si>
    <t>13:25</t>
  </si>
  <si>
    <t>17:59</t>
  </si>
  <si>
    <t>27:23</t>
  </si>
  <si>
    <t>32:12</t>
  </si>
  <si>
    <t>7140363</t>
  </si>
  <si>
    <t>136</t>
  </si>
  <si>
    <t>Merunka</t>
  </si>
  <si>
    <t>Darko</t>
  </si>
  <si>
    <t>49:00</t>
  </si>
  <si>
    <t>85:52</t>
  </si>
  <si>
    <t>36:52</t>
  </si>
  <si>
    <t>03:39</t>
  </si>
  <si>
    <t>14:50</t>
  </si>
  <si>
    <t>19:39</t>
  </si>
  <si>
    <t>31:52</t>
  </si>
  <si>
    <t>34:36</t>
  </si>
  <si>
    <t>36:18</t>
  </si>
  <si>
    <t>7889999</t>
  </si>
  <si>
    <t>186</t>
  </si>
  <si>
    <t>67:40</t>
  </si>
  <si>
    <t>39:40</t>
  </si>
  <si>
    <t>04:20</t>
  </si>
  <si>
    <t>11:03</t>
  </si>
  <si>
    <t>15:08</t>
  </si>
  <si>
    <t>7040662</t>
  </si>
  <si>
    <t>284</t>
  </si>
  <si>
    <t>Saša</t>
  </si>
  <si>
    <t>41:12</t>
  </si>
  <si>
    <t>04:49</t>
  </si>
  <si>
    <t>35:37</t>
  </si>
  <si>
    <t>38:58</t>
  </si>
  <si>
    <t>40:35</t>
  </si>
  <si>
    <t>7212123</t>
  </si>
  <si>
    <t>273</t>
  </si>
  <si>
    <t>67:00</t>
  </si>
  <si>
    <t>108:31</t>
  </si>
  <si>
    <t>41:31</t>
  </si>
  <si>
    <t>04:21</t>
  </si>
  <si>
    <t>12:21</t>
  </si>
  <si>
    <t>17:10</t>
  </si>
  <si>
    <t>23:01</t>
  </si>
  <si>
    <t>39:05</t>
  </si>
  <si>
    <t>2300241</t>
  </si>
  <si>
    <t>170</t>
  </si>
  <si>
    <t>Mioković</t>
  </si>
  <si>
    <t>Mile</t>
  </si>
  <si>
    <t>79:00</t>
  </si>
  <si>
    <t>121:22</t>
  </si>
  <si>
    <t>42:22</t>
  </si>
  <si>
    <t>04:37</t>
  </si>
  <si>
    <t>11:28</t>
  </si>
  <si>
    <t>17:47</t>
  </si>
  <si>
    <t>40:10</t>
  </si>
  <si>
    <t>41:49</t>
  </si>
  <si>
    <t>2123970</t>
  </si>
  <si>
    <t>243</t>
  </si>
  <si>
    <t>Špoljar</t>
  </si>
  <si>
    <t>Krešo</t>
  </si>
  <si>
    <t>79:13</t>
  </si>
  <si>
    <t>05:43</t>
  </si>
  <si>
    <t>16:05</t>
  </si>
  <si>
    <t>21:01</t>
  </si>
  <si>
    <t>26:55</t>
  </si>
  <si>
    <t>42:28</t>
  </si>
  <si>
    <t>44:40</t>
  </si>
  <si>
    <t>232281</t>
  </si>
  <si>
    <t>Radočaj</t>
  </si>
  <si>
    <t>Milan</t>
  </si>
  <si>
    <t>31:00</t>
  </si>
  <si>
    <t>79:26</t>
  </si>
  <si>
    <t>05:48</t>
  </si>
  <si>
    <t>15:59</t>
  </si>
  <si>
    <t>24:43</t>
  </si>
  <si>
    <t>30:09</t>
  </si>
  <si>
    <t>42:17</t>
  </si>
  <si>
    <t>47:43</t>
  </si>
  <si>
    <t>893828</t>
  </si>
  <si>
    <t>267</t>
  </si>
  <si>
    <t>Raškaj</t>
  </si>
  <si>
    <t>121:41</t>
  </si>
  <si>
    <t>48:41</t>
  </si>
  <si>
    <t>04:23</t>
  </si>
  <si>
    <t>46:15</t>
  </si>
  <si>
    <t>505905</t>
  </si>
  <si>
    <t>119</t>
  </si>
  <si>
    <t>118:17</t>
  </si>
  <si>
    <t>57:17</t>
  </si>
  <si>
    <t>05:34</t>
  </si>
  <si>
    <t>16:17</t>
  </si>
  <si>
    <t>24:42</t>
  </si>
  <si>
    <t>49:38</t>
  </si>
  <si>
    <t>56:43</t>
  </si>
  <si>
    <t>247099</t>
  </si>
  <si>
    <t>214</t>
  </si>
  <si>
    <t>55:00</t>
  </si>
  <si>
    <t>119:26</t>
  </si>
  <si>
    <t>64:26</t>
  </si>
  <si>
    <t>06:52</t>
  </si>
  <si>
    <t>19:33</t>
  </si>
  <si>
    <t>36:03</t>
  </si>
  <si>
    <t>60:22</t>
  </si>
  <si>
    <t>63:32</t>
  </si>
  <si>
    <t>893825</t>
  </si>
  <si>
    <t>222</t>
  </si>
  <si>
    <t>Mihaljević</t>
  </si>
  <si>
    <t>Nenad</t>
  </si>
  <si>
    <t>52:00</t>
  </si>
  <si>
    <t>119:35</t>
  </si>
  <si>
    <t>07:50</t>
  </si>
  <si>
    <t>21:07</t>
  </si>
  <si>
    <t>35:18</t>
  </si>
  <si>
    <t>58:49</t>
  </si>
  <si>
    <t>546169</t>
  </si>
  <si>
    <t>173</t>
  </si>
  <si>
    <t>Matijašić</t>
  </si>
  <si>
    <t>110:40</t>
  </si>
  <si>
    <t>70:40</t>
  </si>
  <si>
    <t>06:26</t>
  </si>
  <si>
    <t>29:21</t>
  </si>
  <si>
    <t>36:13</t>
  </si>
  <si>
    <t>63:08</t>
  </si>
  <si>
    <t>67:46</t>
  </si>
  <si>
    <t>69:56</t>
  </si>
  <si>
    <t>236865</t>
  </si>
  <si>
    <t>129</t>
  </si>
  <si>
    <t>Lukačić</t>
  </si>
  <si>
    <t>64:00</t>
  </si>
  <si>
    <t>142:18</t>
  </si>
  <si>
    <t>78:18</t>
  </si>
  <si>
    <t>09:13</t>
  </si>
  <si>
    <t>24:10</t>
  </si>
  <si>
    <t>31:57</t>
  </si>
  <si>
    <t>43:47</t>
  </si>
  <si>
    <t>74:07</t>
  </si>
  <si>
    <t>77:11</t>
  </si>
  <si>
    <t>410650</t>
  </si>
  <si>
    <t>Ćurić</t>
  </si>
  <si>
    <t>135:48</t>
  </si>
  <si>
    <t>89:48</t>
  </si>
  <si>
    <t>26:37</t>
  </si>
  <si>
    <t>36:46</t>
  </si>
  <si>
    <t>45:45</t>
  </si>
  <si>
    <t>55:52</t>
  </si>
  <si>
    <t>78:43</t>
  </si>
  <si>
    <t>86:20</t>
  </si>
  <si>
    <t>88:52</t>
  </si>
  <si>
    <t>1968521</t>
  </si>
  <si>
    <t>217</t>
  </si>
  <si>
    <t>Labaš</t>
  </si>
  <si>
    <t>215:23</t>
  </si>
  <si>
    <t>172:23</t>
  </si>
  <si>
    <t>09:50</t>
  </si>
  <si>
    <t>27:12</t>
  </si>
  <si>
    <t>34:44</t>
  </si>
  <si>
    <t>136:52</t>
  </si>
  <si>
    <t>162:44</t>
  </si>
  <si>
    <t>170:10</t>
  </si>
  <si>
    <t>171:44</t>
  </si>
  <si>
    <t>315</t>
  </si>
  <si>
    <t>76:00</t>
  </si>
  <si>
    <t>314</t>
  </si>
  <si>
    <t>70:00</t>
  </si>
  <si>
    <t>406701</t>
  </si>
  <si>
    <t>236</t>
  </si>
  <si>
    <t>19:00</t>
  </si>
  <si>
    <t>63:33</t>
  </si>
  <si>
    <t>44:33</t>
  </si>
  <si>
    <t>M65</t>
  </si>
  <si>
    <t>3.17</t>
  </si>
  <si>
    <t>95</t>
  </si>
  <si>
    <t>14:15</t>
  </si>
  <si>
    <t>22:10</t>
  </si>
  <si>
    <t>28:53</t>
  </si>
  <si>
    <t>43:54</t>
  </si>
  <si>
    <t>2132997</t>
  </si>
  <si>
    <t>Mesić</t>
  </si>
  <si>
    <t>Ivica</t>
  </si>
  <si>
    <t>58:12</t>
  </si>
  <si>
    <t>55:12</t>
  </si>
  <si>
    <t>06:47</t>
  </si>
  <si>
    <t>13:59</t>
  </si>
  <si>
    <t>19:57</t>
  </si>
  <si>
    <t>26:53</t>
  </si>
  <si>
    <t>52:55</t>
  </si>
  <si>
    <t>54:34</t>
  </si>
  <si>
    <t>2115780</t>
  </si>
  <si>
    <t>149</t>
  </si>
  <si>
    <t>Pavić</t>
  </si>
  <si>
    <t>105:04</t>
  </si>
  <si>
    <t>94:04</t>
  </si>
  <si>
    <t>10:55</t>
  </si>
  <si>
    <t>25:47</t>
  </si>
  <si>
    <t>34:40</t>
  </si>
  <si>
    <t>89:54</t>
  </si>
  <si>
    <t>93:09</t>
  </si>
  <si>
    <t>313</t>
  </si>
  <si>
    <t>07:00</t>
  </si>
  <si>
    <t>312</t>
  </si>
  <si>
    <t>1946000</t>
  </si>
  <si>
    <t>216</t>
  </si>
  <si>
    <t>Turkalj</t>
  </si>
  <si>
    <t>143:33</t>
  </si>
  <si>
    <t>112:33</t>
  </si>
  <si>
    <t>M70</t>
  </si>
  <si>
    <t>13:13</t>
  </si>
  <si>
    <t>37:35</t>
  </si>
  <si>
    <t>48:52</t>
  </si>
  <si>
    <t>62:41</t>
  </si>
  <si>
    <t>106:16</t>
  </si>
  <si>
    <t>110:34</t>
  </si>
  <si>
    <t>236882</t>
  </si>
  <si>
    <t>209</t>
  </si>
  <si>
    <t>Čepelak</t>
  </si>
  <si>
    <t>Radovan</t>
  </si>
  <si>
    <t>143:30</t>
  </si>
  <si>
    <t>120:30</t>
  </si>
  <si>
    <t>56:56</t>
  </si>
  <si>
    <t>71:07</t>
  </si>
  <si>
    <t>114:55</t>
  </si>
  <si>
    <t>118:35</t>
  </si>
  <si>
    <t>353</t>
  </si>
  <si>
    <t>352</t>
  </si>
  <si>
    <t>8440330</t>
  </si>
  <si>
    <t>300</t>
  </si>
  <si>
    <t>Arbanas</t>
  </si>
  <si>
    <t>Barbara</t>
  </si>
  <si>
    <t>119:23</t>
  </si>
  <si>
    <t>OPEN</t>
  </si>
  <si>
    <t>3.31</t>
  </si>
  <si>
    <t>01:27</t>
  </si>
  <si>
    <t>05:58</t>
  </si>
  <si>
    <t>24:50</t>
  </si>
  <si>
    <t>48:35</t>
  </si>
  <si>
    <t>52:02</t>
  </si>
  <si>
    <t>52:50</t>
  </si>
  <si>
    <t>219313</t>
  </si>
  <si>
    <t>Šiprak Stastny</t>
  </si>
  <si>
    <t>Ana</t>
  </si>
  <si>
    <t>157:35</t>
  </si>
  <si>
    <t>79:35</t>
  </si>
  <si>
    <t>03:03</t>
  </si>
  <si>
    <t>17:41</t>
  </si>
  <si>
    <t>33:59</t>
  </si>
  <si>
    <t>59:45</t>
  </si>
  <si>
    <t>77:09</t>
  </si>
  <si>
    <t>78:41</t>
  </si>
  <si>
    <t>337657</t>
  </si>
  <si>
    <t>Žitnik</t>
  </si>
  <si>
    <t>Ivana</t>
  </si>
  <si>
    <t>191:29</t>
  </si>
  <si>
    <t>80:29</t>
  </si>
  <si>
    <t>02:55</t>
  </si>
  <si>
    <t>43:21</t>
  </si>
  <si>
    <t>51:34</t>
  </si>
  <si>
    <t>71:57</t>
  </si>
  <si>
    <t>79:42</t>
  </si>
  <si>
    <t>888974</t>
  </si>
  <si>
    <t>Šimatić</t>
  </si>
  <si>
    <t>123:00</t>
  </si>
  <si>
    <t>207:10</t>
  </si>
  <si>
    <t>84:10</t>
  </si>
  <si>
    <t>02:10</t>
  </si>
  <si>
    <t>19:58</t>
  </si>
  <si>
    <t>30:10</t>
  </si>
  <si>
    <t>48:55</t>
  </si>
  <si>
    <t>79:08</t>
  </si>
  <si>
    <t>82:44</t>
  </si>
  <si>
    <t>83:28</t>
  </si>
  <si>
    <t>8240883</t>
  </si>
  <si>
    <t>194</t>
  </si>
  <si>
    <t>Crvenković</t>
  </si>
  <si>
    <t>Karmela</t>
  </si>
  <si>
    <t>157:29</t>
  </si>
  <si>
    <t>85:29</t>
  </si>
  <si>
    <t>03:50</t>
  </si>
  <si>
    <t>22:07</t>
  </si>
  <si>
    <t>39:56</t>
  </si>
  <si>
    <t>49:19</t>
  </si>
  <si>
    <t>55:20</t>
  </si>
  <si>
    <t>65:40</t>
  </si>
  <si>
    <t>75:56</t>
  </si>
  <si>
    <t>82:59</t>
  </si>
  <si>
    <t>83:58</t>
  </si>
  <si>
    <t>2118091</t>
  </si>
  <si>
    <t>Pintur</t>
  </si>
  <si>
    <t>Iva</t>
  </si>
  <si>
    <t>147:15</t>
  </si>
  <si>
    <t>87:15</t>
  </si>
  <si>
    <t>02:43</t>
  </si>
  <si>
    <t>10:33</t>
  </si>
  <si>
    <t>36:43</t>
  </si>
  <si>
    <t>43:38</t>
  </si>
  <si>
    <t>50:19</t>
  </si>
  <si>
    <t>56:15</t>
  </si>
  <si>
    <t>85:45</t>
  </si>
  <si>
    <t>86:33</t>
  </si>
  <si>
    <t>411389</t>
  </si>
  <si>
    <t>87</t>
  </si>
  <si>
    <t>Skočić</t>
  </si>
  <si>
    <t>Oliver</t>
  </si>
  <si>
    <t>212:36</t>
  </si>
  <si>
    <t>92:36</t>
  </si>
  <si>
    <t>02:26</t>
  </si>
  <si>
    <t>27:28</t>
  </si>
  <si>
    <t>48:49</t>
  </si>
  <si>
    <t>65:16</t>
  </si>
  <si>
    <t>84:52</t>
  </si>
  <si>
    <t>90:19</t>
  </si>
  <si>
    <t>91:44</t>
  </si>
  <si>
    <t>2115768</t>
  </si>
  <si>
    <t>168</t>
  </si>
  <si>
    <t>Antonija</t>
  </si>
  <si>
    <t>159:06</t>
  </si>
  <si>
    <t>102:06</t>
  </si>
  <si>
    <t>05:29</t>
  </si>
  <si>
    <t>43:31</t>
  </si>
  <si>
    <t>55:33</t>
  </si>
  <si>
    <t>64:29</t>
  </si>
  <si>
    <t>73:42</t>
  </si>
  <si>
    <t>90:24</t>
  </si>
  <si>
    <t>99:14</t>
  </si>
  <si>
    <t>101:03</t>
  </si>
  <si>
    <t>439279</t>
  </si>
  <si>
    <t>99</t>
  </si>
  <si>
    <t>Jurić</t>
  </si>
  <si>
    <t>Nika</t>
  </si>
  <si>
    <t>129:00</t>
  </si>
  <si>
    <t>231:19</t>
  </si>
  <si>
    <t>102:19</t>
  </si>
  <si>
    <t>02:54</t>
  </si>
  <si>
    <t>40:53</t>
  </si>
  <si>
    <t>72:01</t>
  </si>
  <si>
    <t>89:34</t>
  </si>
  <si>
    <t>96:59</t>
  </si>
  <si>
    <t>98:19</t>
  </si>
  <si>
    <t>421655</t>
  </si>
  <si>
    <t>Gerber</t>
  </si>
  <si>
    <t>Sandra</t>
  </si>
  <si>
    <t>231:55</t>
  </si>
  <si>
    <t>126:55</t>
  </si>
  <si>
    <t>05:03</t>
  </si>
  <si>
    <t>39:28</t>
  </si>
  <si>
    <t>63:26</t>
  </si>
  <si>
    <t>73:13</t>
  </si>
  <si>
    <t>84:33</t>
  </si>
  <si>
    <t>92:23</t>
  </si>
  <si>
    <t>114:52</t>
  </si>
  <si>
    <t>121:16</t>
  </si>
  <si>
    <t>122:49</t>
  </si>
  <si>
    <t>893847</t>
  </si>
  <si>
    <t>108</t>
  </si>
  <si>
    <t>Bjeliš</t>
  </si>
  <si>
    <t>213:27</t>
  </si>
  <si>
    <t>144:27</t>
  </si>
  <si>
    <t>02:27</t>
  </si>
  <si>
    <t>77:55</t>
  </si>
  <si>
    <t>95:05</t>
  </si>
  <si>
    <t>110:13</t>
  </si>
  <si>
    <t>116:27</t>
  </si>
  <si>
    <t>124:21</t>
  </si>
  <si>
    <t>136:30</t>
  </si>
  <si>
    <t>142:32</t>
  </si>
  <si>
    <t>143:41</t>
  </si>
  <si>
    <t>2030933</t>
  </si>
  <si>
    <t>134</t>
  </si>
  <si>
    <t>Lucija</t>
  </si>
  <si>
    <t>208:43</t>
  </si>
  <si>
    <t>145:43</t>
  </si>
  <si>
    <t>03:08</t>
  </si>
  <si>
    <t>31:37</t>
  </si>
  <si>
    <t>50:31</t>
  </si>
  <si>
    <t>60:45</t>
  </si>
  <si>
    <t>69:42</t>
  </si>
  <si>
    <t>81:15</t>
  </si>
  <si>
    <t>134:23</t>
  </si>
  <si>
    <t>143:48</t>
  </si>
  <si>
    <t>144:48</t>
  </si>
  <si>
    <t>410619</t>
  </si>
  <si>
    <t>Miletić</t>
  </si>
  <si>
    <t>237553</t>
  </si>
  <si>
    <t>Sandalj</t>
  </si>
  <si>
    <t>Rafael</t>
  </si>
  <si>
    <t>191:32</t>
  </si>
  <si>
    <t>95:32</t>
  </si>
  <si>
    <t>47:05</t>
  </si>
  <si>
    <t>53:20</t>
  </si>
  <si>
    <t>66:27</t>
  </si>
  <si>
    <t>93:31</t>
  </si>
  <si>
    <t>94:48</t>
  </si>
  <si>
    <t>720210</t>
  </si>
  <si>
    <t>196</t>
  </si>
  <si>
    <t>Vukmanović</t>
  </si>
  <si>
    <t>361852</t>
  </si>
  <si>
    <t>97</t>
  </si>
  <si>
    <t>Katušić</t>
  </si>
  <si>
    <t>Maja</t>
  </si>
  <si>
    <t>232:32</t>
  </si>
  <si>
    <t>148:32</t>
  </si>
  <si>
    <t>02:23</t>
  </si>
  <si>
    <t>146:59</t>
  </si>
  <si>
    <t>236042</t>
  </si>
  <si>
    <t>98</t>
  </si>
  <si>
    <t>Petra</t>
  </si>
  <si>
    <t>147:49</t>
  </si>
  <si>
    <t>72:49</t>
  </si>
  <si>
    <t>02:58</t>
  </si>
  <si>
    <t>27:36</t>
  </si>
  <si>
    <t>63:52</t>
  </si>
  <si>
    <t>70:34</t>
  </si>
  <si>
    <t>406870</t>
  </si>
  <si>
    <t>89</t>
  </si>
  <si>
    <t>Miščević</t>
  </si>
  <si>
    <t>Maša</t>
  </si>
  <si>
    <t>406861</t>
  </si>
  <si>
    <t>92</t>
  </si>
  <si>
    <t>Majnarić</t>
  </si>
  <si>
    <t>118:32</t>
  </si>
  <si>
    <t>02:12</t>
  </si>
  <si>
    <t>348</t>
  </si>
  <si>
    <t>Hajnić</t>
  </si>
  <si>
    <t>2030938</t>
  </si>
  <si>
    <t>349</t>
  </si>
  <si>
    <t>893836</t>
  </si>
  <si>
    <t>Mirjana</t>
  </si>
  <si>
    <t>2113448</t>
  </si>
  <si>
    <t>189</t>
  </si>
  <si>
    <t>Juričan</t>
  </si>
  <si>
    <t>02:29</t>
  </si>
  <si>
    <t>Janković</t>
  </si>
  <si>
    <t>126:00</t>
  </si>
  <si>
    <t>2113447</t>
  </si>
  <si>
    <t>137</t>
  </si>
  <si>
    <t>Barulek</t>
  </si>
  <si>
    <t>7055033</t>
  </si>
  <si>
    <t>Sara</t>
  </si>
  <si>
    <t>42:20</t>
  </si>
  <si>
    <t>21:20</t>
  </si>
  <si>
    <t>Ž12</t>
  </si>
  <si>
    <t>36</t>
  </si>
  <si>
    <t>04:53</t>
  </si>
  <si>
    <t>06:41</t>
  </si>
  <si>
    <t>09:43</t>
  </si>
  <si>
    <t>12:06</t>
  </si>
  <si>
    <t>14:10</t>
  </si>
  <si>
    <t>18:59</t>
  </si>
  <si>
    <t>20:46</t>
  </si>
  <si>
    <t>7551552</t>
  </si>
  <si>
    <t>Dora</t>
  </si>
  <si>
    <t>34:12</t>
  </si>
  <si>
    <t>07:59</t>
  </si>
  <si>
    <t>12:52</t>
  </si>
  <si>
    <t>14:30</t>
  </si>
  <si>
    <t>17:53</t>
  </si>
  <si>
    <t>232216</t>
  </si>
  <si>
    <t>Veronika</t>
  </si>
  <si>
    <t>42:18</t>
  </si>
  <si>
    <t>25:18</t>
  </si>
  <si>
    <t>08:56</t>
  </si>
  <si>
    <t>10:37</t>
  </si>
  <si>
    <t>13:46</t>
  </si>
  <si>
    <t>16:13</t>
  </si>
  <si>
    <t>24:44</t>
  </si>
  <si>
    <t>411359</t>
  </si>
  <si>
    <t>40</t>
  </si>
  <si>
    <t>Viktoria</t>
  </si>
  <si>
    <t>34:30</t>
  </si>
  <si>
    <t>29:30</t>
  </si>
  <si>
    <t>07:36</t>
  </si>
  <si>
    <t>10:15</t>
  </si>
  <si>
    <t>14:47</t>
  </si>
  <si>
    <t>17:28</t>
  </si>
  <si>
    <t>19:09</t>
  </si>
  <si>
    <t>893821</t>
  </si>
  <si>
    <t>223</t>
  </si>
  <si>
    <t>Bajrektarević</t>
  </si>
  <si>
    <t>Luna</t>
  </si>
  <si>
    <t>72:18</t>
  </si>
  <si>
    <t>31:18</t>
  </si>
  <si>
    <t>03:24</t>
  </si>
  <si>
    <t>14:36</t>
  </si>
  <si>
    <t>21:28</t>
  </si>
  <si>
    <t>30:48</t>
  </si>
  <si>
    <t>232287</t>
  </si>
  <si>
    <t>346</t>
  </si>
  <si>
    <t>Gloria</t>
  </si>
  <si>
    <t>65:23</t>
  </si>
  <si>
    <t>36:23</t>
  </si>
  <si>
    <t>15:21</t>
  </si>
  <si>
    <t>25:40</t>
  </si>
  <si>
    <t>27:49</t>
  </si>
  <si>
    <t>34:04</t>
  </si>
  <si>
    <t>35:47</t>
  </si>
  <si>
    <t>2030932</t>
  </si>
  <si>
    <t>25:00</t>
  </si>
  <si>
    <t>72:44</t>
  </si>
  <si>
    <t>47:44</t>
  </si>
  <si>
    <t>19:19</t>
  </si>
  <si>
    <t>20:51</t>
  </si>
  <si>
    <t>27:05</t>
  </si>
  <si>
    <t>31:50</t>
  </si>
  <si>
    <t>34:28</t>
  </si>
  <si>
    <t>46:53</t>
  </si>
  <si>
    <t>2113449</t>
  </si>
  <si>
    <t>190</t>
  </si>
  <si>
    <t>Ema</t>
  </si>
  <si>
    <t>89:40</t>
  </si>
  <si>
    <t>56:40</t>
  </si>
  <si>
    <t>32:26</t>
  </si>
  <si>
    <t>41:14</t>
  </si>
  <si>
    <t>44:28</t>
  </si>
  <si>
    <t>52:35</t>
  </si>
  <si>
    <t>55:58</t>
  </si>
  <si>
    <t>2030935</t>
  </si>
  <si>
    <t>140</t>
  </si>
  <si>
    <t>Eva</t>
  </si>
  <si>
    <t>131:29</t>
  </si>
  <si>
    <t>82:29</t>
  </si>
  <si>
    <t>51:25</t>
  </si>
  <si>
    <t>54:28</t>
  </si>
  <si>
    <t>63:45</t>
  </si>
  <si>
    <t>74:22</t>
  </si>
  <si>
    <t>78:53</t>
  </si>
  <si>
    <t>410649</t>
  </si>
  <si>
    <t>232</t>
  </si>
  <si>
    <t>2115765</t>
  </si>
  <si>
    <t>257</t>
  </si>
  <si>
    <t>13:00</t>
  </si>
  <si>
    <t>347</t>
  </si>
  <si>
    <t>8300220</t>
  </si>
  <si>
    <t>275</t>
  </si>
  <si>
    <t>Paola</t>
  </si>
  <si>
    <t>72:24</t>
  </si>
  <si>
    <t>Ž14</t>
  </si>
  <si>
    <t>01:05</t>
  </si>
  <si>
    <t>03:44</t>
  </si>
  <si>
    <t>11:57</t>
  </si>
  <si>
    <t>15:20</t>
  </si>
  <si>
    <t>21:56</t>
  </si>
  <si>
    <t>25:25</t>
  </si>
  <si>
    <t>28:12</t>
  </si>
  <si>
    <t>30:01</t>
  </si>
  <si>
    <t>7000818</t>
  </si>
  <si>
    <t>Monika</t>
  </si>
  <si>
    <t>100:42</t>
  </si>
  <si>
    <t>46:42</t>
  </si>
  <si>
    <t>01:00</t>
  </si>
  <si>
    <t>17:15</t>
  </si>
  <si>
    <t>26:17</t>
  </si>
  <si>
    <t>37:41</t>
  </si>
  <si>
    <t>40:59</t>
  </si>
  <si>
    <t>44:11</t>
  </si>
  <si>
    <t>46:14</t>
  </si>
  <si>
    <t>2133024</t>
  </si>
  <si>
    <t>117</t>
  </si>
  <si>
    <t>101:09</t>
  </si>
  <si>
    <t>53:09</t>
  </si>
  <si>
    <t>00:59</t>
  </si>
  <si>
    <t>23:18</t>
  </si>
  <si>
    <t>32:19</t>
  </si>
  <si>
    <t>43:51</t>
  </si>
  <si>
    <t>47:10</t>
  </si>
  <si>
    <t>52:38</t>
  </si>
  <si>
    <t>345</t>
  </si>
  <si>
    <t>344</t>
  </si>
  <si>
    <t>2061276</t>
  </si>
  <si>
    <t>91:27</t>
  </si>
  <si>
    <t>Ž16</t>
  </si>
  <si>
    <t>16:33</t>
  </si>
  <si>
    <t>33:02</t>
  </si>
  <si>
    <t>40:29</t>
  </si>
  <si>
    <t>40:57</t>
  </si>
  <si>
    <t>2115782</t>
  </si>
  <si>
    <t>166</t>
  </si>
  <si>
    <t>Mirta</t>
  </si>
  <si>
    <t>101:53</t>
  </si>
  <si>
    <t>48:53</t>
  </si>
  <si>
    <t>14:45</t>
  </si>
  <si>
    <t>29:33</t>
  </si>
  <si>
    <t>33:08</t>
  </si>
  <si>
    <t>44:20</t>
  </si>
  <si>
    <t>47:50</t>
  </si>
  <si>
    <t>48:21</t>
  </si>
  <si>
    <t>2113332</t>
  </si>
  <si>
    <t>228</t>
  </si>
  <si>
    <t>Kovač</t>
  </si>
  <si>
    <t>Wanda</t>
  </si>
  <si>
    <t>59:56</t>
  </si>
  <si>
    <t>48:56</t>
  </si>
  <si>
    <t>07:58</t>
  </si>
  <si>
    <t>15:07</t>
  </si>
  <si>
    <t>20:52</t>
  </si>
  <si>
    <t>26:34</t>
  </si>
  <si>
    <t>39:11</t>
  </si>
  <si>
    <t>44:13</t>
  </si>
  <si>
    <t>47:59</t>
  </si>
  <si>
    <t>48:29</t>
  </si>
  <si>
    <t>2133352</t>
  </si>
  <si>
    <t>52:05</t>
  </si>
  <si>
    <t>08:31</t>
  </si>
  <si>
    <t>17:06</t>
  </si>
  <si>
    <t>24:30</t>
  </si>
  <si>
    <t>46:47</t>
  </si>
  <si>
    <t>8431111</t>
  </si>
  <si>
    <t>272</t>
  </si>
  <si>
    <t>Kimi Maria</t>
  </si>
  <si>
    <t>91:31</t>
  </si>
  <si>
    <t>53:31</t>
  </si>
  <si>
    <t>27:25</t>
  </si>
  <si>
    <t>45:05</t>
  </si>
  <si>
    <t>49:17</t>
  </si>
  <si>
    <t>52:27</t>
  </si>
  <si>
    <t>52:59</t>
  </si>
  <si>
    <t>2113348</t>
  </si>
  <si>
    <t>203</t>
  </si>
  <si>
    <t>Vidaković</t>
  </si>
  <si>
    <t>Majda</t>
  </si>
  <si>
    <t>53:57</t>
  </si>
  <si>
    <t>08:53</t>
  </si>
  <si>
    <t>18:51</t>
  </si>
  <si>
    <t>28:27</t>
  </si>
  <si>
    <t>36:45</t>
  </si>
  <si>
    <t>45:06</t>
  </si>
  <si>
    <t>49:57</t>
  </si>
  <si>
    <t>53:25</t>
  </si>
  <si>
    <t>2127101</t>
  </si>
  <si>
    <t>Marta</t>
  </si>
  <si>
    <t>60:06</t>
  </si>
  <si>
    <t>58:06</t>
  </si>
  <si>
    <t>11:50</t>
  </si>
  <si>
    <t>31:29</t>
  </si>
  <si>
    <t>39:48</t>
  </si>
  <si>
    <t>53:18</t>
  </si>
  <si>
    <t>57:01</t>
  </si>
  <si>
    <t>57:34</t>
  </si>
  <si>
    <t>237598</t>
  </si>
  <si>
    <t>161</t>
  </si>
  <si>
    <t>Cvjetko</t>
  </si>
  <si>
    <t>Jana</t>
  </si>
  <si>
    <t>63:07</t>
  </si>
  <si>
    <t>10:56</t>
  </si>
  <si>
    <t>18:10</t>
  </si>
  <si>
    <t>22:36</t>
  </si>
  <si>
    <t>50:44</t>
  </si>
  <si>
    <t>56:07</t>
  </si>
  <si>
    <t>62:32</t>
  </si>
  <si>
    <t>2132926</t>
  </si>
  <si>
    <t>Drobić</t>
  </si>
  <si>
    <t>Melissa</t>
  </si>
  <si>
    <t>93:04</t>
  </si>
  <si>
    <t>70:04</t>
  </si>
  <si>
    <t>27:44</t>
  </si>
  <si>
    <t>35:04</t>
  </si>
  <si>
    <t>60:11</t>
  </si>
  <si>
    <t>64:45</t>
  </si>
  <si>
    <t>68:58</t>
  </si>
  <si>
    <t>69:32</t>
  </si>
  <si>
    <t>2144745</t>
  </si>
  <si>
    <t>172</t>
  </si>
  <si>
    <t>Gršković</t>
  </si>
  <si>
    <t>Mare</t>
  </si>
  <si>
    <t>93:07</t>
  </si>
  <si>
    <t>76:07</t>
  </si>
  <si>
    <t>28:40</t>
  </si>
  <si>
    <t>41:25</t>
  </si>
  <si>
    <t>48:33</t>
  </si>
  <si>
    <t>58:24</t>
  </si>
  <si>
    <t>66:18</t>
  </si>
  <si>
    <t>70:49</t>
  </si>
  <si>
    <t>75:07</t>
  </si>
  <si>
    <t>75:36</t>
  </si>
  <si>
    <t>2113339</t>
  </si>
  <si>
    <t>220</t>
  </si>
  <si>
    <t>Potrebica</t>
  </si>
  <si>
    <t>116:16</t>
  </si>
  <si>
    <t>81:16</t>
  </si>
  <si>
    <t>48:58</t>
  </si>
  <si>
    <t>56:06</t>
  </si>
  <si>
    <t>67:55</t>
  </si>
  <si>
    <t>74:53</t>
  </si>
  <si>
    <t>80:03</t>
  </si>
  <si>
    <t>80:43</t>
  </si>
  <si>
    <t>2100979</t>
  </si>
  <si>
    <t>Ira</t>
  </si>
  <si>
    <t>116:12</t>
  </si>
  <si>
    <t>84:12</t>
  </si>
  <si>
    <t>44:46</t>
  </si>
  <si>
    <t>59:11</t>
  </si>
  <si>
    <t>70:50</t>
  </si>
  <si>
    <t>78:08</t>
  </si>
  <si>
    <t>82:55</t>
  </si>
  <si>
    <t>83:40</t>
  </si>
  <si>
    <t>2148492</t>
  </si>
  <si>
    <t>169</t>
  </si>
  <si>
    <t>Nina</t>
  </si>
  <si>
    <t>116:18</t>
  </si>
  <si>
    <t>87:18</t>
  </si>
  <si>
    <t>55:03</t>
  </si>
  <si>
    <t>73:52</t>
  </si>
  <si>
    <t>86:12</t>
  </si>
  <si>
    <t>86:45</t>
  </si>
  <si>
    <t>5729</t>
  </si>
  <si>
    <t>Lucija Marijela</t>
  </si>
  <si>
    <t>143:01</t>
  </si>
  <si>
    <t>99:01</t>
  </si>
  <si>
    <t>59:37</t>
  </si>
  <si>
    <t>67:29</t>
  </si>
  <si>
    <t>75:44</t>
  </si>
  <si>
    <t>85:14</t>
  </si>
  <si>
    <t>91:13</t>
  </si>
  <si>
    <t>97:36</t>
  </si>
  <si>
    <t>98:18</t>
  </si>
  <si>
    <t>236860</t>
  </si>
  <si>
    <t>Jelena</t>
  </si>
  <si>
    <t>88:55</t>
  </si>
  <si>
    <t>62:55</t>
  </si>
  <si>
    <t>21:51</t>
  </si>
  <si>
    <t>36:57</t>
  </si>
  <si>
    <t>55:13</t>
  </si>
  <si>
    <t>62:14</t>
  </si>
  <si>
    <t>343</t>
  </si>
  <si>
    <t>222401</t>
  </si>
  <si>
    <t>84</t>
  </si>
  <si>
    <t>342</t>
  </si>
  <si>
    <t>8445444</t>
  </si>
  <si>
    <t>282</t>
  </si>
  <si>
    <t>Dorja</t>
  </si>
  <si>
    <t>37:26</t>
  </si>
  <si>
    <t>34:26</t>
  </si>
  <si>
    <t>Ž20</t>
  </si>
  <si>
    <t>4.33</t>
  </si>
  <si>
    <t>155</t>
  </si>
  <si>
    <t>11:02</t>
  </si>
  <si>
    <t>24:24</t>
  </si>
  <si>
    <t>25:59</t>
  </si>
  <si>
    <t>32:38</t>
  </si>
  <si>
    <t>33:55</t>
  </si>
  <si>
    <t>5768</t>
  </si>
  <si>
    <t>286</t>
  </si>
  <si>
    <t>Zdenka Petra</t>
  </si>
  <si>
    <t>63:50</t>
  </si>
  <si>
    <t>39:50</t>
  </si>
  <si>
    <t>06:23</t>
  </si>
  <si>
    <t>12:26</t>
  </si>
  <si>
    <t>27:52</t>
  </si>
  <si>
    <t>29:57</t>
  </si>
  <si>
    <t>33:34</t>
  </si>
  <si>
    <t>38:15</t>
  </si>
  <si>
    <t>39:18</t>
  </si>
  <si>
    <t>8231003</t>
  </si>
  <si>
    <t>292</t>
  </si>
  <si>
    <t>Paula</t>
  </si>
  <si>
    <t>59:34</t>
  </si>
  <si>
    <t>04:12</t>
  </si>
  <si>
    <t>12:50</t>
  </si>
  <si>
    <t>16:28</t>
  </si>
  <si>
    <t>33:30</t>
  </si>
  <si>
    <t>40:27</t>
  </si>
  <si>
    <t>45:53</t>
  </si>
  <si>
    <t>47:01</t>
  </si>
  <si>
    <t>770914</t>
  </si>
  <si>
    <t>160</t>
  </si>
  <si>
    <t>98:16</t>
  </si>
  <si>
    <t>89:16</t>
  </si>
  <si>
    <t>10:11</t>
  </si>
  <si>
    <t>28:38</t>
  </si>
  <si>
    <t>31:48</t>
  </si>
  <si>
    <t>64:08</t>
  </si>
  <si>
    <t>73:36</t>
  </si>
  <si>
    <t>79:34</t>
  </si>
  <si>
    <t>86:55</t>
  </si>
  <si>
    <t>88:41</t>
  </si>
  <si>
    <t>2113425</t>
  </si>
  <si>
    <t>123</t>
  </si>
  <si>
    <t>108:22</t>
  </si>
  <si>
    <t>93:22</t>
  </si>
  <si>
    <t>09:19</t>
  </si>
  <si>
    <t>13:43</t>
  </si>
  <si>
    <t>28:48</t>
  </si>
  <si>
    <t>36:44</t>
  </si>
  <si>
    <t>65:59</t>
  </si>
  <si>
    <t>70:20</t>
  </si>
  <si>
    <t>91:22</t>
  </si>
  <si>
    <t>92:50</t>
  </si>
  <si>
    <t>893841</t>
  </si>
  <si>
    <t>126</t>
  </si>
  <si>
    <t>126:37</t>
  </si>
  <si>
    <t>99:37</t>
  </si>
  <si>
    <t>16:57</t>
  </si>
  <si>
    <t>74:33</t>
  </si>
  <si>
    <t>86:57</t>
  </si>
  <si>
    <t>97:28</t>
  </si>
  <si>
    <t>1717177</t>
  </si>
  <si>
    <t>131</t>
  </si>
  <si>
    <t>Srebačić</t>
  </si>
  <si>
    <t>341</t>
  </si>
  <si>
    <t>340</t>
  </si>
  <si>
    <t>1403140</t>
  </si>
  <si>
    <t>252</t>
  </si>
  <si>
    <t>Mirja</t>
  </si>
  <si>
    <t>57:35</t>
  </si>
  <si>
    <t>55:35</t>
  </si>
  <si>
    <t>Ž21A</t>
  </si>
  <si>
    <t>03:22</t>
  </si>
  <si>
    <t>04:34</t>
  </si>
  <si>
    <t>12:32</t>
  </si>
  <si>
    <t>16:41</t>
  </si>
  <si>
    <t>25:52</t>
  </si>
  <si>
    <t>28:47</t>
  </si>
  <si>
    <t>31:08</t>
  </si>
  <si>
    <t>55:06</t>
  </si>
  <si>
    <t>552005</t>
  </si>
  <si>
    <t>195</t>
  </si>
  <si>
    <t>Vinka</t>
  </si>
  <si>
    <t>87:44</t>
  </si>
  <si>
    <t>57:44</t>
  </si>
  <si>
    <t>06:44</t>
  </si>
  <si>
    <t>15:09</t>
  </si>
  <si>
    <t>19:12</t>
  </si>
  <si>
    <t>28:22</t>
  </si>
  <si>
    <t>31:07</t>
  </si>
  <si>
    <t>51:42</t>
  </si>
  <si>
    <t>55:53</t>
  </si>
  <si>
    <t>2105108</t>
  </si>
  <si>
    <t>Jerković Perić</t>
  </si>
  <si>
    <t>Olga</t>
  </si>
  <si>
    <t>58:34</t>
  </si>
  <si>
    <t>03:58</t>
  </si>
  <si>
    <t>12:51</t>
  </si>
  <si>
    <t>16:56</t>
  </si>
  <si>
    <t>27:01</t>
  </si>
  <si>
    <t>29:25</t>
  </si>
  <si>
    <t>52:20</t>
  </si>
  <si>
    <t>55:24</t>
  </si>
  <si>
    <t>8061499</t>
  </si>
  <si>
    <t>105:28</t>
  </si>
  <si>
    <t>63:28</t>
  </si>
  <si>
    <t>06:38</t>
  </si>
  <si>
    <t>07:48</t>
  </si>
  <si>
    <t>16:58</t>
  </si>
  <si>
    <t>25:43</t>
  </si>
  <si>
    <t>30:59</t>
  </si>
  <si>
    <t>36:15</t>
  </si>
  <si>
    <t>57:45</t>
  </si>
  <si>
    <t>60:09</t>
  </si>
  <si>
    <t>61:47</t>
  </si>
  <si>
    <t>62:56</t>
  </si>
  <si>
    <t>8041177</t>
  </si>
  <si>
    <t>Orlić</t>
  </si>
  <si>
    <t>68:18</t>
  </si>
  <si>
    <t>04:40</t>
  </si>
  <si>
    <t>06:14</t>
  </si>
  <si>
    <t>26:10</t>
  </si>
  <si>
    <t>31:14</t>
  </si>
  <si>
    <t>36:51</t>
  </si>
  <si>
    <t>61:23</t>
  </si>
  <si>
    <t>64:51</t>
  </si>
  <si>
    <t>66:37</t>
  </si>
  <si>
    <t>67:45</t>
  </si>
  <si>
    <t>2128411</t>
  </si>
  <si>
    <t>200</t>
  </si>
  <si>
    <t>Ines</t>
  </si>
  <si>
    <t>85:04</t>
  </si>
  <si>
    <t>79:04</t>
  </si>
  <si>
    <t>06:45</t>
  </si>
  <si>
    <t>21:04</t>
  </si>
  <si>
    <t>25:27</t>
  </si>
  <si>
    <t>29:37</t>
  </si>
  <si>
    <t>35:12</t>
  </si>
  <si>
    <t>38:47</t>
  </si>
  <si>
    <t>73:06</t>
  </si>
  <si>
    <t>78:33</t>
  </si>
  <si>
    <t>893803</t>
  </si>
  <si>
    <t>302</t>
  </si>
  <si>
    <t>Lea Katarina</t>
  </si>
  <si>
    <t>120:34</t>
  </si>
  <si>
    <t>98:34</t>
  </si>
  <si>
    <t>05:13</t>
  </si>
  <si>
    <t>07:05</t>
  </si>
  <si>
    <t>47:51</t>
  </si>
  <si>
    <t>89:01</t>
  </si>
  <si>
    <t>96:19</t>
  </si>
  <si>
    <t>97:54</t>
  </si>
  <si>
    <t>7663976</t>
  </si>
  <si>
    <t>Beblek</t>
  </si>
  <si>
    <t>311</t>
  </si>
  <si>
    <t>310</t>
  </si>
  <si>
    <t>8339339</t>
  </si>
  <si>
    <t>Frajzman</t>
  </si>
  <si>
    <t>Nevija</t>
  </si>
  <si>
    <t>2088253</t>
  </si>
  <si>
    <t>339</t>
  </si>
  <si>
    <t>Plevnik</t>
  </si>
  <si>
    <t>140:40</t>
  </si>
  <si>
    <t>48:40</t>
  </si>
  <si>
    <t>Ž21B</t>
  </si>
  <si>
    <t>16:42</t>
  </si>
  <si>
    <t>38:20</t>
  </si>
  <si>
    <t>42:57</t>
  </si>
  <si>
    <t>47:28</t>
  </si>
  <si>
    <t>48:07</t>
  </si>
  <si>
    <t>2148497</t>
  </si>
  <si>
    <t>192</t>
  </si>
  <si>
    <t>Pajnić</t>
  </si>
  <si>
    <t>189:07</t>
  </si>
  <si>
    <t>61:07</t>
  </si>
  <si>
    <t>39:20</t>
  </si>
  <si>
    <t>43:25</t>
  </si>
  <si>
    <t>49:23</t>
  </si>
  <si>
    <t>55:50</t>
  </si>
  <si>
    <t>59:44</t>
  </si>
  <si>
    <t>60:30</t>
  </si>
  <si>
    <t>2221126</t>
  </si>
  <si>
    <t>158</t>
  </si>
  <si>
    <t>170:56</t>
  </si>
  <si>
    <t>63:56</t>
  </si>
  <si>
    <t>34:20</t>
  </si>
  <si>
    <t>49:11</t>
  </si>
  <si>
    <t>56:37</t>
  </si>
  <si>
    <t>63:05</t>
  </si>
  <si>
    <t>2144791</t>
  </si>
  <si>
    <t>Gerjević</t>
  </si>
  <si>
    <t>Lana</t>
  </si>
  <si>
    <t>147:18</t>
  </si>
  <si>
    <t>64:18</t>
  </si>
  <si>
    <t>19:02</t>
  </si>
  <si>
    <t>44:07</t>
  </si>
  <si>
    <t>51:16</t>
  </si>
  <si>
    <t>57:18</t>
  </si>
  <si>
    <t>7000644</t>
  </si>
  <si>
    <t>151</t>
  </si>
  <si>
    <t>Ana-Marija</t>
  </si>
  <si>
    <t>163:59</t>
  </si>
  <si>
    <t>13:29</t>
  </si>
  <si>
    <t>33:52</t>
  </si>
  <si>
    <t>50:29</t>
  </si>
  <si>
    <t>64:37</t>
  </si>
  <si>
    <t>65:21</t>
  </si>
  <si>
    <t>2143665</t>
  </si>
  <si>
    <t>245</t>
  </si>
  <si>
    <t>Dukić</t>
  </si>
  <si>
    <t>Višnja</t>
  </si>
  <si>
    <t>132:21</t>
  </si>
  <si>
    <t>67:21</t>
  </si>
  <si>
    <t>21:43</t>
  </si>
  <si>
    <t>32:49</t>
  </si>
  <si>
    <t>40:54</t>
  </si>
  <si>
    <t>50:03</t>
  </si>
  <si>
    <t>59:27</t>
  </si>
  <si>
    <t>66:40</t>
  </si>
  <si>
    <t>1110911</t>
  </si>
  <si>
    <t>215</t>
  </si>
  <si>
    <t>Stanić</t>
  </si>
  <si>
    <t>Suzana</t>
  </si>
  <si>
    <t>147:26</t>
  </si>
  <si>
    <t>76:26</t>
  </si>
  <si>
    <t>42:21</t>
  </si>
  <si>
    <t>56:13</t>
  </si>
  <si>
    <t>63:22</t>
  </si>
  <si>
    <t>69:31</t>
  </si>
  <si>
    <t>74:24</t>
  </si>
  <si>
    <t>75:48</t>
  </si>
  <si>
    <t>893804</t>
  </si>
  <si>
    <t>153</t>
  </si>
  <si>
    <t>Čaja</t>
  </si>
  <si>
    <t>Lovorka</t>
  </si>
  <si>
    <t>82:10</t>
  </si>
  <si>
    <t>18:34</t>
  </si>
  <si>
    <t>49:29</t>
  </si>
  <si>
    <t>58:45</t>
  </si>
  <si>
    <t>67:04</t>
  </si>
  <si>
    <t>80:38</t>
  </si>
  <si>
    <t>81:31</t>
  </si>
  <si>
    <t>2442601</t>
  </si>
  <si>
    <t>Andrea</t>
  </si>
  <si>
    <t>203:27</t>
  </si>
  <si>
    <t>25:21</t>
  </si>
  <si>
    <t>52:40</t>
  </si>
  <si>
    <t>77:46</t>
  </si>
  <si>
    <t>82:11</t>
  </si>
  <si>
    <t>83:35</t>
  </si>
  <si>
    <t>9201754</t>
  </si>
  <si>
    <t>128</t>
  </si>
  <si>
    <t>Glušica</t>
  </si>
  <si>
    <t>Hana</t>
  </si>
  <si>
    <t>175:18</t>
  </si>
  <si>
    <t>89:18</t>
  </si>
  <si>
    <t>57:31</t>
  </si>
  <si>
    <t>64:04</t>
  </si>
  <si>
    <t>83:04</t>
  </si>
  <si>
    <t>87:54</t>
  </si>
  <si>
    <t>88:40</t>
  </si>
  <si>
    <t>2126435</t>
  </si>
  <si>
    <t>Latinger</t>
  </si>
  <si>
    <t>203:28</t>
  </si>
  <si>
    <t>93:28</t>
  </si>
  <si>
    <t>46:18</t>
  </si>
  <si>
    <t>54:39</t>
  </si>
  <si>
    <t>61:51</t>
  </si>
  <si>
    <t>72:37</t>
  </si>
  <si>
    <t>87:01</t>
  </si>
  <si>
    <t>91:42</t>
  </si>
  <si>
    <t>92:43</t>
  </si>
  <si>
    <t>361853</t>
  </si>
  <si>
    <t>96</t>
  </si>
  <si>
    <t>155:01</t>
  </si>
  <si>
    <t>56:22</t>
  </si>
  <si>
    <t>64:58</t>
  </si>
  <si>
    <t>71:48</t>
  </si>
  <si>
    <t>79:33</t>
  </si>
  <si>
    <t>88:04</t>
  </si>
  <si>
    <t>96:39</t>
  </si>
  <si>
    <t>222404</t>
  </si>
  <si>
    <t>81</t>
  </si>
  <si>
    <t>Zaitseva</t>
  </si>
  <si>
    <t>233:09</t>
  </si>
  <si>
    <t>120:09</t>
  </si>
  <si>
    <t>62:05</t>
  </si>
  <si>
    <t>75:22</t>
  </si>
  <si>
    <t>81:38</t>
  </si>
  <si>
    <t>88:42</t>
  </si>
  <si>
    <t>103:41</t>
  </si>
  <si>
    <t>112:53</t>
  </si>
  <si>
    <t>118:22</t>
  </si>
  <si>
    <t>119:18</t>
  </si>
  <si>
    <t>235087</t>
  </si>
  <si>
    <t>103</t>
  </si>
  <si>
    <t>Ivošević</t>
  </si>
  <si>
    <t>Luana</t>
  </si>
  <si>
    <t>1234109</t>
  </si>
  <si>
    <t>82</t>
  </si>
  <si>
    <t>Miličević</t>
  </si>
  <si>
    <t>Aleksandra</t>
  </si>
  <si>
    <t>361855</t>
  </si>
  <si>
    <t>Kranjec</t>
  </si>
  <si>
    <t>Nikolina</t>
  </si>
  <si>
    <t>338</t>
  </si>
  <si>
    <t>411390</t>
  </si>
  <si>
    <t>86</t>
  </si>
  <si>
    <t>2143680</t>
  </si>
  <si>
    <t>Martina</t>
  </si>
  <si>
    <t>893810</t>
  </si>
  <si>
    <t>256</t>
  </si>
  <si>
    <t>222418</t>
  </si>
  <si>
    <t>Oršulić</t>
  </si>
  <si>
    <t>Ljiljana</t>
  </si>
  <si>
    <t>2115774</t>
  </si>
  <si>
    <t>Melita</t>
  </si>
  <si>
    <t>2115770</t>
  </si>
  <si>
    <t>Markulin</t>
  </si>
  <si>
    <t>2133013</t>
  </si>
  <si>
    <t>144</t>
  </si>
  <si>
    <t>409107</t>
  </si>
  <si>
    <t>Tomac-Rojčević</t>
  </si>
  <si>
    <t>Marina</t>
  </si>
  <si>
    <t>23:26</t>
  </si>
  <si>
    <t>38:55</t>
  </si>
  <si>
    <t>2115775</t>
  </si>
  <si>
    <t>105</t>
  </si>
  <si>
    <t>Funarić</t>
  </si>
  <si>
    <t>2144746</t>
  </si>
  <si>
    <t>182</t>
  </si>
  <si>
    <t>Fištrek</t>
  </si>
  <si>
    <t>Željka</t>
  </si>
  <si>
    <t>91:15</t>
  </si>
  <si>
    <t>39:15</t>
  </si>
  <si>
    <t>Ž35</t>
  </si>
  <si>
    <t>3.82</t>
  </si>
  <si>
    <t>04:29</t>
  </si>
  <si>
    <t>06:46</t>
  </si>
  <si>
    <t>12:12</t>
  </si>
  <si>
    <t>28:13</t>
  </si>
  <si>
    <t>37:27</t>
  </si>
  <si>
    <t>2121769</t>
  </si>
  <si>
    <t>121</t>
  </si>
  <si>
    <t>Sonja</t>
  </si>
  <si>
    <t>41:28</t>
  </si>
  <si>
    <t>31:16</t>
  </si>
  <si>
    <t>33:22</t>
  </si>
  <si>
    <t>39:44</t>
  </si>
  <si>
    <t>7009778</t>
  </si>
  <si>
    <t>226</t>
  </si>
  <si>
    <t>Bedeković Tanković</t>
  </si>
  <si>
    <t>94:20</t>
  </si>
  <si>
    <t>45:20</t>
  </si>
  <si>
    <t>16:02</t>
  </si>
  <si>
    <t>36:06</t>
  </si>
  <si>
    <t>39:03</t>
  </si>
  <si>
    <t>43:29</t>
  </si>
  <si>
    <t>2120666</t>
  </si>
  <si>
    <t>299</t>
  </si>
  <si>
    <t>Berženji</t>
  </si>
  <si>
    <t>Sanda</t>
  </si>
  <si>
    <t>105:41</t>
  </si>
  <si>
    <t>47:41</t>
  </si>
  <si>
    <t>12:45</t>
  </si>
  <si>
    <t>15:10</t>
  </si>
  <si>
    <t>20:43</t>
  </si>
  <si>
    <t>37:19</t>
  </si>
  <si>
    <t>2144786</t>
  </si>
  <si>
    <t>130</t>
  </si>
  <si>
    <t>Popović</t>
  </si>
  <si>
    <t>Antea</t>
  </si>
  <si>
    <t>127:11</t>
  </si>
  <si>
    <t>08:26</t>
  </si>
  <si>
    <t>40:40</t>
  </si>
  <si>
    <t>49:04</t>
  </si>
  <si>
    <t>50:36</t>
  </si>
  <si>
    <t>7061277</t>
  </si>
  <si>
    <t>247</t>
  </si>
  <si>
    <t>Cini</t>
  </si>
  <si>
    <t>Fabiana</t>
  </si>
  <si>
    <t>98:40</t>
  </si>
  <si>
    <t>05:40</t>
  </si>
  <si>
    <t>08:49</t>
  </si>
  <si>
    <t>18:21</t>
  </si>
  <si>
    <t>42:29</t>
  </si>
  <si>
    <t>45:31</t>
  </si>
  <si>
    <t>50:54</t>
  </si>
  <si>
    <t>1420813</t>
  </si>
  <si>
    <t>126:50</t>
  </si>
  <si>
    <t>56:50</t>
  </si>
  <si>
    <t>08:34</t>
  </si>
  <si>
    <t>11:39</t>
  </si>
  <si>
    <t>44:03</t>
  </si>
  <si>
    <t>49:18</t>
  </si>
  <si>
    <t>54:49</t>
  </si>
  <si>
    <t>46479</t>
  </si>
  <si>
    <t>Seražin Korper</t>
  </si>
  <si>
    <t>Sabina</t>
  </si>
  <si>
    <t>154:22</t>
  </si>
  <si>
    <t>22:17</t>
  </si>
  <si>
    <t>44:16</t>
  </si>
  <si>
    <t>47:09</t>
  </si>
  <si>
    <t>56:36</t>
  </si>
  <si>
    <t>59:36</t>
  </si>
  <si>
    <t>7207170</t>
  </si>
  <si>
    <t>289</t>
  </si>
  <si>
    <t>Kovaljesko</t>
  </si>
  <si>
    <t>142:50</t>
  </si>
  <si>
    <t>60:50</t>
  </si>
  <si>
    <t>08:35</t>
  </si>
  <si>
    <t>15:54</t>
  </si>
  <si>
    <t>48:48</t>
  </si>
  <si>
    <t>53:35</t>
  </si>
  <si>
    <t>60:14</t>
  </si>
  <si>
    <t>2084417</t>
  </si>
  <si>
    <t>294</t>
  </si>
  <si>
    <t>Stupalo</t>
  </si>
  <si>
    <t>Vlatka</t>
  </si>
  <si>
    <t>101:07</t>
  </si>
  <si>
    <t>64:07</t>
  </si>
  <si>
    <t>10:38</t>
  </si>
  <si>
    <t>14:21</t>
  </si>
  <si>
    <t>22:59</t>
  </si>
  <si>
    <t>49:20</t>
  </si>
  <si>
    <t>52:17</t>
  </si>
  <si>
    <t>56:20</t>
  </si>
  <si>
    <t>61:41</t>
  </si>
  <si>
    <t>63:21</t>
  </si>
  <si>
    <t>2067883</t>
  </si>
  <si>
    <t>263</t>
  </si>
  <si>
    <t>Stipić</t>
  </si>
  <si>
    <t>Bernardica</t>
  </si>
  <si>
    <t>119:51</t>
  </si>
  <si>
    <t>12:49</t>
  </si>
  <si>
    <t>25:26</t>
  </si>
  <si>
    <t>52:15</t>
  </si>
  <si>
    <t>62:01</t>
  </si>
  <si>
    <t>64:10</t>
  </si>
  <si>
    <t>1420785</t>
  </si>
  <si>
    <t>230</t>
  </si>
  <si>
    <t>Popović Budi</t>
  </si>
  <si>
    <t>Daniela</t>
  </si>
  <si>
    <t>101:08</t>
  </si>
  <si>
    <t>13:48</t>
  </si>
  <si>
    <t>26:11</t>
  </si>
  <si>
    <t>54:40</t>
  </si>
  <si>
    <t>59:13</t>
  </si>
  <si>
    <t>66:19</t>
  </si>
  <si>
    <t>2105097</t>
  </si>
  <si>
    <t>204</t>
  </si>
  <si>
    <t>Bergant Vidaković</t>
  </si>
  <si>
    <t>160:27</t>
  </si>
  <si>
    <t>72:27</t>
  </si>
  <si>
    <t>08:28</t>
  </si>
  <si>
    <t>11:51</t>
  </si>
  <si>
    <t>61:11</t>
  </si>
  <si>
    <t>65:02</t>
  </si>
  <si>
    <t>70:08</t>
  </si>
  <si>
    <t>2133012</t>
  </si>
  <si>
    <t>239</t>
  </si>
  <si>
    <t>Krkić Drobić</t>
  </si>
  <si>
    <t>Aida</t>
  </si>
  <si>
    <t>114:44</t>
  </si>
  <si>
    <t>74:44</t>
  </si>
  <si>
    <t>24:46</t>
  </si>
  <si>
    <t>57:24</t>
  </si>
  <si>
    <t>61:34</t>
  </si>
  <si>
    <t>74:04</t>
  </si>
  <si>
    <t>2115769</t>
  </si>
  <si>
    <t>241</t>
  </si>
  <si>
    <t>Tatić</t>
  </si>
  <si>
    <t>92:09</t>
  </si>
  <si>
    <t>34:16</t>
  </si>
  <si>
    <t>72:02</t>
  </si>
  <si>
    <t>76:21</t>
  </si>
  <si>
    <t>80:17</t>
  </si>
  <si>
    <t>88:19</t>
  </si>
  <si>
    <t>91:03</t>
  </si>
  <si>
    <t>2113460</t>
  </si>
  <si>
    <t>219</t>
  </si>
  <si>
    <t>Tanja</t>
  </si>
  <si>
    <t>186:44</t>
  </si>
  <si>
    <t>101:44</t>
  </si>
  <si>
    <t>15:19</t>
  </si>
  <si>
    <t>73:43</t>
  </si>
  <si>
    <t>82:08</t>
  </si>
  <si>
    <t>85:43</t>
  </si>
  <si>
    <t>98:03</t>
  </si>
  <si>
    <t>100:58</t>
  </si>
  <si>
    <t>2067893</t>
  </si>
  <si>
    <t>258</t>
  </si>
  <si>
    <t>Kušt</t>
  </si>
  <si>
    <t>149:38</t>
  </si>
  <si>
    <t>106:38</t>
  </si>
  <si>
    <t>22:38</t>
  </si>
  <si>
    <t>41:40</t>
  </si>
  <si>
    <t>77:45</t>
  </si>
  <si>
    <t>93:59</t>
  </si>
  <si>
    <t>101:43</t>
  </si>
  <si>
    <t>105:36</t>
  </si>
  <si>
    <t>7830625</t>
  </si>
  <si>
    <t>336</t>
  </si>
  <si>
    <t>337</t>
  </si>
  <si>
    <t>2140845</t>
  </si>
  <si>
    <t>269</t>
  </si>
  <si>
    <t>Čalić</t>
  </si>
  <si>
    <t>Violeta</t>
  </si>
  <si>
    <t>7003400</t>
  </si>
  <si>
    <t>274</t>
  </si>
  <si>
    <t>8082973</t>
  </si>
  <si>
    <t>107:48</t>
  </si>
  <si>
    <t>35:48</t>
  </si>
  <si>
    <t>Ž45</t>
  </si>
  <si>
    <t>3.39</t>
  </si>
  <si>
    <t>06:24</t>
  </si>
  <si>
    <t>15:40</t>
  </si>
  <si>
    <t>23:44</t>
  </si>
  <si>
    <t>35:14</t>
  </si>
  <si>
    <t>406740</t>
  </si>
  <si>
    <t>Bojana</t>
  </si>
  <si>
    <t>91:57</t>
  </si>
  <si>
    <t>39:57</t>
  </si>
  <si>
    <t>09:35</t>
  </si>
  <si>
    <t>18:48</t>
  </si>
  <si>
    <t>27:37</t>
  </si>
  <si>
    <t>33:20</t>
  </si>
  <si>
    <t>36:27</t>
  </si>
  <si>
    <t>39:24</t>
  </si>
  <si>
    <t>1261971</t>
  </si>
  <si>
    <t>187</t>
  </si>
  <si>
    <t>Jakšić</t>
  </si>
  <si>
    <t>Mirka</t>
  </si>
  <si>
    <t>66:42</t>
  </si>
  <si>
    <t>42:42</t>
  </si>
  <si>
    <t>04:41</t>
  </si>
  <si>
    <t>06:19</t>
  </si>
  <si>
    <t>19:01</t>
  </si>
  <si>
    <t>29:48</t>
  </si>
  <si>
    <t>32:15</t>
  </si>
  <si>
    <t>38:53</t>
  </si>
  <si>
    <t>42:02</t>
  </si>
  <si>
    <t>8667809</t>
  </si>
  <si>
    <t>259</t>
  </si>
  <si>
    <t>Neda</t>
  </si>
  <si>
    <t>123:29</t>
  </si>
  <si>
    <t>06:34</t>
  </si>
  <si>
    <t>19:41</t>
  </si>
  <si>
    <t>29:41</t>
  </si>
  <si>
    <t>35:22</t>
  </si>
  <si>
    <t>39:31</t>
  </si>
  <si>
    <t>42:48</t>
  </si>
  <si>
    <t>2121763</t>
  </si>
  <si>
    <t>213</t>
  </si>
  <si>
    <t>Srebrenka</t>
  </si>
  <si>
    <t>51:37</t>
  </si>
  <si>
    <t>43:37</t>
  </si>
  <si>
    <t>04:55</t>
  </si>
  <si>
    <t>06:39</t>
  </si>
  <si>
    <t>16:45</t>
  </si>
  <si>
    <t>30:42</t>
  </si>
  <si>
    <t>35:31</t>
  </si>
  <si>
    <t>39:49</t>
  </si>
  <si>
    <t>42:58</t>
  </si>
  <si>
    <t>237600</t>
  </si>
  <si>
    <t>159</t>
  </si>
  <si>
    <t>Perica Cvjetko</t>
  </si>
  <si>
    <t>109:24</t>
  </si>
  <si>
    <t>45:24</t>
  </si>
  <si>
    <t>04:08</t>
  </si>
  <si>
    <t>33:48</t>
  </si>
  <si>
    <t>41:35</t>
  </si>
  <si>
    <t>44:47</t>
  </si>
  <si>
    <t>237593</t>
  </si>
  <si>
    <t>211</t>
  </si>
  <si>
    <t>66:41</t>
  </si>
  <si>
    <t>46:41</t>
  </si>
  <si>
    <t>04:54</t>
  </si>
  <si>
    <t>20:35</t>
  </si>
  <si>
    <t>31:47</t>
  </si>
  <si>
    <t>39:16</t>
  </si>
  <si>
    <t>43:13</t>
  </si>
  <si>
    <t>888973</t>
  </si>
  <si>
    <t>285</t>
  </si>
  <si>
    <t>92:06</t>
  </si>
  <si>
    <t>06:03</t>
  </si>
  <si>
    <t>21:38</t>
  </si>
  <si>
    <t>31:28</t>
  </si>
  <si>
    <t>44:25</t>
  </si>
  <si>
    <t>47:30</t>
  </si>
  <si>
    <t>7000641</t>
  </si>
  <si>
    <t>127</t>
  </si>
  <si>
    <t>Nataša</t>
  </si>
  <si>
    <t>83:39</t>
  </si>
  <si>
    <t>06:59</t>
  </si>
  <si>
    <t>17:02</t>
  </si>
  <si>
    <t>27:46</t>
  </si>
  <si>
    <t>30:28</t>
  </si>
  <si>
    <t>33:14</t>
  </si>
  <si>
    <t>47:37</t>
  </si>
  <si>
    <t>7672905</t>
  </si>
  <si>
    <t>146</t>
  </si>
  <si>
    <t>Kraintz</t>
  </si>
  <si>
    <t>Evelyn</t>
  </si>
  <si>
    <t>68:15</t>
  </si>
  <si>
    <t>06:53</t>
  </si>
  <si>
    <t>09:12</t>
  </si>
  <si>
    <t>25:14</t>
  </si>
  <si>
    <t>37:30</t>
  </si>
  <si>
    <t>2442588</t>
  </si>
  <si>
    <t>163</t>
  </si>
  <si>
    <t>Baburek</t>
  </si>
  <si>
    <t>Gabrijela</t>
  </si>
  <si>
    <t>53:45</t>
  </si>
  <si>
    <t>14:23</t>
  </si>
  <si>
    <t>39:13</t>
  </si>
  <si>
    <t>45:16</t>
  </si>
  <si>
    <t>49:27</t>
  </si>
  <si>
    <t>2109710</t>
  </si>
  <si>
    <t>229</t>
  </si>
  <si>
    <t>Glinska</t>
  </si>
  <si>
    <t>Beata Adrianna</t>
  </si>
  <si>
    <t>90:07</t>
  </si>
  <si>
    <t>54:07</t>
  </si>
  <si>
    <t>04:30</t>
  </si>
  <si>
    <t>28:50</t>
  </si>
  <si>
    <t>42:39</t>
  </si>
  <si>
    <t>2148494</t>
  </si>
  <si>
    <t>171</t>
  </si>
  <si>
    <t>Jazvić Mioković</t>
  </si>
  <si>
    <t>Marija</t>
  </si>
  <si>
    <t>83:42</t>
  </si>
  <si>
    <t>55:42</t>
  </si>
  <si>
    <t>07:16</t>
  </si>
  <si>
    <t>22:41</t>
  </si>
  <si>
    <t>31:55</t>
  </si>
  <si>
    <t>34:41</t>
  </si>
  <si>
    <t>55:11</t>
  </si>
  <si>
    <t>2120027</t>
  </si>
  <si>
    <t>260</t>
  </si>
  <si>
    <t>Schubert</t>
  </si>
  <si>
    <t>63:41</t>
  </si>
  <si>
    <t>59:41</t>
  </si>
  <si>
    <t>20:20</t>
  </si>
  <si>
    <t>58:59</t>
  </si>
  <si>
    <t>2123976</t>
  </si>
  <si>
    <t>181</t>
  </si>
  <si>
    <t>Gradečak Galović</t>
  </si>
  <si>
    <t>133:32</t>
  </si>
  <si>
    <t>65:32</t>
  </si>
  <si>
    <t>09:10</t>
  </si>
  <si>
    <t>11:24</t>
  </si>
  <si>
    <t>26:06</t>
  </si>
  <si>
    <t>38:30</t>
  </si>
  <si>
    <t>53:27</t>
  </si>
  <si>
    <t>64:50</t>
  </si>
  <si>
    <t>2442590</t>
  </si>
  <si>
    <t>162</t>
  </si>
  <si>
    <t>Govedarica</t>
  </si>
  <si>
    <t>Zvjezdana</t>
  </si>
  <si>
    <t>136:13</t>
  </si>
  <si>
    <t>76:13</t>
  </si>
  <si>
    <t>17:27</t>
  </si>
  <si>
    <t>34:18</t>
  </si>
  <si>
    <t>54:55</t>
  </si>
  <si>
    <t>58:43</t>
  </si>
  <si>
    <t>70:03</t>
  </si>
  <si>
    <t>75:20</t>
  </si>
  <si>
    <t>2030931</t>
  </si>
  <si>
    <t>Ostroski</t>
  </si>
  <si>
    <t>Sanja</t>
  </si>
  <si>
    <t>135:55</t>
  </si>
  <si>
    <t>11:56</t>
  </si>
  <si>
    <t>13:47</t>
  </si>
  <si>
    <t>41:42</t>
  </si>
  <si>
    <t>66:17</t>
  </si>
  <si>
    <t>69:14</t>
  </si>
  <si>
    <t>72:14</t>
  </si>
  <si>
    <t>82:27</t>
  </si>
  <si>
    <t>87:14</t>
  </si>
  <si>
    <t>1919197</t>
  </si>
  <si>
    <t>132</t>
  </si>
  <si>
    <t>Davorka</t>
  </si>
  <si>
    <t>335</t>
  </si>
  <si>
    <t>334</t>
  </si>
  <si>
    <t>636977</t>
  </si>
  <si>
    <t>174</t>
  </si>
  <si>
    <t>Cvitković</t>
  </si>
  <si>
    <t>48:51</t>
  </si>
  <si>
    <t>Ž55</t>
  </si>
  <si>
    <t>2.81</t>
  </si>
  <si>
    <t>90</t>
  </si>
  <si>
    <t>07:39</t>
  </si>
  <si>
    <t>23:35</t>
  </si>
  <si>
    <t>27:09</t>
  </si>
  <si>
    <t>48:03</t>
  </si>
  <si>
    <t>2115767</t>
  </si>
  <si>
    <t>233</t>
  </si>
  <si>
    <t>Teodora</t>
  </si>
  <si>
    <t>62:48</t>
  </si>
  <si>
    <t>17:38</t>
  </si>
  <si>
    <t>30:39</t>
  </si>
  <si>
    <t>43:17</t>
  </si>
  <si>
    <t>52:01</t>
  </si>
  <si>
    <t>2442557</t>
  </si>
  <si>
    <t>197</t>
  </si>
  <si>
    <t>Fabek</t>
  </si>
  <si>
    <t>Branka</t>
  </si>
  <si>
    <t>75:38</t>
  </si>
  <si>
    <t>53:38</t>
  </si>
  <si>
    <t>05:28</t>
  </si>
  <si>
    <t>28:52</t>
  </si>
  <si>
    <t>32:06</t>
  </si>
  <si>
    <t>44:24</t>
  </si>
  <si>
    <t>50:50</t>
  </si>
  <si>
    <t>232282</t>
  </si>
  <si>
    <t>65:27</t>
  </si>
  <si>
    <t>58:27</t>
  </si>
  <si>
    <t>07:19</t>
  </si>
  <si>
    <t>22:54</t>
  </si>
  <si>
    <t>28:28</t>
  </si>
  <si>
    <t>54:57</t>
  </si>
  <si>
    <t>57:33</t>
  </si>
  <si>
    <t>2125773</t>
  </si>
  <si>
    <t>114</t>
  </si>
  <si>
    <t>Ebenspanger</t>
  </si>
  <si>
    <t>Emilija</t>
  </si>
  <si>
    <t>65:28</t>
  </si>
  <si>
    <t>61:28</t>
  </si>
  <si>
    <t>19:10</t>
  </si>
  <si>
    <t>58:11</t>
  </si>
  <si>
    <t>60:33</t>
  </si>
  <si>
    <t>1416414</t>
  </si>
  <si>
    <t>218</t>
  </si>
  <si>
    <t>Holenda</t>
  </si>
  <si>
    <t>Karmen</t>
  </si>
  <si>
    <t>173:02</t>
  </si>
  <si>
    <t>157:02</t>
  </si>
  <si>
    <t>74:34</t>
  </si>
  <si>
    <t>89:59</t>
  </si>
  <si>
    <t>133:53</t>
  </si>
  <si>
    <t>152:26</t>
  </si>
  <si>
    <t>155:22</t>
  </si>
  <si>
    <t>332</t>
  </si>
  <si>
    <t>333</t>
  </si>
  <si>
    <t>236886</t>
  </si>
  <si>
    <t>208</t>
  </si>
  <si>
    <t>Vendler Čepelak</t>
  </si>
  <si>
    <t>72:15</t>
  </si>
  <si>
    <t>53:15</t>
  </si>
  <si>
    <t>Ž65</t>
  </si>
  <si>
    <t>2.33</t>
  </si>
  <si>
    <t>14:02</t>
  </si>
  <si>
    <t>22:55</t>
  </si>
  <si>
    <t>37:16</t>
  </si>
  <si>
    <t>52:18</t>
  </si>
  <si>
    <t>2300277</t>
  </si>
  <si>
    <t>Horvat-Nikšić</t>
  </si>
  <si>
    <t>Biserka</t>
  </si>
  <si>
    <t>72:55</t>
  </si>
  <si>
    <t>61:55</t>
  </si>
  <si>
    <t>20:01</t>
  </si>
  <si>
    <t>55:46</t>
  </si>
  <si>
    <t>2109704</t>
  </si>
  <si>
    <t>296</t>
  </si>
  <si>
    <t>Franc</t>
  </si>
  <si>
    <t>Vera</t>
  </si>
  <si>
    <t>43:43</t>
  </si>
  <si>
    <t>54:12</t>
  </si>
  <si>
    <t>64:21</t>
  </si>
  <si>
    <t>68:36</t>
  </si>
  <si>
    <t>331</t>
  </si>
  <si>
    <t>330</t>
  </si>
  <si>
    <t>350</t>
  </si>
  <si>
    <t>Ž70</t>
  </si>
  <si>
    <t>351</t>
  </si>
  <si>
    <t>nastup</t>
  </si>
  <si>
    <t>slobodno</t>
  </si>
  <si>
    <t>Ž</t>
  </si>
  <si>
    <t>donja</t>
  </si>
  <si>
    <t>gornja</t>
  </si>
  <si>
    <t>Otvorena</t>
  </si>
  <si>
    <t>-</t>
  </si>
  <si>
    <t>Početnici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</si>
  <si>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</si>
  <si>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</si>
  <si>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</si>
  <si>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</si>
  <si>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</si>
  <si>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</si>
  <si>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</si>
  <si>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</si>
  <si>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</si>
  <si>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</si>
  <si>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</si>
  <si>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</si>
  <si>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</si>
  <si>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</si>
  <si>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</si>
  <si>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</si>
  <si>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</si>
  <si>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</si>
  <si>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</si>
  <si>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</si>
  <si>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</si>
  <si>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</si>
  <si>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</si>
  <si>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</si>
  <si>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</si>
  <si>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</si>
  <si>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</si>
  <si>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</si>
  <si>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</si>
  <si>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</si>
  <si>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</si>
  <si>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</si>
  <si>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</si>
  <si>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</si>
  <si>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</si>
  <si>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</si>
  <si>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</si>
  <si>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</si>
  <si>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</si>
  <si>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</si>
  <si>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</si>
  <si>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</si>
  <si>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</si>
  <si>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</si>
  <si>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</si>
  <si>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</si>
  <si>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</si>
  <si>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</si>
  <si>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</si>
  <si>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</si>
  <si>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</si>
  <si>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</si>
  <si>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</si>
  <si>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</si>
  <si>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</si>
  <si>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</si>
  <si>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</si>
  <si>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</si>
  <si>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</si>
  <si>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</si>
  <si>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</si>
  <si>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</si>
  <si>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</si>
  <si>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</si>
  <si>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</si>
  <si>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</si>
  <si>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</si>
  <si>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</si>
  <si>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</si>
  <si>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</si>
  <si>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</si>
  <si>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</si>
  <si>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</si>
  <si>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</si>
  <si>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</si>
  <si>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</si>
  <si>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</si>
  <si>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</si>
  <si>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</si>
  <si>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</si>
  <si>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</si>
  <si>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</si>
  <si>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</si>
  <si>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</si>
  <si>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</si>
  <si>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</si>
  <si>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</si>
  <si>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</si>
  <si>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</si>
  <si>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</si>
  <si>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</si>
  <si>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</si>
  <si>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</si>
  <si>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</si>
  <si>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</si>
  <si>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</si>
  <si>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</si>
  <si>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</si>
  <si>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</si>
  <si>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</si>
  <si>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</si>
  <si>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</si>
  <si>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</si>
  <si>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</si>
  <si>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</si>
  <si>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</si>
  <si>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</si>
  <si>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</si>
  <si>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</si>
  <si>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</si>
  <si>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</si>
  <si>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</si>
  <si>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</si>
  <si>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</si>
  <si>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</si>
  <si>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</si>
  <si>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</si>
  <si>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</si>
  <si>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</si>
  <si>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</si>
  <si>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</si>
  <si>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</si>
  <si>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</si>
  <si>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</si>
  <si>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</si>
  <si>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</si>
  <si>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</si>
  <si>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</si>
  <si>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</si>
  <si>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</si>
  <si>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</si>
  <si>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</si>
  <si>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</si>
  <si>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</si>
  <si>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</si>
  <si>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</si>
  <si>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</si>
  <si>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</si>
  <si>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</si>
  <si>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</si>
  <si>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</si>
  <si>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</si>
  <si>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</si>
  <si>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</si>
  <si>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</si>
  <si>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</si>
  <si>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</si>
  <si>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</si>
  <si>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</si>
  <si>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</si>
  <si>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</si>
  <si>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</si>
  <si>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</si>
  <si>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</si>
  <si>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</si>
  <si>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</si>
  <si>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</si>
  <si>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</si>
  <si>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</si>
  <si>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</si>
  <si>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</si>
  <si>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</si>
  <si>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</si>
  <si>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</si>
  <si>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</si>
  <si>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</si>
  <si>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</si>
  <si>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</si>
  <si>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</si>
  <si>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</si>
  <si>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</si>
  <si>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</si>
  <si>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</si>
  <si>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</si>
  <si>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</si>
  <si>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</si>
  <si>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</si>
  <si>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</si>
  <si>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</si>
  <si>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</si>
  <si>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</si>
  <si>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</si>
  <si>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</si>
  <si>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</si>
  <si>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</si>
  <si>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</si>
  <si>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</si>
  <si>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</si>
  <si>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</si>
  <si>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</si>
  <si>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</si>
  <si>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</si>
  <si>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</si>
  <si>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</si>
  <si>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</si>
  <si>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</si>
  <si>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</si>
  <si>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</si>
  <si>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</si>
  <si>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</si>
  <si>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</si>
  <si>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</si>
  <si>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</si>
  <si>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</si>
  <si>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</si>
  <si>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</si>
  <si>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</si>
  <si>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</si>
  <si>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</si>
  <si>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</si>
  <si>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</si>
  <si>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</si>
  <si>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</si>
  <si>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</si>
  <si>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</si>
  <si>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</si>
  <si>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</si>
  <si>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</si>
  <si>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</si>
  <si>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</si>
  <si>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</si>
  <si>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</si>
  <si>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</si>
  <si>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</si>
  <si>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</si>
  <si>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</si>
  <si>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</si>
  <si>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</si>
  <si>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</si>
  <si>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</si>
  <si>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</si>
  <si>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</si>
  <si>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</si>
  <si>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</si>
  <si>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</si>
  <si>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</si>
  <si>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</si>
  <si>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</si>
  <si>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</si>
  <si>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</si>
  <si>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</si>
  <si>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</si>
  <si>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</si>
  <si>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</si>
  <si>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</si>
  <si>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</si>
  <si>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</si>
  <si>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</si>
  <si>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</si>
  <si>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</si>
  <si>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</si>
  <si>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</si>
  <si>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</si>
  <si>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</si>
  <si>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</si>
  <si>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</si>
  <si>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</si>
  <si>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</si>
  <si>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</si>
  <si>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</si>
  <si>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</si>
  <si>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</si>
  <si>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</si>
  <si>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</si>
  <si>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</si>
  <si>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</si>
  <si>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</si>
  <si>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</si>
  <si>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</si>
  <si>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</si>
  <si>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</si>
  <si>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</si>
  <si>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</si>
  <si>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</si>
  <si>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</si>
  <si>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</si>
  <si>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</si>
  <si>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</si>
  <si>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</si>
  <si>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</si>
  <si>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</si>
  <si>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</si>
  <si>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</si>
  <si>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</si>
  <si>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</si>
  <si>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</si>
  <si>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</si>
  <si>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</si>
  <si>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</si>
  <si>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</si>
  <si>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</si>
  <si>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</si>
  <si>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</si>
  <si>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</si>
  <si>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</si>
  <si>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</si>
  <si>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</si>
  <si>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</si>
  <si>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</si>
  <si>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</si>
  <si>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</si>
  <si>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</si>
  <si>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</si>
  <si>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</si>
  <si>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</si>
  <si>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</si>
  <si>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</si>
  <si>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</si>
  <si>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</si>
  <si>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</si>
  <si>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</si>
  <si>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</si>
  <si>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</si>
  <si>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</si>
  <si>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</si>
  <si>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</si>
  <si>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</si>
  <si>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</si>
  <si>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</si>
  <si>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</si>
  <si>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</si>
  <si>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</si>
  <si>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</si>
  <si>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</si>
  <si>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</si>
  <si>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</si>
  <si>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</si>
  <si>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</si>
  <si>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</si>
  <si>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</si>
  <si>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</si>
  <si>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</si>
  <si>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</si>
  <si>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</si>
  <si>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</si>
  <si>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</si>
  <si>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</si>
  <si>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</si>
  <si>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</si>
  <si>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</si>
  <si>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</si>
  <si>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</si>
  <si>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</si>
  <si>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</si>
  <si>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</si>
  <si>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</si>
  <si>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</si>
  <si>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</si>
  <si>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</si>
  <si>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</si>
  <si>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</si>
  <si>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</si>
  <si>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</si>
  <si>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</si>
  <si>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</si>
  <si>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</si>
  <si>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</si>
  <si>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</si>
  <si>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</si>
  <si>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</si>
  <si>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</si>
  <si>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</si>
  <si>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</si>
  <si>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</si>
  <si>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</si>
  <si>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</si>
  <si>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</si>
  <si>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</si>
  <si>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</si>
  <si>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</si>
  <si>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</si>
  <si>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</si>
  <si>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</si>
  <si>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</si>
  <si>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</si>
  <si>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</si>
  <si>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</si>
  <si>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</si>
  <si>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</si>
  <si>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</si>
  <si>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</si>
  <si>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</si>
  <si>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</si>
  <si>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</si>
  <si>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</si>
  <si>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</si>
  <si>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</si>
  <si>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</si>
  <si>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</si>
  <si>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</si>
  <si>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</si>
  <si>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</si>
  <si>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</si>
  <si>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</si>
  <si>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</si>
  <si>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</si>
  <si>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</si>
  <si>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</si>
  <si>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</si>
  <si>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</si>
  <si>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</si>
  <si>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</si>
  <si>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</si>
  <si>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</si>
  <si>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</si>
  <si>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</si>
  <si>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</si>
  <si>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</si>
  <si>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</si>
  <si>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</si>
  <si>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</si>
  <si>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</si>
  <si>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</si>
  <si>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</si>
  <si>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</si>
  <si>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</si>
  <si>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</si>
  <si>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</si>
  <si>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</si>
  <si>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</si>
  <si>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</si>
  <si>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</si>
  <si>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</si>
  <si>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</si>
  <si>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</si>
  <si>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</si>
  <si>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</si>
  <si>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</si>
  <si>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</si>
  <si>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</si>
  <si>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</si>
  <si>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</si>
  <si>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</si>
  <si>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</si>
  <si>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</si>
  <si>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</si>
  <si>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</si>
  <si>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</si>
  <si>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</si>
  <si>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</si>
  <si>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</si>
  <si>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</si>
  <si>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</si>
  <si>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</si>
  <si>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</si>
  <si>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</si>
  <si>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</si>
  <si>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</si>
  <si>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</si>
  <si>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</si>
  <si>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</si>
  <si>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</si>
  <si>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</si>
  <si>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</si>
  <si>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</si>
  <si>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</si>
  <si>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</si>
  <si>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</si>
  <si>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</si>
  <si>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</si>
  <si>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</si>
  <si>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</si>
  <si>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</si>
  <si>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</si>
  <si>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</si>
  <si>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</si>
  <si>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</si>
  <si>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</si>
  <si>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</si>
  <si>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</si>
  <si>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</si>
  <si>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</si>
  <si>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</si>
  <si>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</si>
  <si>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</si>
  <si>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</si>
  <si>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</si>
  <si>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</si>
  <si>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</si>
  <si>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</si>
  <si>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</si>
  <si>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</si>
  <si>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</si>
  <si>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</si>
  <si>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</si>
  <si>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</si>
  <si>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</si>
  <si>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</si>
  <si>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</si>
  <si>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</si>
  <si>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</si>
  <si>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</si>
  <si>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</si>
  <si>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</si>
  <si>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</si>
  <si>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</si>
  <si>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</si>
  <si>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</si>
  <si>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</si>
  <si>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</si>
  <si>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</si>
  <si>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</si>
  <si>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</si>
  <si>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</si>
  <si>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</si>
  <si>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</si>
  <si>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</si>
  <si>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</si>
  <si>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</si>
  <si>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</si>
  <si>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</si>
  <si>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</si>
  <si>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</si>
  <si>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</si>
  <si>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</si>
  <si>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</si>
  <si>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</si>
  <si>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</si>
  <si>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</si>
  <si>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</si>
  <si>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</si>
  <si>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</si>
  <si>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</si>
  <si>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</si>
  <si>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</si>
  <si>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</si>
  <si>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</si>
  <si>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</si>
  <si>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</si>
  <si>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</si>
  <si>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</si>
  <si>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</si>
  <si>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</si>
  <si>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</si>
  <si>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</si>
  <si>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</si>
  <si>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</si>
  <si>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</si>
  <si>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</si>
  <si>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</si>
  <si>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</si>
  <si>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</si>
  <si>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</si>
  <si>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</si>
  <si>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</si>
  <si>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</si>
  <si>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</si>
  <si>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</si>
  <si>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</si>
  <si>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</si>
  <si>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</si>
  <si>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</si>
  <si>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</si>
  <si>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</si>
  <si>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</si>
  <si>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</si>
  <si>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</si>
  <si>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</si>
  <si>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</si>
  <si>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</si>
  <si>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</si>
  <si>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</si>
  <si>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</si>
  <si>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</si>
  <si>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</si>
  <si>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</si>
  <si>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</si>
  <si>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</si>
  <si>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</si>
  <si>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</si>
  <si>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</si>
  <si>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</si>
  <si>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</si>
  <si>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</si>
  <si>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</si>
  <si>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</si>
  <si>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</si>
  <si>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</si>
  <si>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</si>
  <si>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</si>
  <si>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</si>
  <si>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</si>
  <si>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</si>
  <si>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</si>
  <si>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</si>
  <si>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</si>
  <si>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</si>
  <si>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</si>
  <si>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</si>
  <si>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</si>
  <si>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</si>
  <si>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</si>
  <si>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</si>
  <si>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</si>
  <si>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</si>
  <si>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</si>
  <si>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</si>
  <si>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</si>
  <si>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</si>
  <si>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</si>
  <si>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</si>
  <si>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</si>
  <si>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</si>
  <si>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</si>
  <si>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</si>
  <si>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</si>
  <si>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</si>
  <si>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</si>
  <si>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</si>
  <si>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</si>
  <si>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</si>
  <si>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</si>
  <si>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</si>
  <si>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</si>
  <si>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</si>
  <si>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</si>
  <si>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</si>
  <si>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</si>
  <si>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</si>
  <si>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</si>
  <si>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</si>
  <si>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</si>
  <si>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</si>
  <si>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</si>
  <si>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</si>
  <si>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</si>
  <si>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</si>
  <si>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</si>
  <si>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</si>
  <si>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</si>
  <si>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</si>
  <si>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</si>
  <si>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</si>
  <si>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</si>
  <si>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</si>
  <si>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</si>
  <si>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</si>
  <si>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</si>
  <si>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</si>
  <si>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</si>
  <si>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</si>
  <si>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</si>
  <si>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</si>
  <si>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</si>
  <si>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</si>
  <si>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</si>
  <si>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</si>
  <si>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</si>
  <si>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</si>
  <si>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</si>
  <si>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</si>
  <si>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</si>
  <si>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</si>
  <si>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</si>
  <si>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</si>
  <si>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</si>
  <si>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</si>
  <si>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</si>
  <si>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</si>
  <si>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</si>
  <si>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</si>
  <si>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</si>
  <si>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</si>
  <si>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</si>
  <si>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</si>
  <si>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</si>
  <si>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</si>
  <si>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</si>
  <si>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</si>
  <si>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</si>
  <si>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</si>
  <si>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</si>
  <si>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</si>
  <si>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</si>
  <si>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</si>
  <si>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</si>
  <si>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</si>
  <si>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</si>
  <si>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</si>
  <si>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</si>
  <si>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</si>
  <si>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</si>
  <si>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</si>
  <si>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</si>
  <si>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</si>
  <si>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</si>
  <si>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</si>
  <si>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</si>
  <si>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</si>
  <si>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</si>
  <si>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</si>
  <si>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</si>
  <si>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</si>
  <si>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</si>
  <si>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Andrija Golubić</t>
  </si>
  <si>
    <t>max(natjecatelj_id)</t>
  </si>
  <si>
    <t>aliasa/novih</t>
  </si>
  <si>
    <t>alias/novi</t>
  </si>
  <si>
    <t>aliasa natjecatelja</t>
  </si>
  <si>
    <t>novi alias natjecatelja i/ili novi natjecatelj</t>
  </si>
  <si>
    <t>SELECT max(id) FROM staza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</si>
</sst>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24" xfId="0" applyFont="1" applyFill="1" applyBorder="1" applyAlignment="1">
      <alignment horizontal="right" indent="1"/>
    </xf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" fillId="9" borderId="23" xfId="0" applyFont="1" applyFill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8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8" borderId="7" xfId="0" applyFont="1" applyFill="1" applyBorder="1" applyAlignment="1"/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85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DDDDDD"/>
      <color rgb="FFFFDD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workbookViewId="0">
      <selection activeCell="B25" sqref="B25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34"/>
      <c r="C2" s="235" t="s">
        <v>241</v>
      </c>
      <c r="E2" s="277" t="s">
        <v>242</v>
      </c>
      <c r="F2" s="278"/>
      <c r="G2" s="279"/>
    </row>
    <row r="3" spans="2:7" ht="15.75" thickTop="1" x14ac:dyDescent="0.25"/>
    <row r="4" spans="2:7" ht="15.75" thickBot="1" x14ac:dyDescent="0.3">
      <c r="B4" s="276" t="s">
        <v>32</v>
      </c>
      <c r="C4" s="276"/>
      <c r="E4" s="84" t="s">
        <v>55</v>
      </c>
      <c r="G4" s="84" t="s">
        <v>244</v>
      </c>
    </row>
    <row r="5" spans="2:7" ht="15.75" thickBot="1" x14ac:dyDescent="0.3"/>
    <row r="6" spans="2:7" ht="15.75" thickBot="1" x14ac:dyDescent="0.3">
      <c r="B6" s="13" t="s">
        <v>31</v>
      </c>
      <c r="C6" s="123" t="s">
        <v>4399</v>
      </c>
      <c r="E6" s="85" t="s">
        <v>243</v>
      </c>
      <c r="G6" s="85" t="s">
        <v>245</v>
      </c>
    </row>
    <row r="7" spans="2:7" x14ac:dyDescent="0.25">
      <c r="E7" s="85" t="s">
        <v>247</v>
      </c>
      <c r="G7" s="237" t="s">
        <v>246</v>
      </c>
    </row>
    <row r="8" spans="2:7" x14ac:dyDescent="0.25">
      <c r="E8" s="85" t="s">
        <v>248</v>
      </c>
      <c r="G8" s="237" t="s">
        <v>260</v>
      </c>
    </row>
    <row r="9" spans="2:7" ht="15.75" thickBot="1" x14ac:dyDescent="0.3">
      <c r="B9" s="276" t="s">
        <v>33</v>
      </c>
      <c r="C9" s="276"/>
      <c r="E9" s="85" t="s">
        <v>249</v>
      </c>
      <c r="G9" s="237" t="s">
        <v>261</v>
      </c>
    </row>
    <row r="10" spans="2:7" ht="15.75" thickBot="1" x14ac:dyDescent="0.3">
      <c r="E10" s="85" t="s">
        <v>250</v>
      </c>
      <c r="G10" s="237" t="s">
        <v>275</v>
      </c>
    </row>
    <row r="11" spans="2:7" ht="15.75" thickBot="1" x14ac:dyDescent="0.3">
      <c r="B11" s="13" t="s">
        <v>23</v>
      </c>
      <c r="C11" s="122">
        <v>1</v>
      </c>
      <c r="E11" s="85" t="s">
        <v>251</v>
      </c>
    </row>
    <row r="12" spans="2:7" ht="15.75" thickBot="1" x14ac:dyDescent="0.3">
      <c r="E12" s="85" t="s">
        <v>252</v>
      </c>
    </row>
    <row r="13" spans="2:7" ht="15.75" thickBot="1" x14ac:dyDescent="0.3">
      <c r="B13" s="13" t="s">
        <v>22</v>
      </c>
      <c r="C13" s="122">
        <v>101</v>
      </c>
      <c r="E13" s="85" t="s">
        <v>253</v>
      </c>
    </row>
    <row r="14" spans="2:7" ht="15.75" thickBot="1" x14ac:dyDescent="0.3">
      <c r="B14" s="13"/>
      <c r="C14" s="17"/>
      <c r="E14" s="85" t="s">
        <v>254</v>
      </c>
    </row>
    <row r="15" spans="2:7" ht="15.75" thickBot="1" x14ac:dyDescent="0.3">
      <c r="B15" s="13" t="s">
        <v>41</v>
      </c>
      <c r="C15" s="122">
        <v>1002</v>
      </c>
      <c r="E15" s="85" t="s">
        <v>268</v>
      </c>
    </row>
    <row r="16" spans="2:7" ht="15.75" thickBot="1" x14ac:dyDescent="0.3">
      <c r="B16" s="13"/>
      <c r="C16" s="17"/>
      <c r="E16" s="85" t="s">
        <v>269</v>
      </c>
    </row>
    <row r="17" spans="2:7" ht="15.75" thickBot="1" x14ac:dyDescent="0.3">
      <c r="B17" s="13" t="s">
        <v>211</v>
      </c>
      <c r="C17" s="122">
        <v>1</v>
      </c>
      <c r="E17" s="85" t="s">
        <v>255</v>
      </c>
    </row>
    <row r="18" spans="2:7" ht="15.75" thickBot="1" x14ac:dyDescent="0.3">
      <c r="B18" s="13"/>
      <c r="C18" s="17"/>
      <c r="E18" s="85" t="s">
        <v>270</v>
      </c>
    </row>
    <row r="19" spans="2:7" ht="15.75" thickBot="1" x14ac:dyDescent="0.3">
      <c r="B19" s="13" t="s">
        <v>43</v>
      </c>
      <c r="C19" s="122">
        <v>882</v>
      </c>
      <c r="E19" s="236" t="s">
        <v>256</v>
      </c>
    </row>
    <row r="20" spans="2:7" ht="15.75" thickBot="1" x14ac:dyDescent="0.3">
      <c r="B20" s="13"/>
      <c r="C20" s="18"/>
      <c r="E20" s="236" t="s">
        <v>257</v>
      </c>
    </row>
    <row r="21" spans="2:7" ht="15.75" thickBot="1" x14ac:dyDescent="0.3">
      <c r="B21" s="13" t="s">
        <v>44</v>
      </c>
      <c r="C21" s="122">
        <v>1966</v>
      </c>
      <c r="E21" s="85" t="s">
        <v>258</v>
      </c>
    </row>
    <row r="22" spans="2:7" ht="15.75" thickBot="1" x14ac:dyDescent="0.3">
      <c r="B22" s="13"/>
      <c r="C22" s="18"/>
      <c r="E22" s="85" t="s">
        <v>271</v>
      </c>
      <c r="G22" s="13" t="s">
        <v>4409</v>
      </c>
    </row>
    <row r="23" spans="2:7" ht="15.75" thickBot="1" x14ac:dyDescent="0.3">
      <c r="B23" s="13" t="s">
        <v>45</v>
      </c>
      <c r="C23" s="122">
        <v>1966</v>
      </c>
      <c r="E23" s="85" t="s">
        <v>259</v>
      </c>
    </row>
    <row r="24" spans="2:7" ht="15.75" thickBot="1" x14ac:dyDescent="0.3">
      <c r="B24" s="13"/>
      <c r="C24" s="18"/>
      <c r="E24" s="3" t="s">
        <v>262</v>
      </c>
    </row>
    <row r="25" spans="2:7" ht="15.75" thickBot="1" x14ac:dyDescent="0.3">
      <c r="B25" s="13" t="s">
        <v>4409</v>
      </c>
      <c r="C25" s="122">
        <f>MAX(data_max_osoba_id,data_max_imePrezime_id)</f>
        <v>1966</v>
      </c>
      <c r="E25" s="85" t="s">
        <v>263</v>
      </c>
    </row>
    <row r="26" spans="2:7" ht="15.75" thickBot="1" x14ac:dyDescent="0.3">
      <c r="E26" s="3" t="s">
        <v>264</v>
      </c>
    </row>
    <row r="27" spans="2:7" ht="15.75" thickBot="1" x14ac:dyDescent="0.3">
      <c r="B27" s="13" t="s">
        <v>4414</v>
      </c>
      <c r="C27" s="122">
        <v>12</v>
      </c>
      <c r="E27" s="85" t="s">
        <v>265</v>
      </c>
    </row>
    <row r="28" spans="2:7" ht="15.75" thickBot="1" x14ac:dyDescent="0.3">
      <c r="B28" s="13"/>
      <c r="E28" s="3" t="s">
        <v>266</v>
      </c>
    </row>
    <row r="29" spans="2:7" ht="15.75" thickBot="1" x14ac:dyDescent="0.3">
      <c r="B29" s="13" t="s">
        <v>150</v>
      </c>
      <c r="C29" s="122">
        <v>1</v>
      </c>
      <c r="E29" s="85" t="s">
        <v>267</v>
      </c>
    </row>
    <row r="30" spans="2:7" ht="15.75" thickBot="1" x14ac:dyDescent="0.3">
      <c r="B30" s="13"/>
      <c r="C30" s="17"/>
      <c r="E30" s="85" t="s">
        <v>272</v>
      </c>
    </row>
    <row r="31" spans="2:7" ht="15.75" thickBot="1" x14ac:dyDescent="0.3">
      <c r="B31" s="13" t="s">
        <v>42</v>
      </c>
      <c r="C31" s="122">
        <v>22</v>
      </c>
      <c r="E31" s="85" t="s">
        <v>273</v>
      </c>
    </row>
    <row r="32" spans="2:7" ht="15.75" thickBot="1" x14ac:dyDescent="0.3">
      <c r="E32" s="85" t="s">
        <v>274</v>
      </c>
    </row>
    <row r="33" spans="2:5" ht="15.75" thickBot="1" x14ac:dyDescent="0.3">
      <c r="B33" s="13" t="s">
        <v>67</v>
      </c>
      <c r="C33" s="122">
        <v>191</v>
      </c>
      <c r="E33" s="85" t="s">
        <v>276</v>
      </c>
    </row>
    <row r="34" spans="2:5" ht="15.75" thickBot="1" x14ac:dyDescent="0.3">
      <c r="E34" s="85" t="s">
        <v>277</v>
      </c>
    </row>
    <row r="35" spans="2:5" ht="15.75" thickBot="1" x14ac:dyDescent="0.3">
      <c r="B35" s="13" t="str">
        <f>"SELECT max_minuta FROM trka WHERE id = "&amp;data_trka_id</f>
        <v>SELECT max_minuta FROM trka WHERE id = 1002</v>
      </c>
      <c r="C35" s="122">
        <v>180</v>
      </c>
      <c r="E35" s="85" t="s">
        <v>278</v>
      </c>
    </row>
    <row r="36" spans="2:5" x14ac:dyDescent="0.25">
      <c r="E36" s="3" t="s">
        <v>279</v>
      </c>
    </row>
    <row r="37" spans="2:5" x14ac:dyDescent="0.25">
      <c r="E37" s="85" t="s">
        <v>280</v>
      </c>
    </row>
    <row r="39" spans="2:5" x14ac:dyDescent="0.25">
      <c r="E39" s="238" t="s">
        <v>281</v>
      </c>
    </row>
    <row r="43" spans="2:5" x14ac:dyDescent="0.25">
      <c r="E43" s="3" t="s">
        <v>56</v>
      </c>
    </row>
    <row r="44" spans="2:5" x14ac:dyDescent="0.25">
      <c r="E44" s="85" t="s">
        <v>57</v>
      </c>
    </row>
    <row r="45" spans="2:5" x14ac:dyDescent="0.25">
      <c r="E45" s="85" t="s">
        <v>58</v>
      </c>
    </row>
    <row r="46" spans="2:5" x14ac:dyDescent="0.25">
      <c r="E46" s="85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J413"/>
  <sheetViews>
    <sheetView tabSelected="1" topLeftCell="AJ1" zoomScaleNormal="100" workbookViewId="0">
      <pane ySplit="12" topLeftCell="A13" activePane="bottomLeft" state="frozen"/>
      <selection activeCell="G8" sqref="G8"/>
      <selection pane="bottomLeft" activeCell="AL18" sqref="AL18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2.85546875" customWidth="1"/>
    <col min="26" max="26" width="8" style="3" hidden="1" customWidth="1" outlineLevel="1"/>
    <col min="27" max="27" width="6.85546875" style="1" hidden="1" customWidth="1" outlineLevel="1"/>
    <col min="28" max="29" width="14.28515625" style="3" hidden="1" customWidth="1" outlineLevel="1"/>
    <col min="30" max="30" width="2.85546875" hidden="1" customWidth="1" outlineLevel="1"/>
    <col min="31" max="31" width="14.28515625" style="3" hidden="1" customWidth="1" outlineLevel="1"/>
    <col min="32" max="32" width="2.85546875" hidden="1" customWidth="1" outlineLevel="1"/>
    <col min="33" max="33" width="14.28515625" hidden="1" customWidth="1" outlineLevel="1"/>
    <col min="34" max="34" width="2.85546875" customWidth="1" collapsed="1"/>
    <col min="35" max="35" width="11.42578125" style="3" customWidth="1" collapsed="1"/>
    <col min="36" max="36" width="2.85546875" customWidth="1"/>
    <col min="37" max="37" width="13.7109375" style="3" customWidth="1" outlineLevel="1"/>
    <col min="38" max="38" width="14.28515625" style="3" customWidth="1" outlineLevel="1"/>
    <col min="39" max="40" width="9.140625" style="1" customWidth="1" outlineLevel="1"/>
    <col min="41" max="41" width="13.7109375" style="3" customWidth="1" outlineLevel="1"/>
    <col min="42" max="42" width="14.28515625" style="3" customWidth="1" outlineLevel="1"/>
    <col min="43" max="43" width="2.85546875" customWidth="1"/>
    <col min="44" max="44" width="22.85546875" style="3" customWidth="1" outlineLevel="1"/>
    <col min="45" max="45" width="2.85546875" customWidth="1" outlineLevel="1"/>
    <col min="46" max="46" width="16" style="1" customWidth="1" outlineLevel="1"/>
    <col min="47" max="47" width="2.85546875" customWidth="1"/>
    <col min="48" max="48" width="16" style="3" customWidth="1" outlineLevel="1"/>
    <col min="49" max="49" width="18.28515625" style="3" customWidth="1" outlineLevel="1"/>
    <col min="50" max="50" width="2.85546875" customWidth="1"/>
    <col min="51" max="51" width="18" style="1" bestFit="1" customWidth="1" outlineLevel="1"/>
    <col min="52" max="52" width="2.85546875" customWidth="1"/>
    <col min="53" max="53" width="23" style="3" customWidth="1" outlineLevel="1"/>
    <col min="54" max="54" width="19.42578125" style="1" customWidth="1" outlineLevel="1"/>
    <col min="55" max="55" width="16" style="1" customWidth="1" outlineLevel="1"/>
    <col min="56" max="56" width="19.42578125" style="1" customWidth="1" outlineLevel="1"/>
    <col min="57" max="57" width="2.85546875" customWidth="1"/>
    <col min="58" max="58" width="13.7109375" style="3" customWidth="1" outlineLevel="1"/>
    <col min="59" max="59" width="14.28515625" style="3" customWidth="1" outlineLevel="1"/>
    <col min="60" max="60" width="2.85546875" customWidth="1"/>
    <col min="61" max="61" width="12.5703125" style="3" customWidth="1" outlineLevel="1"/>
    <col min="62" max="62" width="13.7109375" style="3" customWidth="1" outlineLevel="1"/>
    <col min="63" max="63" width="9.140625" style="1" customWidth="1" outlineLevel="1"/>
    <col min="64" max="65" width="13.7109375" style="3" customWidth="1" outlineLevel="1"/>
    <col min="66" max="66" width="5.5703125" style="1" customWidth="1" outlineLevel="1"/>
    <col min="67" max="67" width="13.7109375" style="3" customWidth="1" outlineLevel="1"/>
    <col min="68" max="68" width="2.85546875" customWidth="1"/>
    <col min="69" max="69" width="14.28515625" style="3" customWidth="1" outlineLevel="1"/>
    <col min="70" max="70" width="13.7109375" style="1" customWidth="1" outlineLevel="1"/>
    <col min="71" max="71" width="14.28515625" style="3" customWidth="1" outlineLevel="1"/>
    <col min="72" max="72" width="10.28515625" style="3" customWidth="1" outlineLevel="1"/>
    <col min="73" max="73" width="2.85546875" customWidth="1" outlineLevel="1"/>
    <col min="74" max="74" width="14.28515625" customWidth="1" outlineLevel="1"/>
    <col min="75" max="75" width="2.85546875" customWidth="1"/>
    <col min="76" max="76" width="14.28515625" style="3" customWidth="1" outlineLevel="1"/>
    <col min="77" max="77" width="2.85546875" customWidth="1" outlineLevel="1"/>
    <col min="78" max="78" width="14.28515625" style="3" customWidth="1" outlineLevel="1"/>
    <col min="79" max="79" width="2.85546875" customWidth="1" outlineLevel="1"/>
    <col min="80" max="80" width="9.140625" style="1" customWidth="1" outlineLevel="1"/>
    <col min="81" max="82" width="14.28515625" style="3" customWidth="1" outlineLevel="1"/>
    <col min="83" max="83" width="11.42578125" style="3" customWidth="1" outlineLevel="1"/>
    <col min="84" max="84" width="10.28515625" style="3" customWidth="1" outlineLevel="1"/>
    <col min="85" max="85" width="14.28515625" style="3" customWidth="1" outlineLevel="1"/>
    <col min="86" max="87" width="10.28515625" style="3" customWidth="1" outlineLevel="1"/>
    <col min="88" max="88" width="2.85546875" customWidth="1" outlineLevel="1"/>
    <col min="89" max="89" width="13.7109375" style="1" customWidth="1" outlineLevel="1"/>
    <col min="90" max="90" width="2.85546875" customWidth="1" outlineLevel="1"/>
    <col min="91" max="91" width="14.28515625" customWidth="1" outlineLevel="1"/>
    <col min="92" max="92" width="2.85546875" customWidth="1"/>
    <col min="93" max="93" width="14.28515625" style="3" customWidth="1"/>
    <col min="94" max="94" width="2.85546875" customWidth="1"/>
    <col min="95" max="95" width="8.42578125" style="1" customWidth="1" outlineLevel="1"/>
    <col min="96" max="96" width="6.85546875" style="1" customWidth="1" outlineLevel="1"/>
    <col min="97" max="97" width="10.28515625" style="1" customWidth="1" outlineLevel="1"/>
    <col min="98" max="98" width="8.42578125" style="1" customWidth="1" outlineLevel="1"/>
    <col min="99" max="99" width="13.7109375" style="1" customWidth="1" outlineLevel="1"/>
    <col min="100" max="100" width="2.85546875" customWidth="1"/>
    <col min="101" max="102" width="9.140625" style="1" customWidth="1" outlineLevel="1"/>
    <col min="103" max="107" width="2.85546875" customWidth="1"/>
    <col min="108" max="108" width="18.28515625" style="1" customWidth="1" outlineLevel="1"/>
    <col min="109" max="109" width="2.85546875" customWidth="1" outlineLevel="1" collapsed="1"/>
    <col min="110" max="110" width="11.42578125" style="1" customWidth="1" outlineLevel="1"/>
    <col min="111" max="111" width="2.85546875" customWidth="1" outlineLevel="1" collapsed="1"/>
    <col min="112" max="113" width="5.140625" customWidth="1" outlineLevel="1"/>
    <col min="114" max="114" width="2.85546875" customWidth="1" outlineLevel="1" collapsed="1"/>
    <col min="115" max="115" width="14.28515625" customWidth="1" outlineLevel="1"/>
    <col min="116" max="116" width="2.85546875" customWidth="1"/>
    <col min="117" max="117" width="14.28515625" customWidth="1" outlineLevel="1"/>
    <col min="118" max="118" width="2.85546875" customWidth="1"/>
    <col min="119" max="119" width="40" style="3" customWidth="1" outlineLevel="1"/>
    <col min="120" max="120" width="9.140625" style="1" customWidth="1" outlineLevel="1"/>
    <col min="121" max="121" width="2.85546875" customWidth="1" outlineLevel="1"/>
    <col min="122" max="122" width="31.42578125" style="3" customWidth="1" outlineLevel="1"/>
    <col min="123" max="123" width="9.140625" style="1" customWidth="1" outlineLevel="1"/>
    <col min="124" max="124" width="2.85546875" customWidth="1"/>
    <col min="125" max="125" width="25.7109375" style="3" customWidth="1"/>
    <col min="126" max="126" width="9.140625" style="1"/>
    <col min="127" max="127" width="2.85546875" customWidth="1"/>
    <col min="128" max="128" width="14.42578125" style="1" customWidth="1"/>
    <col min="129" max="129" width="16" style="1" customWidth="1"/>
    <col min="130" max="130" width="2.85546875" customWidth="1"/>
    <col min="131" max="131" width="12.5703125" style="1" customWidth="1" outlineLevel="1"/>
    <col min="132" max="134" width="9.140625" style="1" customWidth="1" outlineLevel="1"/>
    <col min="135" max="135" width="28.5703125" style="3" customWidth="1" outlineLevel="1"/>
    <col min="136" max="136" width="2.85546875" customWidth="1"/>
    <col min="137" max="137" width="12.5703125" style="1" customWidth="1" outlineLevel="1"/>
    <col min="138" max="138" width="19.42578125" style="1" customWidth="1" outlineLevel="1"/>
    <col min="139" max="139" width="17.140625" style="1" customWidth="1" outlineLevel="1"/>
    <col min="140" max="140" width="13.7109375" style="1" customWidth="1" outlineLevel="1"/>
    <col min="141" max="141" width="11.42578125" style="1" customWidth="1" outlineLevel="1"/>
    <col min="142" max="142" width="10.28515625" style="1" customWidth="1" outlineLevel="1"/>
    <col min="143" max="143" width="14.85546875" style="1" customWidth="1" outlineLevel="1"/>
    <col min="144" max="144" width="18.28515625" style="1" customWidth="1" outlineLevel="1"/>
    <col min="145" max="145" width="20.5703125" style="1" customWidth="1" outlineLevel="1"/>
    <col min="146" max="146" width="13.7109375" style="1" customWidth="1" outlineLevel="1"/>
    <col min="147" max="147" width="19.42578125" style="1" customWidth="1" outlineLevel="1"/>
    <col min="148" max="148" width="2.85546875" customWidth="1"/>
    <col min="149" max="149" width="34.28515625" style="1" customWidth="1" outlineLevel="1"/>
    <col min="150" max="150" width="2.85546875" customWidth="1"/>
    <col min="151" max="151" width="34.28515625" style="1" customWidth="1" outlineLevel="1"/>
    <col min="152" max="152" width="2.85546875" customWidth="1"/>
    <col min="153" max="153" width="57.140625" style="1" customWidth="1" outlineLevel="1"/>
    <col min="154" max="154" width="2.85546875" customWidth="1"/>
  </cols>
  <sheetData>
    <row r="2" spans="1:166" ht="152.25" hidden="1" customHeight="1" outlineLevel="1" x14ac:dyDescent="0.25">
      <c r="AV2" s="280" t="s">
        <v>3717</v>
      </c>
      <c r="AW2" s="281"/>
    </row>
    <row r="3" spans="1:166" ht="15.75" collapsed="1" thickBot="1" x14ac:dyDescent="0.3">
      <c r="CK3" s="3"/>
    </row>
    <row r="4" spans="1:166" s="184" customFormat="1" ht="43.5" customHeight="1" thickTop="1" thickBot="1" x14ac:dyDescent="0.3">
      <c r="B4" s="185"/>
      <c r="C4" s="185"/>
      <c r="D4" s="185"/>
      <c r="E4" s="185"/>
      <c r="F4" s="185"/>
      <c r="G4" s="186"/>
      <c r="H4" s="186"/>
      <c r="I4" s="185"/>
      <c r="J4" s="185"/>
      <c r="K4" s="185"/>
      <c r="L4" s="185"/>
      <c r="M4" s="185"/>
      <c r="O4" s="186"/>
      <c r="Q4" s="185"/>
      <c r="R4" s="186"/>
      <c r="S4" s="186"/>
      <c r="T4" s="187"/>
      <c r="U4" s="185"/>
      <c r="W4" s="185"/>
      <c r="X4" s="185"/>
      <c r="Z4" s="187"/>
      <c r="AA4" s="187"/>
      <c r="AB4" s="185"/>
      <c r="AC4" s="185"/>
      <c r="AE4" s="188" t="s">
        <v>54</v>
      </c>
      <c r="AI4" s="185"/>
      <c r="AK4" s="185"/>
      <c r="AL4" s="185"/>
      <c r="AM4" s="186"/>
      <c r="AN4" s="185"/>
      <c r="AO4" s="185"/>
      <c r="AP4" s="185"/>
      <c r="AR4" s="185"/>
      <c r="AT4" s="186"/>
      <c r="AV4" s="285" t="s">
        <v>54</v>
      </c>
      <c r="AW4" s="286"/>
      <c r="AY4" s="186"/>
      <c r="BA4" s="185"/>
      <c r="BB4" s="186"/>
      <c r="BC4" s="186"/>
      <c r="BD4" s="186"/>
      <c r="BF4" s="185"/>
      <c r="BG4" s="185"/>
      <c r="BI4" s="185"/>
      <c r="BJ4" s="185"/>
      <c r="BK4" s="186"/>
      <c r="BL4" s="185"/>
      <c r="BM4" s="185"/>
      <c r="BN4" s="186"/>
      <c r="BO4" s="185"/>
      <c r="BQ4" s="185"/>
      <c r="BR4" s="186"/>
      <c r="BS4" s="185"/>
      <c r="BT4" s="185"/>
      <c r="BX4" s="185"/>
      <c r="BZ4" s="188" t="s">
        <v>54</v>
      </c>
      <c r="CB4" s="186"/>
      <c r="CC4" s="185"/>
      <c r="CD4" s="185"/>
      <c r="CE4" s="185"/>
      <c r="CF4" s="185"/>
      <c r="CG4" s="185"/>
      <c r="CH4" s="185"/>
      <c r="CI4" s="185"/>
      <c r="CK4" s="185"/>
      <c r="CO4" s="185"/>
      <c r="CQ4" s="186"/>
      <c r="CR4" s="186"/>
      <c r="CS4" s="186"/>
      <c r="CT4" s="186"/>
      <c r="CU4" s="186"/>
      <c r="CW4" s="303"/>
      <c r="CX4" s="304"/>
      <c r="DD4" s="186"/>
      <c r="DF4" s="188" t="s">
        <v>54</v>
      </c>
      <c r="DO4" s="189"/>
      <c r="DP4" s="189"/>
      <c r="DR4" s="185"/>
      <c r="DS4" s="186"/>
      <c r="DU4" s="185"/>
      <c r="DV4" s="186"/>
      <c r="DX4" s="186"/>
      <c r="DY4" s="186"/>
      <c r="EA4" s="186"/>
      <c r="EB4" s="186"/>
      <c r="EC4" s="186"/>
      <c r="ED4" s="186"/>
      <c r="EE4" s="185"/>
      <c r="EG4" s="186"/>
      <c r="EH4" s="186"/>
      <c r="EI4" s="186"/>
      <c r="EJ4" s="186"/>
      <c r="EK4" s="186"/>
      <c r="EL4" s="186"/>
      <c r="EM4" s="186"/>
      <c r="EN4" s="186"/>
      <c r="EO4" s="186"/>
      <c r="EP4" s="186"/>
      <c r="EQ4" s="186"/>
      <c r="ES4" s="291" t="s">
        <v>220</v>
      </c>
      <c r="ET4" s="292"/>
      <c r="EU4" s="292"/>
      <c r="EV4" s="292"/>
      <c r="EW4" s="293"/>
    </row>
    <row r="5" spans="1:166" ht="18.75" x14ac:dyDescent="0.3">
      <c r="T5" s="15"/>
      <c r="AB5" s="8" t="s">
        <v>13</v>
      </c>
      <c r="AC5" s="95"/>
      <c r="AG5" s="8" t="s">
        <v>160</v>
      </c>
      <c r="AN5" s="10"/>
      <c r="AR5" s="95"/>
      <c r="AT5" s="7"/>
      <c r="AV5" s="265"/>
      <c r="AW5" s="265"/>
      <c r="AY5" s="274" t="s">
        <v>236</v>
      </c>
      <c r="BA5" s="275" t="s">
        <v>13</v>
      </c>
      <c r="BB5" s="8"/>
      <c r="BC5" s="8"/>
      <c r="BD5" s="275" t="s">
        <v>13</v>
      </c>
      <c r="BO5" s="8" t="s">
        <v>80</v>
      </c>
      <c r="BQ5" s="233" t="s">
        <v>239</v>
      </c>
      <c r="BS5" s="95"/>
      <c r="BT5" s="95"/>
      <c r="BV5" s="233" t="s">
        <v>158</v>
      </c>
      <c r="BX5" s="243" t="s">
        <v>13</v>
      </c>
      <c r="BZ5" s="243" t="s">
        <v>13</v>
      </c>
      <c r="CC5" s="243" t="s">
        <v>112</v>
      </c>
      <c r="CD5" s="95"/>
      <c r="CE5" s="95"/>
      <c r="CF5" s="95"/>
      <c r="CG5" s="95"/>
      <c r="CH5" s="95"/>
      <c r="CI5" s="95"/>
      <c r="CK5" s="3"/>
      <c r="CM5" s="243" t="s">
        <v>158</v>
      </c>
      <c r="CO5" s="95"/>
      <c r="CS5" s="239" t="s">
        <v>236</v>
      </c>
      <c r="CU5" s="239" t="s">
        <v>160</v>
      </c>
      <c r="CW5" s="287" t="s">
        <v>166</v>
      </c>
      <c r="CX5" s="287"/>
      <c r="DD5" s="177" t="s">
        <v>208</v>
      </c>
      <c r="DH5" s="287" t="s">
        <v>207</v>
      </c>
      <c r="DI5" s="287"/>
      <c r="DK5" s="8" t="s">
        <v>13</v>
      </c>
      <c r="DM5" s="8" t="s">
        <v>3715</v>
      </c>
      <c r="DO5" s="9"/>
      <c r="DP5" s="9"/>
      <c r="DR5" s="138"/>
      <c r="DX5" s="10"/>
      <c r="EE5" s="130"/>
      <c r="EL5" s="226" t="s">
        <v>234</v>
      </c>
      <c r="EO5"/>
      <c r="EP5"/>
      <c r="EQ5"/>
      <c r="EU5" s="7"/>
      <c r="EW5" s="7"/>
    </row>
    <row r="6" spans="1:166" ht="19.5" customHeight="1" thickBot="1" x14ac:dyDescent="0.35">
      <c r="B6" s="56">
        <v>19</v>
      </c>
      <c r="C6" s="69"/>
      <c r="D6" s="69">
        <v>5</v>
      </c>
      <c r="E6" s="69">
        <v>4</v>
      </c>
      <c r="F6" s="69"/>
      <c r="G6" s="70">
        <v>12</v>
      </c>
      <c r="H6" s="70">
        <v>13</v>
      </c>
      <c r="I6" s="69"/>
      <c r="J6" s="69">
        <v>15</v>
      </c>
      <c r="K6" s="69">
        <v>16</v>
      </c>
      <c r="L6" s="69"/>
      <c r="M6" s="165">
        <v>17</v>
      </c>
      <c r="T6" s="16"/>
      <c r="AB6" s="94" t="s">
        <v>120</v>
      </c>
      <c r="AG6" s="94" t="s">
        <v>159</v>
      </c>
      <c r="AN6" s="10"/>
      <c r="AT6" s="8" t="s">
        <v>21</v>
      </c>
      <c r="AV6" s="265"/>
      <c r="AW6" s="265"/>
      <c r="AY6" s="275" t="s">
        <v>4410</v>
      </c>
      <c r="BA6" s="275" t="s">
        <v>4412</v>
      </c>
      <c r="BB6" s="3"/>
      <c r="BC6" s="3"/>
      <c r="BD6" s="275" t="s">
        <v>18</v>
      </c>
      <c r="BO6" s="8" t="s">
        <v>14</v>
      </c>
      <c r="BQ6" s="94" t="s">
        <v>14</v>
      </c>
      <c r="BV6" s="94" t="s">
        <v>159</v>
      </c>
      <c r="BX6" s="94" t="s">
        <v>103</v>
      </c>
      <c r="BZ6" s="94" t="s">
        <v>104</v>
      </c>
      <c r="CC6" s="94" t="s">
        <v>14</v>
      </c>
      <c r="CK6" s="3"/>
      <c r="CM6" s="94" t="s">
        <v>159</v>
      </c>
      <c r="CS6" s="94" t="s">
        <v>235</v>
      </c>
      <c r="CU6" s="239" t="s">
        <v>282</v>
      </c>
      <c r="CW6" s="287" t="s">
        <v>283</v>
      </c>
      <c r="CX6" s="287"/>
      <c r="DD6" s="177" t="s">
        <v>209</v>
      </c>
      <c r="DH6" s="287" t="s">
        <v>10</v>
      </c>
      <c r="DI6" s="287"/>
      <c r="DK6" s="8" t="s">
        <v>18</v>
      </c>
      <c r="DM6" s="8" t="s">
        <v>18</v>
      </c>
      <c r="DR6" s="138"/>
      <c r="EE6" s="8"/>
      <c r="EL6" s="226" t="s">
        <v>235</v>
      </c>
      <c r="EO6"/>
      <c r="EP6"/>
      <c r="EQ6"/>
      <c r="ES6" s="8" t="s">
        <v>214</v>
      </c>
      <c r="EU6" s="8" t="s">
        <v>215</v>
      </c>
      <c r="EW6" s="8" t="s">
        <v>217</v>
      </c>
    </row>
    <row r="7" spans="1:166" ht="19.5" thickBot="1" x14ac:dyDescent="0.35">
      <c r="B7" s="78" t="str">
        <f>IF(csv!F2="","",csv!T2)</f>
        <v>Short</v>
      </c>
      <c r="C7" s="80"/>
      <c r="D7" s="69" t="str">
        <f>IF(csv!F2="","",csv!F2)</f>
        <v>First name</v>
      </c>
      <c r="E7" s="80" t="str">
        <f>IF(csv!F2="","",csv!E2)</f>
        <v>Surname</v>
      </c>
      <c r="F7" s="80"/>
      <c r="G7" s="79" t="str">
        <f>IF(csv!F2="","",csv!M2)</f>
        <v>Time</v>
      </c>
      <c r="H7" s="79" t="str">
        <f>IF(csv!F2="","",csv!N2)</f>
        <v>Classifier</v>
      </c>
      <c r="I7" s="80"/>
      <c r="J7" s="80" t="str">
        <f>IF(csv!F2="","",csv!P2)</f>
        <v>Cl.name</v>
      </c>
      <c r="K7" s="80" t="str">
        <f>IF(csv!F2="","",csv!Q2)</f>
        <v>City</v>
      </c>
      <c r="L7" s="80"/>
      <c r="M7" s="166" t="str">
        <f>IF(csv!F2="","",csv!R2)</f>
        <v>Nat</v>
      </c>
      <c r="T7" s="14"/>
      <c r="AB7" s="61">
        <f>COUNTA(AB13:AB412)-COUNTIF(AB13:AB412,"")</f>
        <v>0</v>
      </c>
      <c r="AC7" s="95"/>
      <c r="AG7" s="61">
        <f>COUNTA(AG13:AG412)-COUNTIF(AG13:AG412,"")</f>
        <v>0</v>
      </c>
      <c r="AN7" s="9"/>
      <c r="AR7" s="95"/>
      <c r="AT7" s="61">
        <f>COUNTA(AT13:AT412)-COUNTIF(AT13:AT412,"")</f>
        <v>4</v>
      </c>
      <c r="AV7" s="265"/>
      <c r="AW7" s="265"/>
      <c r="AY7" s="61">
        <f>COUNTA(AY13:AY412)-COUNTIF(AY13:AY412,"")</f>
        <v>0</v>
      </c>
      <c r="BA7" s="61">
        <f>COUNTA(BA13:BA412)-COUNTIF(BA13:BA412,"")</f>
        <v>1</v>
      </c>
      <c r="BB7" s="8"/>
      <c r="BC7" s="8"/>
      <c r="BD7" s="61">
        <f>COUNTA(BD13:BD412)-COUNTIF(BD13:BD412,"")</f>
        <v>3</v>
      </c>
      <c r="BO7" s="90">
        <f>SUM(BN13:BN412)</f>
        <v>3</v>
      </c>
      <c r="BQ7" s="61">
        <f>COUNTA(BQ13:BQ412)-COUNTIF(BQ13:BQ412,"")</f>
        <v>0</v>
      </c>
      <c r="BS7" s="95"/>
      <c r="BT7" s="95"/>
      <c r="BV7" s="61">
        <f>COUNTA(BV13:BV412)-COUNTIF(BV13:BV412,"")</f>
        <v>0</v>
      </c>
      <c r="BX7" s="61">
        <f>COUNTA(BX13:BX412)-COUNTIF(BX13:BX412,"")</f>
        <v>1</v>
      </c>
      <c r="BZ7" s="96">
        <f>COUNTA(BZ13:BZ412)</f>
        <v>0</v>
      </c>
      <c r="CC7" s="61">
        <f>COUNTA(CC13:CC412)-COUNTIF(CC13:CC412,"")</f>
        <v>1</v>
      </c>
      <c r="CD7" s="95"/>
      <c r="CE7" s="95"/>
      <c r="CF7" s="95"/>
      <c r="CG7" s="95"/>
      <c r="CH7" s="95"/>
      <c r="CI7" s="95"/>
      <c r="CK7" s="3"/>
      <c r="CM7" s="61">
        <f>COUNTA(CM13:CM412)-COUNTIF(CM13:CM412,"")</f>
        <v>1</v>
      </c>
      <c r="CO7" s="95"/>
      <c r="CS7" s="178">
        <f>COUNTA(CS13:CS412)-COUNTIF(CS13:CS412,"")</f>
        <v>1</v>
      </c>
      <c r="CU7" s="178">
        <f>COUNTIF(CU13:CU412,5)</f>
        <v>2</v>
      </c>
      <c r="CW7" s="305">
        <f>COUNTIF(CX13:CX412,5)</f>
        <v>14</v>
      </c>
      <c r="CX7" s="306"/>
      <c r="DD7" s="178">
        <f>COUNTA(DD13:DD412)-COUNTIF(DD13:DD412,"")</f>
        <v>3</v>
      </c>
      <c r="DE7" s="2"/>
      <c r="DG7" s="2"/>
      <c r="DH7" s="307">
        <f>COUNTA(DH13:DH412)-COUNTIF(DH13:DH412,"")</f>
        <v>0</v>
      </c>
      <c r="DI7" s="308"/>
      <c r="DJ7" s="2"/>
      <c r="DK7" s="61">
        <f>COUNTA(DK13:DK412)-COUNTIF(DK13:DK412,"")</f>
        <v>3</v>
      </c>
      <c r="DM7" s="61">
        <f>COUNTA(DM13:DM412)-COUNTIF(DM13:DM412,"")</f>
        <v>1</v>
      </c>
      <c r="DR7" s="86"/>
      <c r="EE7" s="61">
        <f>COUNTA(EE13:EE412)-COUNTIF(EE13:EE412,"")</f>
        <v>295</v>
      </c>
      <c r="EL7" s="61">
        <f>SUM(EL13:EL412)</f>
        <v>263</v>
      </c>
      <c r="EO7" s="2"/>
      <c r="EP7" s="2"/>
      <c r="EQ7" s="2"/>
      <c r="ER7" s="2"/>
      <c r="ES7" s="61">
        <f>COUNTA(ES13:ES412)-COUNTIF(ES13:ES412,"")</f>
        <v>295</v>
      </c>
      <c r="ET7" s="2"/>
      <c r="EU7" s="61">
        <f>COUNTA(EU13:EU412)-COUNTIF(EU13:EU412,"")</f>
        <v>263</v>
      </c>
      <c r="EV7" s="2"/>
      <c r="EW7" s="61">
        <f>COUNTA(EW13:EW412)-COUNTIF(EW13:EW412,"")</f>
        <v>295</v>
      </c>
      <c r="EY7" s="2"/>
      <c r="EZ7" s="2"/>
      <c r="FA7" s="2"/>
      <c r="FB7" s="2"/>
      <c r="FC7" s="2"/>
      <c r="FD7" s="2"/>
      <c r="FE7" s="2"/>
    </row>
    <row r="8" spans="1:166" ht="19.5" thickBot="1" x14ac:dyDescent="0.35">
      <c r="AE8" s="98"/>
      <c r="AV8" s="266"/>
      <c r="AW8" s="266"/>
    </row>
    <row r="9" spans="1:166" ht="15.75" thickBot="1" x14ac:dyDescent="0.3">
      <c r="A9" s="75" t="s">
        <v>0</v>
      </c>
      <c r="B9" s="282" t="s">
        <v>155</v>
      </c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4"/>
      <c r="N9" t="s">
        <v>0</v>
      </c>
      <c r="O9" s="146" t="s">
        <v>3706</v>
      </c>
      <c r="Q9" s="282" t="s">
        <v>162</v>
      </c>
      <c r="R9" s="283"/>
      <c r="S9" s="283"/>
      <c r="T9" s="283"/>
      <c r="U9" s="284"/>
      <c r="V9" t="s">
        <v>0</v>
      </c>
      <c r="W9" s="282" t="s">
        <v>4</v>
      </c>
      <c r="X9" s="284"/>
      <c r="Y9" t="s">
        <v>0</v>
      </c>
      <c r="Z9" s="282" t="s">
        <v>121</v>
      </c>
      <c r="AA9" s="283"/>
      <c r="AB9" s="283"/>
      <c r="AC9" s="283"/>
      <c r="AD9" s="283"/>
      <c r="AE9" s="283"/>
      <c r="AF9" s="283"/>
      <c r="AG9" s="284"/>
      <c r="AH9" t="s">
        <v>0</v>
      </c>
      <c r="AI9" s="146" t="s">
        <v>120</v>
      </c>
      <c r="AK9" s="282" t="s">
        <v>168</v>
      </c>
      <c r="AL9" s="283"/>
      <c r="AM9" s="283"/>
      <c r="AN9" s="283"/>
      <c r="AO9" s="283"/>
      <c r="AP9" s="284"/>
      <c r="AQ9" t="s">
        <v>0</v>
      </c>
      <c r="AR9" s="282" t="s">
        <v>169</v>
      </c>
      <c r="AS9" s="283"/>
      <c r="AT9" s="284"/>
      <c r="AU9" t="s">
        <v>0</v>
      </c>
      <c r="AV9" s="282" t="s">
        <v>4400</v>
      </c>
      <c r="AW9" s="284"/>
      <c r="AX9" t="s">
        <v>0</v>
      </c>
      <c r="AY9" s="146" t="s">
        <v>237</v>
      </c>
      <c r="BA9" s="282" t="s">
        <v>4413</v>
      </c>
      <c r="BB9" s="283"/>
      <c r="BC9" s="283"/>
      <c r="BD9" s="284"/>
      <c r="BE9" t="s">
        <v>0</v>
      </c>
      <c r="BF9" s="282" t="s">
        <v>228</v>
      </c>
      <c r="BG9" s="284"/>
      <c r="BH9" t="s">
        <v>0</v>
      </c>
      <c r="BI9" s="282" t="s">
        <v>164</v>
      </c>
      <c r="BJ9" s="283"/>
      <c r="BK9" s="283"/>
      <c r="BL9" s="283"/>
      <c r="BM9" s="283"/>
      <c r="BN9" s="283"/>
      <c r="BO9" s="284"/>
      <c r="BP9" t="s">
        <v>0</v>
      </c>
      <c r="BQ9" s="282" t="s">
        <v>240</v>
      </c>
      <c r="BR9" s="283"/>
      <c r="BS9" s="283"/>
      <c r="BT9" s="283"/>
      <c r="BU9" s="283"/>
      <c r="BV9" s="284"/>
      <c r="BW9" t="s">
        <v>0</v>
      </c>
      <c r="BX9" s="240" t="s">
        <v>113</v>
      </c>
      <c r="BY9" s="241"/>
      <c r="BZ9" s="241"/>
      <c r="CA9" s="241"/>
      <c r="CB9" s="241"/>
      <c r="CC9" s="241"/>
      <c r="CD9" s="241"/>
      <c r="CE9" s="241"/>
      <c r="CF9" s="241"/>
      <c r="CG9" s="241"/>
      <c r="CH9" s="241"/>
      <c r="CI9" s="241"/>
      <c r="CJ9" s="241"/>
      <c r="CK9" s="248"/>
      <c r="CL9" s="241"/>
      <c r="CM9" s="242"/>
      <c r="CN9" t="s">
        <v>0</v>
      </c>
      <c r="CO9" s="146" t="s">
        <v>165</v>
      </c>
      <c r="CP9" t="s">
        <v>0</v>
      </c>
      <c r="CQ9" s="282" t="s">
        <v>166</v>
      </c>
      <c r="CR9" s="283"/>
      <c r="CS9" s="283"/>
      <c r="CT9" s="283"/>
      <c r="CU9" s="284"/>
      <c r="CV9" t="s">
        <v>0</v>
      </c>
      <c r="CW9" s="282" t="s">
        <v>283</v>
      </c>
      <c r="CX9" s="284"/>
      <c r="CY9" t="s">
        <v>0</v>
      </c>
      <c r="CZ9" s="248"/>
      <c r="DA9" s="248"/>
      <c r="DB9" s="248"/>
      <c r="DC9" t="s">
        <v>0</v>
      </c>
      <c r="DD9" s="282" t="s">
        <v>9</v>
      </c>
      <c r="DE9" s="283"/>
      <c r="DF9" s="283"/>
      <c r="DG9" s="283"/>
      <c r="DH9" s="283"/>
      <c r="DI9" s="283"/>
      <c r="DJ9" s="283"/>
      <c r="DK9" s="284"/>
      <c r="DL9" t="s">
        <v>0</v>
      </c>
      <c r="DM9" s="264"/>
      <c r="DN9" t="s">
        <v>0</v>
      </c>
      <c r="DO9" s="282" t="s">
        <v>154</v>
      </c>
      <c r="DP9" s="283"/>
      <c r="DQ9" s="283"/>
      <c r="DR9" s="283"/>
      <c r="DS9" s="283"/>
      <c r="DT9" s="283"/>
      <c r="DU9" s="283"/>
      <c r="DV9" s="283"/>
      <c r="DW9" s="283"/>
      <c r="DX9" s="283"/>
      <c r="DY9" s="284"/>
      <c r="DZ9" t="s">
        <v>0</v>
      </c>
      <c r="EA9" s="282" t="s">
        <v>60</v>
      </c>
      <c r="EB9" s="283"/>
      <c r="EC9" s="283"/>
      <c r="ED9" s="283"/>
      <c r="EE9" s="284"/>
      <c r="EF9" t="s">
        <v>0</v>
      </c>
      <c r="EG9" s="282" t="s">
        <v>66</v>
      </c>
      <c r="EH9" s="283"/>
      <c r="EI9" s="283"/>
      <c r="EJ9" s="283"/>
      <c r="EK9" s="283"/>
      <c r="EL9" s="283"/>
      <c r="EM9" s="283"/>
      <c r="EN9" s="283"/>
      <c r="EO9" s="283"/>
      <c r="EP9" s="283"/>
      <c r="EQ9" s="284"/>
      <c r="ER9" t="s">
        <v>0</v>
      </c>
      <c r="ES9" s="146" t="s">
        <v>212</v>
      </c>
      <c r="ET9" t="s">
        <v>0</v>
      </c>
      <c r="EU9" s="146" t="s">
        <v>213</v>
      </c>
      <c r="EV9" t="s">
        <v>0</v>
      </c>
      <c r="EW9" s="146" t="s">
        <v>216</v>
      </c>
      <c r="EX9" t="s">
        <v>0</v>
      </c>
    </row>
    <row r="10" spans="1:166" ht="7.5" customHeight="1" thickBot="1" x14ac:dyDescent="0.3">
      <c r="AB10" s="1"/>
      <c r="AG10" s="97"/>
      <c r="AR10" s="1"/>
      <c r="BQ10" s="1"/>
      <c r="BV10" s="97"/>
      <c r="BX10" s="1"/>
      <c r="CM10" s="97"/>
      <c r="CO10" s="158"/>
      <c r="DK10" s="97"/>
      <c r="DM10" s="97"/>
    </row>
    <row r="11" spans="1:166" s="75" customFormat="1" ht="15.75" thickTop="1" x14ac:dyDescent="0.25">
      <c r="B11" s="63" t="s">
        <v>75</v>
      </c>
      <c r="C11" s="71" t="s">
        <v>0</v>
      </c>
      <c r="D11" s="71" t="s">
        <v>1</v>
      </c>
      <c r="E11" s="71" t="s">
        <v>2</v>
      </c>
      <c r="F11" s="71" t="s">
        <v>0</v>
      </c>
      <c r="G11" s="68" t="s">
        <v>76</v>
      </c>
      <c r="H11" s="68" t="s">
        <v>77</v>
      </c>
      <c r="I11" s="71" t="s">
        <v>0</v>
      </c>
      <c r="J11" s="71" t="s">
        <v>151</v>
      </c>
      <c r="K11" s="71" t="s">
        <v>152</v>
      </c>
      <c r="L11" s="71" t="s">
        <v>0</v>
      </c>
      <c r="M11" s="64" t="s">
        <v>78</v>
      </c>
      <c r="N11" s="75" t="s">
        <v>0</v>
      </c>
      <c r="O11" s="159" t="s">
        <v>3714</v>
      </c>
      <c r="Q11" s="63" t="s">
        <v>156</v>
      </c>
      <c r="R11" s="68" t="s">
        <v>132</v>
      </c>
      <c r="S11" s="68" t="s">
        <v>133</v>
      </c>
      <c r="T11" s="68" t="s">
        <v>35</v>
      </c>
      <c r="U11" s="64" t="s">
        <v>34</v>
      </c>
      <c r="V11" s="75" t="s">
        <v>0</v>
      </c>
      <c r="W11" s="218" t="s">
        <v>157</v>
      </c>
      <c r="X11" s="219" t="s">
        <v>233</v>
      </c>
      <c r="Y11" s="75" t="s">
        <v>0</v>
      </c>
      <c r="Z11" s="63" t="s">
        <v>78</v>
      </c>
      <c r="AA11" s="68" t="s">
        <v>115</v>
      </c>
      <c r="AB11" s="71" t="s">
        <v>125</v>
      </c>
      <c r="AC11" s="64" t="s">
        <v>123</v>
      </c>
      <c r="AD11" s="75" t="s">
        <v>0</v>
      </c>
      <c r="AE11" s="40" t="s">
        <v>122</v>
      </c>
      <c r="AF11" s="75" t="s">
        <v>0</v>
      </c>
      <c r="AG11" s="42" t="s">
        <v>124</v>
      </c>
      <c r="AH11" s="75" t="s">
        <v>0</v>
      </c>
      <c r="AI11" s="145" t="s">
        <v>161</v>
      </c>
      <c r="AK11" s="63" t="s">
        <v>1</v>
      </c>
      <c r="AL11" s="71" t="s">
        <v>2</v>
      </c>
      <c r="AM11" s="68" t="s">
        <v>153</v>
      </c>
      <c r="AN11" s="68" t="s">
        <v>130</v>
      </c>
      <c r="AO11" s="71" t="s">
        <v>1</v>
      </c>
      <c r="AP11" s="64" t="s">
        <v>2</v>
      </c>
      <c r="AQ11" s="75" t="s">
        <v>0</v>
      </c>
      <c r="AR11" s="77" t="s">
        <v>169</v>
      </c>
      <c r="AS11" s="75" t="s">
        <v>0</v>
      </c>
      <c r="AT11" s="42" t="s">
        <v>20</v>
      </c>
      <c r="AU11" s="75" t="s">
        <v>0</v>
      </c>
      <c r="AV11" s="25" t="s">
        <v>1</v>
      </c>
      <c r="AW11" s="26" t="s">
        <v>2</v>
      </c>
      <c r="AX11" s="75" t="s">
        <v>0</v>
      </c>
      <c r="AY11" s="77" t="s">
        <v>4411</v>
      </c>
      <c r="AZ11" s="75" t="s">
        <v>0</v>
      </c>
      <c r="BA11" s="63" t="s">
        <v>4401</v>
      </c>
      <c r="BB11" s="68" t="s">
        <v>4403</v>
      </c>
      <c r="BC11" s="76" t="s">
        <v>4402</v>
      </c>
      <c r="BD11" s="91" t="s">
        <v>4404</v>
      </c>
      <c r="BE11" s="75" t="s">
        <v>0</v>
      </c>
      <c r="BF11" s="63" t="s">
        <v>1</v>
      </c>
      <c r="BG11" s="64" t="s">
        <v>2</v>
      </c>
      <c r="BH11" s="75" t="s">
        <v>0</v>
      </c>
      <c r="BI11" s="63" t="s">
        <v>151</v>
      </c>
      <c r="BJ11" s="71" t="s">
        <v>152</v>
      </c>
      <c r="BK11" s="68" t="s">
        <v>130</v>
      </c>
      <c r="BL11" s="71" t="s">
        <v>3</v>
      </c>
      <c r="BM11" s="71" t="s">
        <v>79</v>
      </c>
      <c r="BN11" s="68" t="s">
        <v>81</v>
      </c>
      <c r="BO11" s="64" t="s">
        <v>3</v>
      </c>
      <c r="BP11" s="75" t="s">
        <v>0</v>
      </c>
      <c r="BQ11" s="91" t="s">
        <v>238</v>
      </c>
      <c r="BR11" s="68" t="s">
        <v>106</v>
      </c>
      <c r="BS11" s="71" t="s">
        <v>106</v>
      </c>
      <c r="BT11" s="64" t="s">
        <v>100</v>
      </c>
      <c r="BU11" s="75" t="s">
        <v>0</v>
      </c>
      <c r="BV11" s="42" t="s">
        <v>111</v>
      </c>
      <c r="BW11" s="75" t="s">
        <v>0</v>
      </c>
      <c r="BX11" s="77" t="s">
        <v>105</v>
      </c>
      <c r="BY11" s="75" t="s">
        <v>0</v>
      </c>
      <c r="BZ11" s="40" t="s">
        <v>102</v>
      </c>
      <c r="CA11" s="75" t="s">
        <v>0</v>
      </c>
      <c r="CB11" s="91" t="s">
        <v>100</v>
      </c>
      <c r="CC11" s="71" t="s">
        <v>107</v>
      </c>
      <c r="CD11" s="71" t="s">
        <v>108</v>
      </c>
      <c r="CE11" s="71" t="s">
        <v>123</v>
      </c>
      <c r="CF11" s="71" t="s">
        <v>109</v>
      </c>
      <c r="CG11" s="71" t="s">
        <v>106</v>
      </c>
      <c r="CH11" s="71" t="s">
        <v>100</v>
      </c>
      <c r="CI11" s="64" t="s">
        <v>110</v>
      </c>
      <c r="CJ11" s="75" t="s">
        <v>0</v>
      </c>
      <c r="CK11" s="68" t="s">
        <v>225</v>
      </c>
      <c r="CM11" s="42" t="s">
        <v>111</v>
      </c>
      <c r="CN11" s="75" t="s">
        <v>0</v>
      </c>
      <c r="CO11" s="159" t="s">
        <v>105</v>
      </c>
      <c r="CP11" s="75" t="s">
        <v>0</v>
      </c>
      <c r="CQ11" s="91" t="s">
        <v>76</v>
      </c>
      <c r="CR11" s="68" t="s">
        <v>77</v>
      </c>
      <c r="CS11" s="76" t="s">
        <v>237</v>
      </c>
      <c r="CT11" s="161" t="s">
        <v>74</v>
      </c>
      <c r="CU11" s="160" t="s">
        <v>167</v>
      </c>
      <c r="CV11" s="75" t="s">
        <v>0</v>
      </c>
      <c r="CW11" s="161" t="s">
        <v>284</v>
      </c>
      <c r="CX11" s="160" t="s">
        <v>285</v>
      </c>
      <c r="CY11" s="75" t="s">
        <v>0</v>
      </c>
      <c r="DC11" s="75" t="s">
        <v>0</v>
      </c>
      <c r="DD11" s="76" t="s">
        <v>210</v>
      </c>
      <c r="DF11" s="62" t="s">
        <v>8</v>
      </c>
      <c r="DH11" s="63" t="s">
        <v>10</v>
      </c>
      <c r="DI11" s="64" t="s">
        <v>11</v>
      </c>
      <c r="DJ11" s="75" t="s">
        <v>0</v>
      </c>
      <c r="DK11" s="42" t="s">
        <v>19</v>
      </c>
      <c r="DL11" s="75" t="s">
        <v>0</v>
      </c>
      <c r="DM11" s="42" t="s">
        <v>19</v>
      </c>
      <c r="DN11" s="75" t="s">
        <v>0</v>
      </c>
      <c r="DO11" s="63" t="s">
        <v>6</v>
      </c>
      <c r="DP11" s="76" t="s">
        <v>16</v>
      </c>
      <c r="DQ11" s="75" t="s">
        <v>0</v>
      </c>
      <c r="DR11" s="63" t="s">
        <v>5</v>
      </c>
      <c r="DS11" s="76" t="s">
        <v>16</v>
      </c>
      <c r="DT11" s="75" t="s">
        <v>0</v>
      </c>
      <c r="DU11" s="63" t="s">
        <v>7</v>
      </c>
      <c r="DV11" s="76" t="s">
        <v>16</v>
      </c>
      <c r="DW11" s="75" t="s">
        <v>0</v>
      </c>
      <c r="DX11" s="63" t="s">
        <v>17</v>
      </c>
      <c r="DY11" s="76" t="s">
        <v>15</v>
      </c>
      <c r="DZ11" s="75" t="s">
        <v>0</v>
      </c>
      <c r="EA11" s="91" t="s">
        <v>70</v>
      </c>
      <c r="EB11" s="68" t="s">
        <v>3</v>
      </c>
      <c r="EC11" s="68" t="s">
        <v>170</v>
      </c>
      <c r="ED11" s="68" t="s">
        <v>89</v>
      </c>
      <c r="EE11" s="64" t="s">
        <v>61</v>
      </c>
      <c r="EF11" s="75" t="s">
        <v>0</v>
      </c>
      <c r="EG11" s="91" t="s">
        <v>63</v>
      </c>
      <c r="EH11" s="68" t="s">
        <v>203</v>
      </c>
      <c r="EI11" s="68" t="s">
        <v>204</v>
      </c>
      <c r="EJ11" s="68" t="s">
        <v>64</v>
      </c>
      <c r="EK11" s="68" t="s">
        <v>83</v>
      </c>
      <c r="EL11" s="68" t="s">
        <v>65</v>
      </c>
      <c r="EM11" s="68" t="s">
        <v>62</v>
      </c>
      <c r="EN11" s="68" t="s">
        <v>232</v>
      </c>
      <c r="EO11" s="68" t="s">
        <v>205</v>
      </c>
      <c r="EP11" s="68" t="s">
        <v>106</v>
      </c>
      <c r="EQ11" s="76" t="s">
        <v>206</v>
      </c>
      <c r="ER11" s="75" t="s">
        <v>0</v>
      </c>
      <c r="ES11" s="42" t="s">
        <v>222</v>
      </c>
      <c r="ET11" s="75" t="s">
        <v>0</v>
      </c>
      <c r="EU11" s="42" t="s">
        <v>222</v>
      </c>
      <c r="EV11" s="75" t="s">
        <v>0</v>
      </c>
      <c r="EW11" s="183" t="str">
        <f>'natjecanje-staze'!Y8&amp;"
"&amp;'natjecanje-kategorije'!W8</f>
        <v xml:space="preserve"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
</v>
      </c>
      <c r="EX11" s="75" t="s">
        <v>0</v>
      </c>
    </row>
    <row r="12" spans="1:166" s="47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Z12" s="5"/>
      <c r="AA12" s="11"/>
      <c r="AB12" s="5"/>
      <c r="AC12" s="99">
        <f>MAX(regDrzava_id)</f>
        <v>4</v>
      </c>
      <c r="AE12" s="5"/>
      <c r="AG12" s="49"/>
      <c r="AI12" s="5"/>
      <c r="AK12" s="5"/>
      <c r="AL12" s="5"/>
      <c r="AM12" s="11"/>
      <c r="AN12" s="11"/>
      <c r="AO12" s="5"/>
      <c r="AP12" s="5"/>
      <c r="AR12" s="5"/>
      <c r="AT12" s="49"/>
      <c r="AV12" s="5"/>
      <c r="AW12" s="5"/>
      <c r="AY12" s="11"/>
      <c r="BA12" s="5"/>
      <c r="BB12" s="48">
        <f>MAX(regNatjecatelj_alias_id)</f>
        <v>1</v>
      </c>
      <c r="BC12" s="48">
        <f>MAX(BC6:BC7)</f>
        <v>0</v>
      </c>
      <c r="BD12" s="48" cm="1">
        <f t="array" ref="BD12">data_max_natjecatelj_id</f>
        <v>1966</v>
      </c>
      <c r="BF12" s="5"/>
      <c r="BG12" s="5"/>
      <c r="BI12" s="5"/>
      <c r="BJ12" s="5"/>
      <c r="BK12" s="11"/>
      <c r="BL12" s="5"/>
      <c r="BM12" s="5"/>
      <c r="BN12" s="11"/>
      <c r="BO12" s="5"/>
      <c r="BQ12" s="5"/>
      <c r="BR12" s="11"/>
      <c r="BS12" s="87">
        <f>MAX(regKlub_alias_id)</f>
        <v>1</v>
      </c>
      <c r="BT12" s="87"/>
      <c r="BV12" s="49"/>
      <c r="BX12" s="5"/>
      <c r="BZ12" s="5"/>
      <c r="CB12" s="11"/>
      <c r="CC12" s="5"/>
      <c r="CD12" s="87">
        <f>MAX(regKlub_id)</f>
        <v>18</v>
      </c>
      <c r="CE12" s="87">
        <f>MAX(regKlub_id)</f>
        <v>18</v>
      </c>
      <c r="CF12" s="5"/>
      <c r="CG12" s="87">
        <f>MAX(BS12:BS412)</f>
        <v>1</v>
      </c>
      <c r="CH12" s="87"/>
      <c r="CI12" s="5"/>
      <c r="CK12" s="11"/>
      <c r="CM12" s="49"/>
      <c r="CO12" s="5"/>
      <c r="CQ12" s="1"/>
      <c r="CR12" s="1"/>
      <c r="CS12" s="1"/>
      <c r="CT12" s="1"/>
      <c r="CU12" s="1"/>
      <c r="CW12" s="1"/>
      <c r="CX12" s="1"/>
      <c r="DD12" s="48"/>
      <c r="DF12" s="11"/>
      <c r="DK12" s="49"/>
      <c r="DM12" s="49"/>
      <c r="DO12" s="5"/>
      <c r="DP12" s="11"/>
      <c r="DR12" s="5"/>
      <c r="DS12" s="11"/>
      <c r="DU12" s="5"/>
      <c r="DV12" s="11"/>
      <c r="DX12" s="11"/>
      <c r="DY12" s="11"/>
      <c r="EA12" s="11"/>
      <c r="EB12" s="11"/>
      <c r="EC12" s="11"/>
      <c r="ED12" s="11"/>
      <c r="EE12" s="5"/>
      <c r="EG12" s="92">
        <f>data_max_rezultat_id</f>
        <v>191</v>
      </c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S12" s="49"/>
      <c r="EU12" s="49"/>
      <c r="EW12" s="179"/>
    </row>
    <row r="13" spans="1:166" s="47" customFormat="1" ht="15.75" thickBot="1" x14ac:dyDescent="0.3">
      <c r="A13" s="47" t="s">
        <v>0</v>
      </c>
      <c r="B13" s="50" t="str">
        <f>IF(csv!F3="","",csv!T3)</f>
        <v>M12</v>
      </c>
      <c r="C13" s="28" t="s">
        <v>0</v>
      </c>
      <c r="D13" s="28" t="str">
        <f>IF(csv!F3="","",csv!F3)</f>
        <v>Lovro</v>
      </c>
      <c r="E13" s="28" t="str">
        <f>IF(csv!E3="","",csv!E3)</f>
        <v>Pinjušić</v>
      </c>
      <c r="F13" s="28" t="s">
        <v>0</v>
      </c>
      <c r="G13" s="72" t="str">
        <f>IF(csv!M3="","",csv!M3)</f>
        <v>31:38</v>
      </c>
      <c r="H13" s="72" t="str">
        <f>IF(csv!N3="","",csv!N3)</f>
        <v>0</v>
      </c>
      <c r="I13" s="28" t="s">
        <v>0</v>
      </c>
      <c r="J13" s="28" t="str">
        <f>IF(csv!P3="","",csv!P3)</f>
        <v>JAP</v>
      </c>
      <c r="K13" s="28" t="str">
        <f>IF(csv!Q3="","",csv!Q3)</f>
        <v>OK Japetic</v>
      </c>
      <c r="L13" s="28" t="s">
        <v>0</v>
      </c>
      <c r="M13" s="65" t="str">
        <f>IF(csv!R3="","",csv!R3)</f>
        <v>CRO</v>
      </c>
      <c r="N13" s="47" t="s">
        <v>0</v>
      </c>
      <c r="O13" s="245" t="str">
        <f>IF(E13="","","ok")</f>
        <v>ok</v>
      </c>
      <c r="Q13" s="50" t="str">
        <f>IF(B13="","",B13)</f>
        <v>M12</v>
      </c>
      <c r="R13" s="72">
        <f>IF(Q13="","",IF(COUNTIF(Q$12:Q12,Q13)=0,R12+1,R12))</f>
        <v>1</v>
      </c>
      <c r="S13" s="72">
        <f t="shared" ref="S13" si="0">IF(Q13="","",IFERROR(INDEX(regKategorija_id,MATCH(Q13,regKategorija_oznaka,0)),IFERROR(INDEX(regKategorija_alias_id,MATCH(Q13,regKategorija_alias_oznaka,0)),INDEX(natKategorija_katRegId,MATCH(Q13,natKategorija_kategorija,0)))))</f>
        <v>112</v>
      </c>
      <c r="T13" s="72">
        <f t="shared" ref="T13:T76" si="1">IF(Q13="","",IFERROR(INDEX(natStaza_id,MATCH(Q13,natStaza_kategorija,0)),""))</f>
        <v>22</v>
      </c>
      <c r="U13" s="65" t="str">
        <f t="shared" ref="U13:U76" si="2">IF(T13="","",INDEX(natStaza_naziv,MATCH(T13,natStaza_id,0)))</f>
        <v>M12 – Ž12</v>
      </c>
      <c r="V13" s="47" t="s">
        <v>0</v>
      </c>
      <c r="W13" s="220" t="str">
        <f t="shared" ref="W13:W76" si="3">IF(O13="","",INDEX(regKategorija_oznaka,MATCH(S13,regKategorija_id,0)))</f>
        <v>M12</v>
      </c>
      <c r="X13" s="221">
        <f t="shared" ref="X13:X76" si="4">IF(W13="","",INDEX(natKategorija_stazaKatId,MATCH(S13,natKategorija_katRegId,0)))</f>
        <v>23</v>
      </c>
      <c r="Y13" s="47" t="s">
        <v>0</v>
      </c>
      <c r="Z13" s="50" t="str">
        <f>IF(O13="","",M13)</f>
        <v>CRO</v>
      </c>
      <c r="AA13" s="72">
        <f t="shared" ref="AA13:AA76" si="5">IF(Z13="","",IFERROR(INDEX(regDrzava_id,MATCH(Z13,regDrzava_oznaka,0)),"NEMA"))</f>
        <v>1</v>
      </c>
      <c r="AB13" s="28" t="str">
        <f>IF(OR(AA13="",AA13&lt;&gt;"NEMA"),"",Z13)</f>
        <v/>
      </c>
      <c r="AC13" s="65" t="str">
        <f>IF(AB13="","",MAX(AC$12:AC12)+1)</f>
        <v/>
      </c>
      <c r="AD13" s="47" t="s">
        <v>0</v>
      </c>
      <c r="AE13" s="124"/>
      <c r="AF13" s="47" t="s">
        <v>0</v>
      </c>
      <c r="AG13" s="60" t="str">
        <f>IF(AB13="","","INSERT INTO drzava(id,naziv,oznaka) VALUES ("&amp;AC13&amp;",'"&amp;AE13&amp;"','"&amp;UPPER(LEFT(AB13,1))&amp;LOWER(RIGHT(AB13,2))&amp;"');")</f>
        <v/>
      </c>
      <c r="AH13" s="47" t="s">
        <v>0</v>
      </c>
      <c r="AI13" s="142" t="str">
        <f>IF(AA13="","",IF(AA13="NEMA",AB13,Z13))</f>
        <v>CRO</v>
      </c>
      <c r="AK13" s="50" t="str">
        <f>IF(O13="","",D13)</f>
        <v>Lovro</v>
      </c>
      <c r="AL13" s="28" t="str">
        <f>IF(O13="","",E13)</f>
        <v>Pinjušić</v>
      </c>
      <c r="AM13" s="72">
        <f t="shared" ref="AM13" si="6">IF(AL13="","",IFERROR(INDEX(regNatjecatelj_id,MATCH(AK13&amp;" – "&amp;AL13,regNatjecatelj_imePrezime,0)),"NEMA"))</f>
        <v>1315</v>
      </c>
      <c r="AN13" s="72" t="str">
        <f t="shared" ref="AN13" si="7">IF(AM13&lt;&gt;"NEMA","",IFERROR(INDEX(regNatjecatelj_alias_natjecateljId,MATCH(AK13&amp;" "&amp;AL13,regNatjecatelj_alias_alias,0)),"NEMA"))</f>
        <v/>
      </c>
      <c r="AO13" s="28" t="str">
        <f t="shared" ref="AO13:AO76" si="8">IF(O13="","",IF(OR(AN13="",AN13="NEMA"),AK13,INDEX(regNatjecatelj_ime,MATCH(AN13,regNatjecatelj_id,0))))</f>
        <v>Lovro</v>
      </c>
      <c r="AP13" s="65" t="str">
        <f t="shared" ref="AP13:AP76" si="9">IF(O13="","",IF(OR(AN13="",AN13="NEMA"),AL13,INDEX(regNatjecatelj_prezime,MATCH(AN13,regNatjecatelj_id,0))))</f>
        <v>Pinjušić</v>
      </c>
      <c r="AQ13" s="47" t="s">
        <v>0</v>
      </c>
      <c r="AR13" s="81" t="str">
        <f>IF(OR(O13="",AN13&lt;&gt;"NEMA"),"",AK13&amp;" "&amp;AL13)</f>
        <v/>
      </c>
      <c r="AS13" s="47" t="s">
        <v>0</v>
      </c>
      <c r="AT13" s="60" t="str">
        <f>IF(OR(AM13&lt;&gt;"NEMA",AN13&lt;&gt;"NEMA"),"","SELECT '"&amp;AO13&amp;" – "&amp;AP13&amp;"', ime, prezime FROM imeprezime WHERE ime LIKE '%"&amp;MID(AO13,2,LEN(AO13)-2)&amp;"%' Or prezime LIKE '%"&amp;MID(AP13,2,LEN(AP13)-2)&amp;"%' Or ime LIKE '%"&amp;MID(AP13,2,LEN(AP13)-2)&amp;"%' Or prezime LIKE '%"&amp;MID(AO13,2,LEN(AO13)-2)&amp;"%' ORDER BY ime, prezime;")</f>
        <v/>
      </c>
      <c r="AU13" s="47" t="s">
        <v>0</v>
      </c>
      <c r="AV13" s="100"/>
      <c r="AW13" s="102"/>
      <c r="AX13" s="47" t="s">
        <v>0</v>
      </c>
      <c r="AY13" s="255" t="str">
        <f t="shared" ref="AY13:AY76" si="10">IF(AND(AV13="",AW13&lt;&gt;""),"FALI IME",IF(AND(AV13&lt;&gt;"",AW13=""),"FALI PREZIME",IF(OR(AM13="",AND(AM13="NEMA",AN13="NEMA"),AV13&amp;AW13=""),"","GREŠKA")))</f>
        <v/>
      </c>
      <c r="AZ13" s="47" t="s">
        <v>0</v>
      </c>
      <c r="BA13" s="50" t="str">
        <f t="shared" ref="BA13:BA76" si="11">IF(AV13&amp;AW13="","",AR13)</f>
        <v/>
      </c>
      <c r="BB13" s="72" t="str">
        <f>IF(AV13&amp;AW13="","",MAX(BB$12:BB12)+1)</f>
        <v/>
      </c>
      <c r="BC13" s="271" t="str">
        <f t="shared" ref="BC13:BC76" si="12">IF(AV13&amp;AW13="","",IFERROR(INDEX(regNatjecatelj_id,MATCH(AV13&amp;" – "&amp;AW13,regNatjecatelj_imePrezime,0)),"NEMA"))</f>
        <v/>
      </c>
      <c r="BD13" s="51" t="str">
        <f>IF(AND(AM13="NEMA",AN13="NEMA",OR(AV13&amp;AW13="",BC13="NEMA")),MAX(BD$12:BD12)+1,"")</f>
        <v/>
      </c>
      <c r="BE13" s="47" t="s">
        <v>0</v>
      </c>
      <c r="BF13" s="50" t="str">
        <f t="shared" ref="BF13" si="13">IF(AL13="","",IF(BC13="",AO13,IF(BC13="NEMA",AV13,INDEX(regNatjecatelj_ime,MATCH(BC13,regNatjecatelj_id,0)))))</f>
        <v>Lovro</v>
      </c>
      <c r="BG13" s="65" t="str">
        <f t="shared" ref="BG13" si="14">IF(AL13="","",IF(BC13="",AP13,IF(BC13="NEMA",AW13,INDEX(regNatjecatelj_prezime,MATCH(BC13,regNatjecatelj_id,0)))))</f>
        <v>Pinjušić</v>
      </c>
      <c r="BH13" s="47" t="s">
        <v>0</v>
      </c>
      <c r="BI13" s="50" t="str">
        <f t="shared" ref="BI13:BI76" si="15">IF(O13="","",J13)</f>
        <v>JAP</v>
      </c>
      <c r="BJ13" s="28" t="str">
        <f t="shared" ref="BJ13:BJ76" si="16">IF(O13="","",K13)</f>
        <v>OK Japetic</v>
      </c>
      <c r="BK13" s="72">
        <f t="shared" ref="BK13:BK76" si="17">IF(BJ13="","",IF(IFERROR(MATCH(BJ13,regKlub_naziv,0),"")&lt;&gt;"","",IFERROR(MATCH(BJ13,regKlub_alias_alias,0),"NEMA")))</f>
        <v>1</v>
      </c>
      <c r="BL13" s="28" t="str" cm="1">
        <f t="array" ref="BL13">IF(BK13="",""&amp;BJ13,IF(BK13="NEMA",BJ13,INDEX(regKlub_naziv,MATCH(INDEX(regKlub_alias_klubId,BK13),regKlub_id,0))))</f>
        <v>OK Japetić</v>
      </c>
      <c r="BM13" s="244" t="str" cm="1">
        <f t="array" ref="BM13">IFERROR(""&amp;INDEX(regNatjecatelj_klub,DV13),"")</f>
        <v>OK Japetić</v>
      </c>
      <c r="BN13" s="72" t="str">
        <f>IF(BL13=BM13,"",IF(BM13="","",1))</f>
        <v/>
      </c>
      <c r="BO13" s="65" t="str">
        <f>IF(AND(BM13&lt;&gt;"",BM13&lt;&gt;BL13),BM13,""&amp;BL13)</f>
        <v>OK Japetić</v>
      </c>
      <c r="BP13" s="47" t="s">
        <v>0</v>
      </c>
      <c r="BQ13" s="50" t="str">
        <f>IF(X13&lt;&gt;"NEMA","",IF(IFERROR(MATCH(W13,W$12:W12,0),0)&lt;&gt;0,"",W13))</f>
        <v/>
      </c>
      <c r="BR13" s="72" t="str">
        <f t="shared" ref="BR13" si="18">IF(BQ13="","",IFERROR(INDEX(regKlub_alias_id,MATCH(BQ13,regKlub_alias_alias,0)),"NEMA"))</f>
        <v/>
      </c>
      <c r="BS13" s="28" t="str">
        <f>IF(OR(BR13="",BR13&lt;&gt;"NEMA"),"",MAX(BS$12:BS12)+1)</f>
        <v/>
      </c>
      <c r="BT13" s="65" t="str">
        <f t="shared" ref="BT13" si="19">IF(OR(BR13="",BR13&lt;&gt;"NEMA"),"",INDEX(regKlub_id,MATCH(BQ13,regKlub_naziv,0)))</f>
        <v/>
      </c>
      <c r="BU13" s="47" t="s">
        <v>0</v>
      </c>
      <c r="BV13" s="60" t="str">
        <f t="shared" ref="BV13" si="20">IF(OR(BR13="",BR13&lt;&gt;"NEMA"),"","INSERT INTO klub_alias(id,alias,klub_id) VALUES ("&amp;BS13&amp;",'"&amp;BQ13&amp;"',"&amp;BT13&amp;");")</f>
        <v/>
      </c>
      <c r="BW13" s="47" t="s">
        <v>0</v>
      </c>
      <c r="BX13" s="81" t="str">
        <f>IF(BK13&lt;&gt;"NEMA","",IF(IFERROR(MATCH(BJ13,BJ$12:BJ12,0),0)&lt;&gt;0,"",BJ13))</f>
        <v/>
      </c>
      <c r="BY13" s="47" t="s">
        <v>0</v>
      </c>
      <c r="BZ13" s="124"/>
      <c r="CA13" s="47" t="s">
        <v>0</v>
      </c>
      <c r="CB13" s="57" t="str">
        <f t="shared" ref="CB13" si="21">IF(BZ13="","",IFERROR(INDEX(regKlub_id,MATCH(BZ13,regKlub_naziv,0)),"NEMA"))</f>
        <v/>
      </c>
      <c r="CC13" s="28" t="str">
        <f>IF(BX13="","",IF(BZ13="",BX13,""))</f>
        <v/>
      </c>
      <c r="CD13" s="28" t="str">
        <f>IF(CC13="","",MAX(CD$12:CD12)+1)</f>
        <v/>
      </c>
      <c r="CE13" s="28" t="str">
        <f t="shared" ref="CE13:CE76" si="22">IF(CC13="","",IF(AA13="","",IF(AA13="NEMA",AC13,AA13)))</f>
        <v/>
      </c>
      <c r="CF13" s="28" t="str">
        <f>IF(CC13="","","INSERT INTO klub(id,naziv,drzava_id,aktivan) VALUES ("&amp;CD13&amp;",'"&amp;CC13&amp;"',"&amp;CE13&amp;",1);")</f>
        <v/>
      </c>
      <c r="CG13" s="28" t="str">
        <f>IF(BZ13="","",MAX(CG$12:CG12)+1)</f>
        <v/>
      </c>
      <c r="CH13" s="28" t="str">
        <f t="shared" ref="CH13" si="23">IF(BZ13="","",IF(CD13="",INDEX(regKlub_id,MATCH(BZ13,regKlub_naziv,0)),CD13))</f>
        <v/>
      </c>
      <c r="CI13" s="65" t="str">
        <f t="shared" ref="CI13" si="24">IF(BZ13="","","INSERT INTO klub_alias(id,alias,klub_id) VALUES ("&amp;CG13&amp;",'"&amp;BX13&amp;"',"&amp;CH13&amp;");")</f>
        <v/>
      </c>
      <c r="CJ13" s="47" t="s">
        <v>0</v>
      </c>
      <c r="CK13" s="72" t="str">
        <f t="shared" ref="CK13:CK76" si="25">IF(BK13="","",IF(BK13&lt;&gt;"NEMA","",IFERROR(INDEX(nat_klubAliasId,MATCH(BJ13,nat_noviKluboviAliasi,0)),"")))</f>
        <v/>
      </c>
      <c r="CM13" s="60" t="str">
        <f t="shared" ref="CM13" si="26">""&amp;CF13&amp;IF(AND(CF13&lt;&gt;"",CI13&lt;&gt;""),"
","")&amp;CI13</f>
        <v/>
      </c>
      <c r="CN13" s="47" t="s">
        <v>0</v>
      </c>
      <c r="CO13" s="142" t="str">
        <f t="shared" ref="CO13" si="27">IF(BO13="","",IF(BZ13="",IF(IFERROR(MATCH(BO13,nat_noviKluboviAliasi,0),0)&gt;0,INDEX(nat_kluboviAliasi,MATCH(BO13,nat_noviKluboviAliasi,0)),BO13),BZ13))</f>
        <v>OK Japetić</v>
      </c>
      <c r="CP13" s="47" t="s">
        <v>0</v>
      </c>
      <c r="CQ13" s="57" t="str">
        <f t="shared" ref="CQ13:CQ38" si="28">IF(G13="","",G13)</f>
        <v>31:38</v>
      </c>
      <c r="CR13" s="72" t="str">
        <f t="shared" ref="CR13:CR38" si="29">IF(H13="","",H13)</f>
        <v>0</v>
      </c>
      <c r="CS13" s="227" t="str">
        <f t="shared" ref="CS13:CS76" si="30">IF(CQ13="",IF(OR(AL13="",CR13&lt;&gt;"0"),"","GREŠKA"),IF(AND(65535&gt;=VALUE(LEFT(CQ13,SEARCH(":",CQ13)-1))*60+VALUE(RIGHT(CQ13,2)),OR(CR13="0",CR13="1",CR13="2",CR13="3",CR13="4")),"","GREŠKA"))</f>
        <v/>
      </c>
      <c r="CT13" s="228">
        <f t="shared" ref="CT13:CT59" si="31">IF(CQ13="","",VALUE(LEFT(CQ13,SEARCH(":",CQ13)-1))*60+VALUE(RIGHT(CQ13,2)))</f>
        <v>1898</v>
      </c>
      <c r="CU13" s="162">
        <f t="shared" ref="CU13:CU76" si="32">IF(DU13="","",IF(AND(CR13="0",N(CT13)&gt;data_max_minuta*60),2,INDEX(regStatusRezultat_id,MATCH(VALUE(CR13),regStatusRezultat_oEvent,0))))</f>
        <v>1</v>
      </c>
      <c r="CV13" s="47" t="s">
        <v>0</v>
      </c>
      <c r="CW13" s="220" t="str">
        <f>IF(CS13&lt;&gt;"GREŠKA","",AK13&amp;" "&amp;AL13&amp;" – Molim u OEventu provjeriti i ispraviti rezultat – vrijeme ("&amp;IF(CQ13="","nije upisano",CQ13)&amp;") i classifier ("&amp;CR13&amp;").")&amp;IF(OR(CS13&lt;&gt;"GREŠKA",CU13&lt;&gt;5),"
","")&amp;IF(CU13&lt;&gt;5,"",AK13&amp;" "&amp;AL13&amp;" – Molim u provjeriti je li natjecatelj zaista diskvalificiran. Ako je koje je obrazloženje, ako nije molim u OEventu ispraviti rezultat.")</f>
        <v xml:space="preserve">
</v>
      </c>
      <c r="CX13" s="221" t="str">
        <f>IF(CW13="",""&amp;CX14,CW13&amp;IF(CX14="","","
"&amp;CX14))</f>
        <v xml:space="preserve">
6</v>
      </c>
      <c r="CY13" s="47" t="s">
        <v>0</v>
      </c>
      <c r="DC13" s="47" t="s">
        <v>0</v>
      </c>
      <c r="DD13" s="51" t="str">
        <f t="shared" ref="DD13:DD19" si="33">IF(BD13="","",IF(DF13="O",1,""))</f>
        <v/>
      </c>
      <c r="DE13" s="47" t="s">
        <v>0</v>
      </c>
      <c r="DF13" s="127" t="str">
        <f t="shared" ref="DF13:DF19" si="34">IF(Q13="","",LEFT(INDEX(regKategorija_oznaka,MATCH(S13,regKategorija_id,0)),1))</f>
        <v>M</v>
      </c>
      <c r="DG13" s="47" t="s">
        <v>0</v>
      </c>
      <c r="DH13" s="50" t="str">
        <f t="shared" ref="DH13:DH19" si="35">IF(BD13="","",IF(M13&lt;&gt;"CRO","","INSERT INTO osoba (id,reg_broj,oib,spol_id,dat_rodjenja) VALUES ("&amp;BD13&amp;",(SELECT max(os.reg_broj)+1 FROM osoba AS os),Null,'"&amp;DF13&amp;"',Null); INSERT INTO osoba_log (id,reg_broj,oib,spol_id,dat_rodjenja,dnevnik_id) SELECT id,reg_broj,oib,spol_id,dat_rodjenja,"&amp;data_dnevnik_id&amp;" FROM osoba WHERE id = "&amp;BD13&amp;";"))</f>
        <v/>
      </c>
      <c r="DI13" s="65" t="str">
        <f t="shared" ref="DI13:DI19" si="36">IF(BD13="","","INSERT INTO imeprezime (id,osoba_id,rbr,ime,prezime,klub_id,identitet_id,sintaksa_id,info,aktivno,dnevnik_id) VALUES ("&amp;BD13&amp;","&amp;IF(DH13="","Null",BD13)&amp;",1,'"&amp;IF(AV13&lt;&gt;"",AV13,AK13)&amp;"','"&amp;IF(AW13&lt;&gt;"",AW13,AL13)&amp;"',(SELECT id FROM klub WHERE naziv = '"&amp;CO13&amp;"'),Null,1,'',1,"&amp;data_dnevnik_id&amp;");")</f>
        <v/>
      </c>
      <c r="DJ13" s="47" t="s">
        <v>0</v>
      </c>
      <c r="DK13" s="60" t="str">
        <f t="shared" ref="DK13:DK19" si="37">IF(DH13="",DI13,DH13&amp;" "&amp;DI13)</f>
        <v/>
      </c>
      <c r="DL13" s="47" t="s">
        <v>0</v>
      </c>
      <c r="DM13" s="60" t="str">
        <f t="shared" ref="DM13:DM19" si="38">IF(BA13="","","INSERT INTO imeprezime_alias(id,alias,imeprezime_id) VALUES ("&amp;BB13&amp;",'"&amp;BA13&amp;"',"&amp;IF(BC13="NEMA",BD13,BC13)&amp;");")</f>
        <v/>
      </c>
      <c r="DN13" s="47" t="s">
        <v>0</v>
      </c>
      <c r="DO13" s="50" t="str">
        <f t="shared" ref="DO13:DO76" si="39">IF(AL13="","",DR13 &amp; IF(Q13="",""," – " &amp; Q13))</f>
        <v>Lovro – Pinjušić – OK Japetić – M12</v>
      </c>
      <c r="DP13" s="51">
        <f t="shared" ref="DP13:DP76" si="40">IF(DO13="","",IFERROR(MATCH(DO13,regNatjecatelj_imePrezimeKlubKategorija,0),"NEMA"))</f>
        <v>129</v>
      </c>
      <c r="DQ13" s="47" t="s">
        <v>0</v>
      </c>
      <c r="DR13" s="50" t="str">
        <f t="shared" ref="DR13:DR76" si="41">IF(AL13="","",DU13 &amp; IF(CO13="",""," – " &amp; CO13))</f>
        <v>Lovro – Pinjušić – OK Japetić</v>
      </c>
      <c r="DS13" s="51">
        <f t="shared" ref="DS13:DS76" si="42">IF(DR13="","",IFERROR(MATCH(DR13,regNatjecatelj_imePrezimeKlub,0),"NEMA"))</f>
        <v>129</v>
      </c>
      <c r="DT13" s="47" t="s">
        <v>0</v>
      </c>
      <c r="DU13" s="50" t="str">
        <f t="shared" ref="DU13:DU76" si="43">IF(BG13="","",BF13&amp;" – "&amp;BG13)</f>
        <v>Lovro – Pinjušić</v>
      </c>
      <c r="DV13" s="51">
        <f t="shared" ref="DV13:DV76" si="44">IF(DU13="","",IFERROR(MATCH(DU13,regNatjecatelj_imePrezime,0),"NEMA"))</f>
        <v>129</v>
      </c>
      <c r="DW13" s="47" t="s">
        <v>0</v>
      </c>
      <c r="DX13" s="57">
        <f>IF(DP13="","",IF(DP13&lt;&gt;"NEMA",DP13,IF(DS13&lt;&gt;"NEMA",DS13,IF(DV13&lt;&gt;"NEMA",DV13,""))))</f>
        <v>129</v>
      </c>
      <c r="DY13" s="51" cm="1">
        <f t="array" ref="DY13">IF(DX13&lt;&gt;"",INDEX(regNatjecatelj_id,DX13,0),IF(BD13&lt;&gt;"",BD13,""))</f>
        <v>1315</v>
      </c>
      <c r="DZ13" s="47" t="s">
        <v>0</v>
      </c>
      <c r="EA13" s="57" t="str">
        <f t="shared" ref="EA13:EA76" si="45">IF(AL13="","",IF(BD13&lt;&gt;"","novo",IF(AN13="","imepre","imepre(ali)")))</f>
        <v>imepre</v>
      </c>
      <c r="EB13" s="72" t="str">
        <f t="shared" ref="EB13:EB76" si="46">IF(AL13="","",IF(BJ13="",IF(IFERROR(INDEX(regNatjecatelj_klub,MATCH(DY13,regNatjecatelj_id,0)),"NEMA")="","klu",""),IF(OR(AND(BK13&lt;&gt;"",BK13&lt;&gt;"NEMA"),CH13&lt;&gt;""),"klu(ali)",IF(AND(BM13&lt;&gt;"",BM13&lt;&gt;BL13),"(raz-klu)","klu"))))</f>
        <v>klu(ali)</v>
      </c>
      <c r="EC13" s="72" t="str">
        <f t="shared" ref="EC13:EC76" si="47">IF(AL13="","","kat"&amp;IF(AND(W13&lt;&gt;Q13,Q13&lt;&gt;"Open"),"(ali)",""))</f>
        <v>kat</v>
      </c>
      <c r="ED13" s="72" t="str">
        <f t="shared" ref="ED13:ED76" si="48">IF(OR(CS13&lt;&gt;"",CU13=2),"ot","")</f>
        <v/>
      </c>
      <c r="EE13" s="65" t="str">
        <f t="shared" ref="EE13:EE76" si="49">IF(AL13="","",EA13&amp;IF(EA13="novo","","-"&amp;EB13&amp;"-"&amp;EC13)&amp;IF(ED13="","","-"&amp;ED13))</f>
        <v>imepre-klu(ali)-kat</v>
      </c>
      <c r="EF13" s="47" t="s">
        <v>0</v>
      </c>
      <c r="EG13" s="57">
        <f>IF(AL13="","",MAX(EG$12:EG12)+1)</f>
        <v>192</v>
      </c>
      <c r="EH13" s="72">
        <f t="shared" ref="EH13:EH76" si="50">IF(AO13="","",X13)</f>
        <v>23</v>
      </c>
      <c r="EI13" s="72">
        <f>IF(DY13="","",DY13)</f>
        <v>1315</v>
      </c>
      <c r="EJ13" s="72">
        <f t="shared" ref="EJ13:EJ76" si="51">IF(CT13="","",CT13)</f>
        <v>1898</v>
      </c>
      <c r="EK13" s="72">
        <f t="shared" ref="EK13:EK76" si="52">IF(CU13="","",IF(AND(EJ13="",CU13=1),6,CU13))</f>
        <v>1</v>
      </c>
      <c r="EL13" s="72">
        <f t="shared" ref="EL13" si="53">IF(DU13="","",IF(data_trka_je_rangirana=0,0,IF(OR(DP13="",DP13="NEMA"),0,1)))</f>
        <v>1</v>
      </c>
      <c r="EM13" s="72">
        <f t="shared" ref="EM13" si="54">IF(EG13="","",INDEX(regUparivanje_id,MATCH(EE13,regUparivanje_oznaka,0)))</f>
        <v>3</v>
      </c>
      <c r="EN13" s="72" t="str">
        <f t="shared" ref="EN13:EN76" si="55">IF(CU13="","",CR13)</f>
        <v>0</v>
      </c>
      <c r="EO13" s="72" t="str">
        <f t="shared" ref="EO13:EO76" si="56">IF(OR(AN13="",AN13="NEMA"),BB13,AN13)</f>
        <v/>
      </c>
      <c r="EP13" s="72">
        <f t="shared" ref="EP13:EP76" si="57">IF(AND(BK13&lt;&gt;"",BK13&lt;&gt;"NEMA"),BK13,IF(CK13&lt;&gt;"",CK13,IF(AND(BR13&lt;&gt;"",BR13&lt;&gt;"NEMA"),BR13,IF(BS13&lt;&gt;"",BS13,""))))</f>
        <v>1</v>
      </c>
      <c r="EQ13" s="51" t="str">
        <f t="shared" ref="EQ13:EQ76" si="58">IF(INDEX(natKategorija_alias_Id,MATCH(S13,natKategorija_katRegId,0))="","",INDEX(natKategorija_alias_Id,MATCH(S13,natKategorija_katRegId,0)))</f>
        <v/>
      </c>
      <c r="ER13" s="47" t="s">
        <v>0</v>
      </c>
      <c r="ES13" s="60" t="str">
        <f>IF(EH13="","","INSERT INTO rezultat(id,stazakategorija_id,imeprezime_id,vrijeme_sec,status_id,registracija,uparivanje_id,originalstatus_id,imeprezimealias_id,klubalias_id,kategorijaalias_id) VALUES ("&amp;EG13&amp;","&amp;EH13&amp;","&amp;EI13&amp;","&amp;IF(EJ13="","Null",EJ13)&amp;","&amp;EK13&amp;","&amp;EL13&amp;","&amp;EM13&amp;","&amp;EN13&amp;","&amp;IF(EO13="","Null",EO13)&amp;","&amp;IF(EP13="","Null",EP13)&amp;","&amp;IF(EQ13="","Null",EQ13)&amp;");")</f>
        <v>INSERT INTO rezultat(id,stazakategorija_id,imeprezime_id,vrijeme_sec,status_id,registracija,uparivanje_id,originalstatus_id,imeprezimealias_id,klubalias_id,kategorijaalias_id) VALUES (192,23,1315,1898,1,1,3,0,Null,1,Null);</v>
      </c>
      <c r="ET13" s="47" t="s">
        <v>0</v>
      </c>
      <c r="EU13" s="60" t="str">
        <f t="shared" ref="EU13" si="59">IF(EH13="","",IF(EL13=1,"UPDATE
	registar
SET
	potvrda = 1
WHERE
	imeprezime_id="&amp;EI13&amp;"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3" s="47" t="s">
        <v>0</v>
      </c>
      <c r="EW13" s="180" t="str">
        <f t="shared" ref="EW13:EW76" si="60">AG13&amp;IF(BV13="","","
")&amp;BV13&amp;IF(CM13="","","
")&amp;CM13&amp;IF(DK13="","","
")&amp;DK13&amp;IF(DM13="","","
")&amp;DM13&amp;IF(ES13="","","
")&amp;ES13&amp;IF(EU13="","","
")&amp;EU13</f>
        <v xml:space="preserve">
INSERT INTO rezultat(id,stazakategorija_id,imeprezime_id,vrijeme_sec,status_id,registracija,uparivanje_id,originalstatus_id,imeprezimealias_id,klubalias_id,kategorijaalias_id) VALUES (192,23,1315,1898,1,1,3,0,Null,1,Null);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3" s="47" t="s">
        <v>0</v>
      </c>
    </row>
    <row r="14" spans="1:166" ht="15.75" thickBot="1" x14ac:dyDescent="0.3">
      <c r="A14" t="s">
        <v>0</v>
      </c>
      <c r="B14" s="52" t="str">
        <f>IF(csv!F4="","",csv!T4)</f>
        <v>M12</v>
      </c>
      <c r="C14" s="31" t="s">
        <v>0</v>
      </c>
      <c r="D14" s="31" t="str">
        <f>IF(csv!F4="","",csv!F4)</f>
        <v>Marin</v>
      </c>
      <c r="E14" s="31" t="str">
        <f>IF(csv!E4="","",csv!E4)</f>
        <v>Tanković</v>
      </c>
      <c r="F14" s="31" t="s">
        <v>0</v>
      </c>
      <c r="G14" s="73" t="str">
        <f>IF(csv!M4="","",csv!M4)</f>
        <v>33:21</v>
      </c>
      <c r="H14" s="73" t="str">
        <f>IF(csv!N4="","",csv!N4)</f>
        <v>0</v>
      </c>
      <c r="I14" s="31" t="s">
        <v>0</v>
      </c>
      <c r="J14" s="31" t="str">
        <f>IF(csv!P4="","",csv!P4)</f>
        <v>OK Jelen</v>
      </c>
      <c r="K14" s="31" t="str">
        <f>IF(csv!Q4="","",csv!Q4)</f>
        <v>OK Jelen</v>
      </c>
      <c r="L14" s="31" t="s">
        <v>0</v>
      </c>
      <c r="M14" s="66" t="str">
        <f>IF(csv!R4="","",csv!R4)</f>
        <v>CRO</v>
      </c>
      <c r="N14" s="47" t="s">
        <v>0</v>
      </c>
      <c r="O14" s="246" t="str">
        <f t="shared" ref="O14:O77" si="61">IF(E14="","","ok")</f>
        <v>ok</v>
      </c>
      <c r="P14" s="47"/>
      <c r="Q14" s="52" t="str">
        <f t="shared" ref="Q14:Q77" si="62">IF(B14="","",B14)</f>
        <v>M12</v>
      </c>
      <c r="R14" s="73">
        <f>IF(Q14="","",IF(COUNTIF(Q$12:Q13,Q14)=0,R13+1,R13))</f>
        <v>1</v>
      </c>
      <c r="S14" s="73">
        <f t="shared" ref="S14:S77" si="63">IF(Q14="","",IFERROR(INDEX(regKategorija_id,MATCH(Q14,regKategorija_oznaka,0)),IFERROR(INDEX(regKategorija_alias_id,MATCH(Q14,regKategorija_alias_oznaka,0)),INDEX(natKategorija_katRegId,MATCH(Q14,natKategorija_kategorija,0)))))</f>
        <v>112</v>
      </c>
      <c r="T14" s="73">
        <f t="shared" si="1"/>
        <v>22</v>
      </c>
      <c r="U14" s="66" t="str">
        <f t="shared" si="2"/>
        <v>M12 – Ž12</v>
      </c>
      <c r="V14" s="47" t="s">
        <v>0</v>
      </c>
      <c r="W14" s="222" t="str">
        <f t="shared" si="3"/>
        <v>M12</v>
      </c>
      <c r="X14" s="223">
        <f t="shared" si="4"/>
        <v>23</v>
      </c>
      <c r="Y14" s="47" t="s">
        <v>0</v>
      </c>
      <c r="Z14" s="52" t="str">
        <f t="shared" ref="Z14:Z77" si="64">IF(O14="","",M14)</f>
        <v>CRO</v>
      </c>
      <c r="AA14" s="73">
        <f t="shared" si="5"/>
        <v>1</v>
      </c>
      <c r="AB14" s="31" t="str">
        <f t="shared" ref="AB14:AB77" si="65">IF(OR(AA14="",AA14&lt;&gt;"NEMA"),"",Z14)</f>
        <v/>
      </c>
      <c r="AC14" s="66" t="str">
        <f>IF(AB14="","",MAX(AC$12:AC13)+1)</f>
        <v/>
      </c>
      <c r="AD14" s="47" t="s">
        <v>0</v>
      </c>
      <c r="AE14" s="125"/>
      <c r="AF14" s="47" t="s">
        <v>0</v>
      </c>
      <c r="AG14" s="19" t="str">
        <f t="shared" ref="AG14:AG77" si="66">IF(AB14="","","INSERT INTO drzava(id,naziv,oznaka) VALUES ("&amp;AC14&amp;",'"&amp;AE14&amp;"','"&amp;UPPER(LEFT(AB14,1))&amp;LOWER(RIGHT(AB14,2))&amp;"');")</f>
        <v/>
      </c>
      <c r="AH14" s="47" t="s">
        <v>0</v>
      </c>
      <c r="AI14" s="143" t="str">
        <f t="shared" ref="AI14:AI77" si="67">IF(AA14="","",IF(AA14="NEMA",AB14,Z14))</f>
        <v>CRO</v>
      </c>
      <c r="AJ14" s="47"/>
      <c r="AK14" s="52" t="str">
        <f t="shared" ref="AK14:AK77" si="68">IF(O14="","",D14)</f>
        <v>Marin</v>
      </c>
      <c r="AL14" s="31" t="str">
        <f t="shared" ref="AL14:AL77" si="69">IF(O14="","",E14)</f>
        <v>Tanković</v>
      </c>
      <c r="AM14" s="73">
        <f t="shared" ref="AM14:AM77" si="70">IF(AL14="","",IFERROR(INDEX(regNatjecatelj_id,MATCH(AK14&amp;" – "&amp;AL14,regNatjecatelj_imePrezime,0)),"NEMA"))</f>
        <v>1162</v>
      </c>
      <c r="AN14" s="73" t="str">
        <f t="shared" ref="AN14:AN77" si="71">IF(AM14&lt;&gt;"NEMA","",IFERROR(INDEX(regNatjecatelj_alias_natjecateljId,MATCH(AK14&amp;" "&amp;AL14,regNatjecatelj_alias_alias,0)),"NEMA"))</f>
        <v/>
      </c>
      <c r="AO14" s="31" t="str">
        <f t="shared" si="8"/>
        <v>Marin</v>
      </c>
      <c r="AP14" s="66" t="str">
        <f t="shared" si="9"/>
        <v>Tanković</v>
      </c>
      <c r="AQ14" s="47" t="s">
        <v>0</v>
      </c>
      <c r="AR14" s="82" t="str">
        <f t="shared" ref="AR14:AR77" si="72">IF(OR(O14="",AN14&lt;&gt;"NEMA"),"",AK14&amp;" "&amp;AL14)</f>
        <v/>
      </c>
      <c r="AS14" s="47" t="s">
        <v>0</v>
      </c>
      <c r="AT14" s="19" t="str">
        <f t="shared" ref="AT14:AT77" si="73">IF(OR(AM14&lt;&gt;"NEMA",AN14&lt;&gt;"NEMA"),"","SELECT '"&amp;AO14&amp;" – "&amp;AP14&amp;"', ime, prezime FROM imeprezime WHERE ime LIKE '%"&amp;MID(AO14,2,LEN(AO14)-2)&amp;"%' Or prezime LIKE '%"&amp;MID(AP14,2,LEN(AP14)-2)&amp;"%' Or ime LIKE '%"&amp;MID(AP14,2,LEN(AP14)-2)&amp;"%' Or prezime LIKE '%"&amp;MID(AO14,2,LEN(AO14)-2)&amp;"%' ORDER BY ime, prezime;")</f>
        <v/>
      </c>
      <c r="AU14" s="47" t="s">
        <v>0</v>
      </c>
      <c r="AV14" s="103"/>
      <c r="AW14" s="105"/>
      <c r="AX14" s="47" t="s">
        <v>0</v>
      </c>
      <c r="AY14" s="259" t="str">
        <f t="shared" si="10"/>
        <v/>
      </c>
      <c r="AZ14" s="47" t="s">
        <v>0</v>
      </c>
      <c r="BA14" s="52" t="str">
        <f t="shared" si="11"/>
        <v/>
      </c>
      <c r="BB14" s="73" t="str">
        <f>IF(AV14&amp;AW14="","",MAX(BB$12:BB13)+1)</f>
        <v/>
      </c>
      <c r="BC14" s="272" t="str">
        <f t="shared" si="12"/>
        <v/>
      </c>
      <c r="BD14" s="53" t="str">
        <f>IF(AND(AM14="NEMA",AN14="NEMA",OR(AV14&amp;AW14="",BC14="NEMA")),MAX(BD$12:BD13)+1,"")</f>
        <v/>
      </c>
      <c r="BE14" s="47" t="s">
        <v>0</v>
      </c>
      <c r="BF14" s="52" t="str">
        <f t="shared" ref="BF14:BF77" si="74">IF(AL14="","",IF(BC14="",AO14,IF(BC14="NEMA",AV14,INDEX(regNatjecatelj_ime,MATCH(BC14,regNatjecatelj_id,0)))))</f>
        <v>Marin</v>
      </c>
      <c r="BG14" s="66" t="str">
        <f t="shared" ref="BG14:BG77" si="75">IF(AL14="","",IF(BC14="",AP14,IF(BC14="NEMA",AW14,INDEX(regNatjecatelj_prezime,MATCH(BC14,regNatjecatelj_id,0)))))</f>
        <v>Tanković</v>
      </c>
      <c r="BH14" s="47" t="s">
        <v>0</v>
      </c>
      <c r="BI14" s="52" t="str">
        <f t="shared" si="15"/>
        <v>OK Jelen</v>
      </c>
      <c r="BJ14" s="31" t="str">
        <f t="shared" si="16"/>
        <v>OK Jelen</v>
      </c>
      <c r="BK14" s="73" t="str">
        <f t="shared" si="17"/>
        <v/>
      </c>
      <c r="BL14" s="31" t="str" cm="1">
        <f t="array" ref="BL14">IF(BK14="",""&amp;BJ14,IF(BK14="NEMA",BJ14,INDEX(regKlub_naziv,MATCH(INDEX(regKlub_alias_klubId,BK14),regKlub_id,0))))</f>
        <v>OK Jelen</v>
      </c>
      <c r="BM14" s="31" t="str" cm="1">
        <f t="array" ref="BM14">IFERROR(""&amp;INDEX(regNatjecatelj_klub,DV14),"")</f>
        <v>OK Jelen</v>
      </c>
      <c r="BN14" s="73" t="str">
        <f t="shared" ref="BN14:BN77" si="76">IF(BL14=BM14,"",IF(BM14="","",1))</f>
        <v/>
      </c>
      <c r="BO14" s="66" t="str">
        <f t="shared" ref="BO14:BO77" si="77">IF(AND(BM14&lt;&gt;"",BM14&lt;&gt;BL14),BM14,""&amp;BL14)</f>
        <v>OK Jelen</v>
      </c>
      <c r="BP14" s="47" t="s">
        <v>0</v>
      </c>
      <c r="BQ14" s="52" t="str">
        <f>IF(X14&lt;&gt;"NEMA","",IF(IFERROR(MATCH(W14,W$12:W13,0),0)&lt;&gt;0,"",W14))</f>
        <v/>
      </c>
      <c r="BR14" s="73" t="str">
        <f t="shared" ref="BR14:BR77" si="78">IF(BQ14="","",IFERROR(INDEX(regKlub_alias_id,MATCH(BQ14,regKlub_alias_alias,0)),"NEMA"))</f>
        <v/>
      </c>
      <c r="BS14" s="31" t="str">
        <f>IF(OR(BR14="",BR14&lt;&gt;"NEMA"),"",MAX(BS$12:BS13)+1)</f>
        <v/>
      </c>
      <c r="BT14" s="66" t="str">
        <f t="shared" ref="BT14:BT77" si="79">IF(OR(BR14="",BR14&lt;&gt;"NEMA"),"",INDEX(regKlub_id,MATCH(BQ14,regKlub_naziv,0)))</f>
        <v/>
      </c>
      <c r="BU14" s="47" t="s">
        <v>0</v>
      </c>
      <c r="BV14" s="19" t="str">
        <f t="shared" ref="BV14:BV77" si="80">IF(OR(BR14="",BR14&lt;&gt;"NEMA"),"","INSERT INTO klub_alias(id,alias,klub_id) VALUES ("&amp;BS14&amp;",'"&amp;BQ14&amp;"',"&amp;BT14&amp;");")</f>
        <v/>
      </c>
      <c r="BW14" s="47" t="s">
        <v>0</v>
      </c>
      <c r="BX14" s="82" t="str">
        <f>IF(BK14&lt;&gt;"NEMA","",IF(IFERROR(MATCH(BJ14,BJ$12:BJ13,0),0)&lt;&gt;0,"",BJ14))</f>
        <v/>
      </c>
      <c r="BY14" s="47" t="s">
        <v>0</v>
      </c>
      <c r="BZ14" s="125"/>
      <c r="CA14" s="47" t="s">
        <v>0</v>
      </c>
      <c r="CB14" s="58" t="str">
        <f t="shared" ref="CB14:CB77" si="81">IF(BZ14="","",IFERROR(INDEX(regKlub_id,MATCH(BZ14,regKlub_naziv,0)),"NEMA"))</f>
        <v/>
      </c>
      <c r="CC14" s="31" t="str">
        <f t="shared" ref="CC14:CC77" si="82">IF(BX14="","",IF(BZ14="",BX14,""))</f>
        <v/>
      </c>
      <c r="CD14" s="31" t="str">
        <f>IF(CC14="","",MAX(CD$12:CD13)+1)</f>
        <v/>
      </c>
      <c r="CE14" s="31" t="str">
        <f t="shared" si="22"/>
        <v/>
      </c>
      <c r="CF14" s="31" t="str">
        <f t="shared" ref="CF14:CF77" si="83">IF(CC14="","","INSERT INTO klub(id,naziv,drzava_id,aktivan) VALUES ("&amp;CD14&amp;",'"&amp;CC14&amp;"',"&amp;CE14&amp;",1);")</f>
        <v/>
      </c>
      <c r="CG14" s="31" t="str">
        <f>IF(BZ14="","",MAX(CG$12:CG13)+1)</f>
        <v/>
      </c>
      <c r="CH14" s="31" t="str">
        <f t="shared" ref="CH14:CH77" si="84">IF(BZ14="","",IF(CD14="",INDEX(regKlub_id,MATCH(BZ14,regKlub_naziv,0)),CD14))</f>
        <v/>
      </c>
      <c r="CI14" s="66" t="str">
        <f t="shared" ref="CI14:CI77" si="85">IF(BZ14="","","INSERT INTO klub_alias(id,alias,klub_id) VALUES ("&amp;CG14&amp;",'"&amp;BX14&amp;"',"&amp;CH14&amp;");")</f>
        <v/>
      </c>
      <c r="CJ14" s="47" t="s">
        <v>0</v>
      </c>
      <c r="CK14" s="73" t="str">
        <f t="shared" si="25"/>
        <v/>
      </c>
      <c r="CL14" s="47"/>
      <c r="CM14" s="19" t="str">
        <f t="shared" ref="CM14:CM77" si="86">""&amp;CF14&amp;IF(AND(CF14&lt;&gt;"",CI14&lt;&gt;""),"
","")&amp;CI14</f>
        <v/>
      </c>
      <c r="CN14" s="47" t="s">
        <v>0</v>
      </c>
      <c r="CO14" s="143" t="str">
        <f t="shared" ref="CO14:CO77" si="87">IF(BO14="","",IF(BZ14="",IF(IFERROR(MATCH(BO14,nat_noviKluboviAliasi,0),0)&gt;0,INDEX(nat_kluboviAliasi,MATCH(BO14,nat_noviKluboviAliasi,0)),BO14),BZ14))</f>
        <v>OK Jelen</v>
      </c>
      <c r="CP14" s="47" t="s">
        <v>0</v>
      </c>
      <c r="CQ14" s="58" t="str">
        <f t="shared" si="28"/>
        <v>33:21</v>
      </c>
      <c r="CR14" s="73" t="str">
        <f t="shared" si="29"/>
        <v>0</v>
      </c>
      <c r="CS14" s="229" t="str">
        <f t="shared" si="30"/>
        <v/>
      </c>
      <c r="CT14" s="230">
        <f t="shared" ref="CT14:CT38" si="88">IF(CQ14="","",VALUE(LEFT(CQ14,SEARCH(":",CQ14)-1))*60+VALUE(RIGHT(CQ14,2)))</f>
        <v>2001</v>
      </c>
      <c r="CU14" s="163">
        <f t="shared" si="32"/>
        <v>1</v>
      </c>
      <c r="CV14" s="47" t="s">
        <v>0</v>
      </c>
      <c r="CW14" s="222" t="str">
        <f t="shared" ref="CW14:CW77" si="89">IF(CS14&lt;&gt;"GREŠKA","",AK14&amp;" "&amp;AL14&amp;" – Molim u OEventu provjeriti i ispraviti rezultat – vrijeme ("&amp;IF(CQ14="","nije upisano",CQ14)&amp;") i classifier ("&amp;CR14&amp;").")&amp;IF(OR(CS14&lt;&gt;"GREŠKA",CU14&lt;&gt;5),"
","")&amp;IF(CU14&lt;&gt;5,"",AK14&amp;" "&amp;AL14&amp;" – Molim u provjeriti je li natjecatelj zaista diskvalificiran. Ako je koje je obrazloženje, ako nije molim u OEventu ispraviti rezultat")</f>
        <v xml:space="preserve">
</v>
      </c>
      <c r="CX14" s="223">
        <f t="shared" ref="CX14:CX77" si="90">IF(DX14="","",IF(AND(CU14="0",N(CW14)&gt;data_max_minuta*60),2,INDEX(regStatusRezultat_id,MATCH(VALUE(CU14),regStatusRezultat_oEvent,0))))</f>
        <v>6</v>
      </c>
      <c r="CY14" s="47" t="s">
        <v>0</v>
      </c>
      <c r="CZ14" s="47"/>
      <c r="DA14" s="47"/>
      <c r="DB14" s="47"/>
      <c r="DC14" s="47" t="s">
        <v>0</v>
      </c>
      <c r="DD14" s="53" t="str">
        <f t="shared" si="33"/>
        <v/>
      </c>
      <c r="DE14" t="s">
        <v>0</v>
      </c>
      <c r="DF14" s="128" t="str">
        <f t="shared" si="34"/>
        <v>M</v>
      </c>
      <c r="DG14" t="s">
        <v>0</v>
      </c>
      <c r="DH14" s="52" t="str">
        <f t="shared" si="35"/>
        <v/>
      </c>
      <c r="DI14" s="66" t="str">
        <f t="shared" si="36"/>
        <v/>
      </c>
      <c r="DJ14" t="s">
        <v>0</v>
      </c>
      <c r="DK14" s="19" t="str">
        <f t="shared" si="37"/>
        <v/>
      </c>
      <c r="DL14" s="47" t="s">
        <v>0</v>
      </c>
      <c r="DM14" s="19" t="str">
        <f t="shared" si="38"/>
        <v/>
      </c>
      <c r="DN14" s="47" t="s">
        <v>0</v>
      </c>
      <c r="DO14" s="52" t="str">
        <f t="shared" si="39"/>
        <v>Marin – Tanković – OK Jelen – M12</v>
      </c>
      <c r="DP14" s="53">
        <f t="shared" si="40"/>
        <v>197</v>
      </c>
      <c r="DQ14" s="47" t="s">
        <v>0</v>
      </c>
      <c r="DR14" s="52" t="str">
        <f t="shared" si="41"/>
        <v>Marin – Tanković – OK Jelen</v>
      </c>
      <c r="DS14" s="53">
        <f t="shared" si="42"/>
        <v>197</v>
      </c>
      <c r="DT14" s="47" t="s">
        <v>0</v>
      </c>
      <c r="DU14" s="52" t="str">
        <f t="shared" si="43"/>
        <v>Marin – Tanković</v>
      </c>
      <c r="DV14" s="53">
        <f t="shared" si="44"/>
        <v>197</v>
      </c>
      <c r="DW14" s="47" t="s">
        <v>0</v>
      </c>
      <c r="DX14" s="58">
        <f t="shared" ref="DX14:DX77" si="91">IF(DP14="","",IF(DP14&lt;&gt;"NEMA",DP14,IF(DS14&lt;&gt;"NEMA",DS14,IF(DV14&lt;&gt;"NEMA",DV14,""))))</f>
        <v>197</v>
      </c>
      <c r="DY14" s="53" cm="1">
        <f t="array" ref="DY14">IF(DX14&lt;&gt;"",INDEX(regNatjecatelj_id,DX14,0),IF(BD14&lt;&gt;"",BD14,""))</f>
        <v>1162</v>
      </c>
      <c r="DZ14" s="47" t="s">
        <v>0</v>
      </c>
      <c r="EA14" s="58" t="str">
        <f t="shared" si="45"/>
        <v>imepre</v>
      </c>
      <c r="EB14" s="73" t="str">
        <f t="shared" si="46"/>
        <v>klu</v>
      </c>
      <c r="EC14" s="73" t="str">
        <f t="shared" si="47"/>
        <v>kat</v>
      </c>
      <c r="ED14" s="73" t="str">
        <f t="shared" si="48"/>
        <v/>
      </c>
      <c r="EE14" s="66" t="str">
        <f t="shared" si="49"/>
        <v>imepre-klu-kat</v>
      </c>
      <c r="EF14" s="47" t="s">
        <v>0</v>
      </c>
      <c r="EG14" s="58">
        <f>IF(AL14="","",MAX(EG$12:EG13)+1)</f>
        <v>193</v>
      </c>
      <c r="EH14" s="73">
        <f t="shared" si="50"/>
        <v>23</v>
      </c>
      <c r="EI14" s="73">
        <f t="shared" ref="EI14:EI77" si="92">IF(DY14="","",DY14)</f>
        <v>1162</v>
      </c>
      <c r="EJ14" s="73">
        <f t="shared" si="51"/>
        <v>2001</v>
      </c>
      <c r="EK14" s="73">
        <f t="shared" si="52"/>
        <v>1</v>
      </c>
      <c r="EL14" s="73">
        <f t="shared" ref="EL14:EL77" si="93">IF(DU14="","",IF(data_trka_je_rangirana=0,0,IF(OR(DP14="",DP14="NEMA"),0,1)))</f>
        <v>1</v>
      </c>
      <c r="EM14" s="73">
        <f t="shared" ref="EM14:EM77" si="94">IF(EG14="","",INDEX(regUparivanje_id,MATCH(EE14,regUparivanje_oznaka,0)))</f>
        <v>1</v>
      </c>
      <c r="EN14" s="73" t="str">
        <f t="shared" si="55"/>
        <v>0</v>
      </c>
      <c r="EO14" s="73" t="str">
        <f t="shared" si="56"/>
        <v/>
      </c>
      <c r="EP14" s="73" t="str">
        <f t="shared" si="57"/>
        <v/>
      </c>
      <c r="EQ14" s="53" t="str">
        <f t="shared" si="58"/>
        <v/>
      </c>
      <c r="ER14" s="47" t="s">
        <v>0</v>
      </c>
      <c r="ES14" s="19" t="str">
        <f t="shared" ref="ES14:ES77" si="95">IF(EH14="","","INSERT INTO rezultat(id,stazakategorija_id,imeprezime_id,vrijeme_sec,status_id,registracija,uparivanje_id,originalstatus_id,imeprezimealias_id,klubalias_id,kategorijaalias_id) VALUES ("&amp;EG14&amp;","&amp;EH14&amp;","&amp;EI14&amp;","&amp;IF(EJ14="","Null",EJ14)&amp;","&amp;EK14&amp;","&amp;EL14&amp;","&amp;EM14&amp;","&amp;EN14&amp;","&amp;IF(EO14="","Null",EO14)&amp;","&amp;IF(EP14="","Null",EP14)&amp;","&amp;IF(EQ14="","Null",EQ14)&amp;");")</f>
        <v>INSERT INTO rezultat(id,stazakategorija_id,imeprezime_id,vrijeme_sec,status_id,registracija,uparivanje_id,originalstatus_id,imeprezimealias_id,klubalias_id,kategorijaalias_id) VALUES (193,23,1162,2001,1,1,1,0,Null,Null,Null);</v>
      </c>
      <c r="ET14" s="47" t="s">
        <v>0</v>
      </c>
      <c r="EU14" s="19" t="str">
        <f t="shared" ref="EU14:EU77" si="96">IF(EH14="","",IF(EL14=1,"UPDATE
	registar
SET
	potvrda = 1
WHERE
	imeprezime_id="&amp;EI14&amp;"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4" s="47" t="s">
        <v>0</v>
      </c>
      <c r="EW14" s="180" t="str">
        <f t="shared" si="60"/>
        <v xml:space="preserve">
INSERT INTO rezultat(id,stazakategorija_id,imeprezime_id,vrijeme_sec,status_id,registracija,uparivanje_id,originalstatus_id,imeprezimealias_id,klubalias_id,kategorijaalias_id) VALUES (193,23,1162,2001,1,1,1,0,Null,Null,Null);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4" s="47" t="s">
        <v>0</v>
      </c>
      <c r="EY14" s="294" t="s">
        <v>73</v>
      </c>
      <c r="EZ14" s="295"/>
      <c r="FA14" s="295"/>
      <c r="FB14" s="295"/>
      <c r="FC14" s="295"/>
      <c r="FD14" s="295"/>
      <c r="FE14" s="295"/>
      <c r="FF14" s="295"/>
      <c r="FG14" s="295"/>
      <c r="FH14" s="295"/>
      <c r="FI14" s="295"/>
      <c r="FJ14" s="296"/>
    </row>
    <row r="15" spans="1:166" ht="15.75" thickBot="1" x14ac:dyDescent="0.3">
      <c r="A15" t="s">
        <v>0</v>
      </c>
      <c r="B15" s="52" t="str">
        <f>IF(csv!F5="","",csv!T5)</f>
        <v>M12</v>
      </c>
      <c r="C15" s="31" t="s">
        <v>0</v>
      </c>
      <c r="D15" s="31" t="str">
        <f>IF(csv!F5="","",csv!F5)</f>
        <v>Mario</v>
      </c>
      <c r="E15" s="31" t="str">
        <f>IF(csv!E5="","",csv!E5)</f>
        <v>Lah</v>
      </c>
      <c r="F15" s="31" t="s">
        <v>0</v>
      </c>
      <c r="G15" s="73" t="str">
        <f>IF(csv!M5="","",csv!M5)</f>
        <v>41:54</v>
      </c>
      <c r="H15" s="73" t="str">
        <f>IF(csv!N5="","",csv!N5)</f>
        <v>0</v>
      </c>
      <c r="I15" s="31" t="s">
        <v>0</v>
      </c>
      <c r="J15" s="31" t="str">
        <f>IF(csv!P5="","",csv!P5)</f>
        <v>OK Varaždin</v>
      </c>
      <c r="K15" s="31" t="str">
        <f>IF(csv!Q5="","",csv!Q5)</f>
        <v>OK Varaždin</v>
      </c>
      <c r="L15" s="31" t="s">
        <v>0</v>
      </c>
      <c r="M15" s="66" t="str">
        <f>IF(csv!R5="","",csv!R5)</f>
        <v>CRO</v>
      </c>
      <c r="N15" s="47" t="s">
        <v>0</v>
      </c>
      <c r="O15" s="246" t="str">
        <f t="shared" si="61"/>
        <v>ok</v>
      </c>
      <c r="P15" s="47"/>
      <c r="Q15" s="52" t="str">
        <f t="shared" si="62"/>
        <v>M12</v>
      </c>
      <c r="R15" s="73">
        <f>IF(Q15="","",IF(COUNTIF(Q$12:Q14,Q15)=0,R14+1,R14))</f>
        <v>1</v>
      </c>
      <c r="S15" s="73">
        <f t="shared" si="63"/>
        <v>112</v>
      </c>
      <c r="T15" s="73">
        <f t="shared" si="1"/>
        <v>22</v>
      </c>
      <c r="U15" s="66" t="str">
        <f t="shared" si="2"/>
        <v>M12 – Ž12</v>
      </c>
      <c r="V15" s="47" t="s">
        <v>0</v>
      </c>
      <c r="W15" s="222" t="str">
        <f t="shared" si="3"/>
        <v>M12</v>
      </c>
      <c r="X15" s="223">
        <f t="shared" si="4"/>
        <v>23</v>
      </c>
      <c r="Y15" s="47" t="s">
        <v>0</v>
      </c>
      <c r="Z15" s="52" t="str">
        <f t="shared" si="64"/>
        <v>CRO</v>
      </c>
      <c r="AA15" s="73">
        <f t="shared" si="5"/>
        <v>1</v>
      </c>
      <c r="AB15" s="31" t="str">
        <f t="shared" si="65"/>
        <v/>
      </c>
      <c r="AC15" s="66" t="str">
        <f>IF(AB15="","",MAX(AC$12:AC14)+1)</f>
        <v/>
      </c>
      <c r="AD15" s="47" t="s">
        <v>0</v>
      </c>
      <c r="AE15" s="125"/>
      <c r="AF15" s="47" t="s">
        <v>0</v>
      </c>
      <c r="AG15" s="19" t="str">
        <f t="shared" si="66"/>
        <v/>
      </c>
      <c r="AH15" s="47" t="s">
        <v>0</v>
      </c>
      <c r="AI15" s="143" t="str">
        <f t="shared" si="67"/>
        <v>CRO</v>
      </c>
      <c r="AJ15" s="47"/>
      <c r="AK15" s="52" t="str">
        <f t="shared" si="68"/>
        <v>Mario</v>
      </c>
      <c r="AL15" s="31" t="str">
        <f t="shared" si="69"/>
        <v>Lah</v>
      </c>
      <c r="AM15" s="73">
        <f t="shared" si="70"/>
        <v>1174</v>
      </c>
      <c r="AN15" s="73" t="str">
        <f t="shared" si="71"/>
        <v/>
      </c>
      <c r="AO15" s="31" t="str">
        <f t="shared" si="8"/>
        <v>Mario</v>
      </c>
      <c r="AP15" s="66" t="str">
        <f t="shared" si="9"/>
        <v>Lah</v>
      </c>
      <c r="AQ15" s="47" t="s">
        <v>0</v>
      </c>
      <c r="AR15" s="82" t="str">
        <f t="shared" si="72"/>
        <v/>
      </c>
      <c r="AS15" s="47" t="s">
        <v>0</v>
      </c>
      <c r="AT15" s="19" t="str">
        <f t="shared" si="73"/>
        <v/>
      </c>
      <c r="AU15" s="47" t="s">
        <v>0</v>
      </c>
      <c r="AV15" s="103"/>
      <c r="AW15" s="105"/>
      <c r="AX15" s="47" t="s">
        <v>0</v>
      </c>
      <c r="AY15" s="259" t="str">
        <f t="shared" si="10"/>
        <v/>
      </c>
      <c r="AZ15" s="47" t="s">
        <v>0</v>
      </c>
      <c r="BA15" s="52" t="str">
        <f t="shared" si="11"/>
        <v/>
      </c>
      <c r="BB15" s="73" t="str">
        <f>IF(AV15&amp;AW15="","",MAX(BB$12:BB14)+1)</f>
        <v/>
      </c>
      <c r="BC15" s="272" t="str">
        <f t="shared" si="12"/>
        <v/>
      </c>
      <c r="BD15" s="53" t="str">
        <f>IF(AND(AM15="NEMA",AN15="NEMA",OR(AV15&amp;AW15="",BC15="NEMA")),MAX(BD$12:BD14)+1,"")</f>
        <v/>
      </c>
      <c r="BE15" s="47" t="s">
        <v>0</v>
      </c>
      <c r="BF15" s="52" t="str">
        <f t="shared" si="74"/>
        <v>Mario</v>
      </c>
      <c r="BG15" s="66" t="str">
        <f t="shared" si="75"/>
        <v>Lah</v>
      </c>
      <c r="BH15" s="47" t="s">
        <v>0</v>
      </c>
      <c r="BI15" s="52" t="str">
        <f t="shared" si="15"/>
        <v>OK Varaždin</v>
      </c>
      <c r="BJ15" s="31" t="str">
        <f t="shared" si="16"/>
        <v>OK Varaždin</v>
      </c>
      <c r="BK15" s="73" t="str">
        <f t="shared" si="17"/>
        <v/>
      </c>
      <c r="BL15" s="31" t="str" cm="1">
        <f t="array" ref="BL15">IF(BK15="",""&amp;BJ15,IF(BK15="NEMA",BJ15,INDEX(regKlub_naziv,MATCH(INDEX(regKlub_alias_klubId,BK15),regKlub_id,0))))</f>
        <v>OK Varaždin</v>
      </c>
      <c r="BM15" s="31" t="str" cm="1">
        <f t="array" ref="BM15">IFERROR(""&amp;INDEX(regNatjecatelj_klub,DV15),"")</f>
        <v>OK Varaždin</v>
      </c>
      <c r="BN15" s="73" t="str">
        <f t="shared" si="76"/>
        <v/>
      </c>
      <c r="BO15" s="66" t="str">
        <f t="shared" si="77"/>
        <v>OK Varaždin</v>
      </c>
      <c r="BP15" s="47" t="s">
        <v>0</v>
      </c>
      <c r="BQ15" s="52" t="str">
        <f>IF(X15&lt;&gt;"NEMA","",IF(IFERROR(MATCH(W15,W$12:W14,0),0)&lt;&gt;0,"",W15))</f>
        <v/>
      </c>
      <c r="BR15" s="73" t="str">
        <f t="shared" si="78"/>
        <v/>
      </c>
      <c r="BS15" s="31" t="str">
        <f>IF(OR(BR15="",BR15&lt;&gt;"NEMA"),"",MAX(BS$12:BS14)+1)</f>
        <v/>
      </c>
      <c r="BT15" s="66" t="str">
        <f t="shared" si="79"/>
        <v/>
      </c>
      <c r="BU15" s="47" t="s">
        <v>0</v>
      </c>
      <c r="BV15" s="19" t="str">
        <f t="shared" si="80"/>
        <v/>
      </c>
      <c r="BW15" s="47" t="s">
        <v>0</v>
      </c>
      <c r="BX15" s="82" t="str">
        <f>IF(BK15&lt;&gt;"NEMA","",IF(IFERROR(MATCH(BJ15,BJ$12:BJ14,0),0)&lt;&gt;0,"",BJ15))</f>
        <v/>
      </c>
      <c r="BY15" s="47" t="s">
        <v>0</v>
      </c>
      <c r="BZ15" s="125"/>
      <c r="CA15" s="47" t="s">
        <v>0</v>
      </c>
      <c r="CB15" s="58" t="str">
        <f t="shared" si="81"/>
        <v/>
      </c>
      <c r="CC15" s="31" t="str">
        <f t="shared" si="82"/>
        <v/>
      </c>
      <c r="CD15" s="31" t="str">
        <f>IF(CC15="","",MAX(CD$12:CD14)+1)</f>
        <v/>
      </c>
      <c r="CE15" s="31" t="str">
        <f t="shared" si="22"/>
        <v/>
      </c>
      <c r="CF15" s="31" t="str">
        <f t="shared" si="83"/>
        <v/>
      </c>
      <c r="CG15" s="31" t="str">
        <f>IF(BZ15="","",MAX(CG$12:CG14)+1)</f>
        <v/>
      </c>
      <c r="CH15" s="31" t="str">
        <f t="shared" si="84"/>
        <v/>
      </c>
      <c r="CI15" s="66" t="str">
        <f t="shared" si="85"/>
        <v/>
      </c>
      <c r="CJ15" s="47" t="s">
        <v>0</v>
      </c>
      <c r="CK15" s="73" t="str">
        <f t="shared" si="25"/>
        <v/>
      </c>
      <c r="CL15" s="47"/>
      <c r="CM15" s="19" t="str">
        <f t="shared" si="86"/>
        <v/>
      </c>
      <c r="CN15" s="47" t="s">
        <v>0</v>
      </c>
      <c r="CO15" s="143" t="str">
        <f t="shared" si="87"/>
        <v>OK Varaždin</v>
      </c>
      <c r="CP15" s="47" t="s">
        <v>0</v>
      </c>
      <c r="CQ15" s="58" t="str">
        <f t="shared" si="28"/>
        <v>41:54</v>
      </c>
      <c r="CR15" s="73" t="str">
        <f t="shared" si="29"/>
        <v>0</v>
      </c>
      <c r="CS15" s="229" t="str">
        <f t="shared" si="30"/>
        <v/>
      </c>
      <c r="CT15" s="230">
        <f t="shared" si="88"/>
        <v>2514</v>
      </c>
      <c r="CU15" s="163">
        <f t="shared" si="32"/>
        <v>1</v>
      </c>
      <c r="CV15" s="47" t="s">
        <v>0</v>
      </c>
      <c r="CW15" s="222" t="str">
        <f t="shared" si="89"/>
        <v xml:space="preserve">
</v>
      </c>
      <c r="CX15" s="223">
        <f t="shared" si="90"/>
        <v>6</v>
      </c>
      <c r="CY15" s="47" t="s">
        <v>0</v>
      </c>
      <c r="CZ15" s="47"/>
      <c r="DA15" s="47"/>
      <c r="DB15" s="47"/>
      <c r="DC15" s="47" t="s">
        <v>0</v>
      </c>
      <c r="DD15" s="53" t="str">
        <f t="shared" si="33"/>
        <v/>
      </c>
      <c r="DE15" t="s">
        <v>0</v>
      </c>
      <c r="DF15" s="128" t="str">
        <f t="shared" si="34"/>
        <v>M</v>
      </c>
      <c r="DG15" t="s">
        <v>0</v>
      </c>
      <c r="DH15" s="52" t="str">
        <f t="shared" si="35"/>
        <v/>
      </c>
      <c r="DI15" s="66" t="str">
        <f t="shared" si="36"/>
        <v/>
      </c>
      <c r="DJ15" t="s">
        <v>0</v>
      </c>
      <c r="DK15" s="19" t="str">
        <f t="shared" si="37"/>
        <v/>
      </c>
      <c r="DL15" s="47" t="s">
        <v>0</v>
      </c>
      <c r="DM15" s="19" t="str">
        <f t="shared" si="38"/>
        <v/>
      </c>
      <c r="DN15" s="47" t="s">
        <v>0</v>
      </c>
      <c r="DO15" s="52" t="str">
        <f t="shared" si="39"/>
        <v>Mario – Lah – OK Varaždin – M12</v>
      </c>
      <c r="DP15" s="53">
        <f t="shared" si="40"/>
        <v>551</v>
      </c>
      <c r="DQ15" s="47" t="s">
        <v>0</v>
      </c>
      <c r="DR15" s="52" t="str">
        <f t="shared" si="41"/>
        <v>Mario – Lah – OK Varaždin</v>
      </c>
      <c r="DS15" s="53">
        <f t="shared" si="42"/>
        <v>551</v>
      </c>
      <c r="DT15" s="47" t="s">
        <v>0</v>
      </c>
      <c r="DU15" s="52" t="str">
        <f t="shared" si="43"/>
        <v>Mario – Lah</v>
      </c>
      <c r="DV15" s="53">
        <f t="shared" si="44"/>
        <v>551</v>
      </c>
      <c r="DW15" s="47" t="s">
        <v>0</v>
      </c>
      <c r="DX15" s="58">
        <f t="shared" si="91"/>
        <v>551</v>
      </c>
      <c r="DY15" s="53" cm="1">
        <f t="array" ref="DY15">IF(DX15&lt;&gt;"",INDEX(regNatjecatelj_id,DX15,0),IF(BD15&lt;&gt;"",BD15,""))</f>
        <v>1174</v>
      </c>
      <c r="DZ15" s="47" t="s">
        <v>0</v>
      </c>
      <c r="EA15" s="58" t="str">
        <f t="shared" si="45"/>
        <v>imepre</v>
      </c>
      <c r="EB15" s="73" t="str">
        <f t="shared" si="46"/>
        <v>klu</v>
      </c>
      <c r="EC15" s="73" t="str">
        <f t="shared" si="47"/>
        <v>kat</v>
      </c>
      <c r="ED15" s="73" t="str">
        <f t="shared" si="48"/>
        <v/>
      </c>
      <c r="EE15" s="66" t="str">
        <f t="shared" si="49"/>
        <v>imepre-klu-kat</v>
      </c>
      <c r="EF15" s="47" t="s">
        <v>0</v>
      </c>
      <c r="EG15" s="58">
        <f>IF(AL15="","",MAX(EG$12:EG14)+1)</f>
        <v>194</v>
      </c>
      <c r="EH15" s="73">
        <f t="shared" si="50"/>
        <v>23</v>
      </c>
      <c r="EI15" s="73">
        <f t="shared" si="92"/>
        <v>1174</v>
      </c>
      <c r="EJ15" s="73">
        <f t="shared" si="51"/>
        <v>2514</v>
      </c>
      <c r="EK15" s="73">
        <f t="shared" si="52"/>
        <v>1</v>
      </c>
      <c r="EL15" s="73">
        <f t="shared" si="93"/>
        <v>1</v>
      </c>
      <c r="EM15" s="73">
        <f t="shared" si="94"/>
        <v>1</v>
      </c>
      <c r="EN15" s="73" t="str">
        <f t="shared" si="55"/>
        <v>0</v>
      </c>
      <c r="EO15" s="73" t="str">
        <f t="shared" si="56"/>
        <v/>
      </c>
      <c r="EP15" s="73" t="str">
        <f t="shared" si="57"/>
        <v/>
      </c>
      <c r="EQ15" s="53" t="str">
        <f t="shared" si="58"/>
        <v/>
      </c>
      <c r="ER15" s="47" t="s">
        <v>0</v>
      </c>
      <c r="ES15" s="19" t="str">
        <f t="shared" si="95"/>
        <v>INSERT INTO rezultat(id,stazakategorija_id,imeprezime_id,vrijeme_sec,status_id,registracija,uparivanje_id,originalstatus_id,imeprezimealias_id,klubalias_id,kategorijaalias_id) VALUES (194,23,1174,2514,1,1,1,0,Null,Null,Null);</v>
      </c>
      <c r="ET15" s="47" t="s">
        <v>0</v>
      </c>
      <c r="EU15" s="19" t="str">
        <f t="shared" si="96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5" s="47" t="s">
        <v>0</v>
      </c>
      <c r="EW15" s="180" t="str">
        <f t="shared" si="60"/>
        <v xml:space="preserve">
INSERT INTO rezultat(id,stazakategorija_id,imeprezime_id,vrijeme_sec,status_id,registracija,uparivanje_id,originalstatus_id,imeprezimealias_id,klubalias_id,kategorijaalias_id) VALUES (194,23,1174,2514,1,1,1,0,Null,Null,Null);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5" s="47" t="s">
        <v>0</v>
      </c>
      <c r="EY15" s="300" t="s">
        <v>221</v>
      </c>
      <c r="EZ15" s="301"/>
      <c r="FA15" s="301"/>
      <c r="FB15" s="301"/>
      <c r="FC15" s="301"/>
      <c r="FD15" s="301"/>
      <c r="FE15" s="301"/>
      <c r="FF15" s="301"/>
      <c r="FG15" s="301"/>
      <c r="FH15" s="301"/>
      <c r="FI15" s="301"/>
      <c r="FJ15" s="302"/>
    </row>
    <row r="16" spans="1:166" ht="15.75" thickBot="1" x14ac:dyDescent="0.3">
      <c r="A16" t="s">
        <v>0</v>
      </c>
      <c r="B16" s="52" t="str">
        <f>IF(csv!F6="","",csv!T6)</f>
        <v>M12</v>
      </c>
      <c r="C16" s="31" t="s">
        <v>0</v>
      </c>
      <c r="D16" s="31" t="str">
        <f>IF(csv!F6="","",csv!F6)</f>
        <v>Teo</v>
      </c>
      <c r="E16" s="31" t="str">
        <f>IF(csv!E6="","",csv!E6)</f>
        <v>Mance</v>
      </c>
      <c r="F16" s="31" t="s">
        <v>0</v>
      </c>
      <c r="G16" s="73" t="str">
        <f>IF(csv!M6="","",csv!M6)</f>
        <v>45:37</v>
      </c>
      <c r="H16" s="73" t="str">
        <f>IF(csv!N6="","",csv!N6)</f>
        <v>0</v>
      </c>
      <c r="I16" s="31" t="s">
        <v>0</v>
      </c>
      <c r="J16" s="31" t="str">
        <f>IF(csv!P6="","",csv!P6)</f>
        <v>Vihor</v>
      </c>
      <c r="K16" s="31" t="str">
        <f>IF(csv!Q6="","",csv!Q6)</f>
        <v>OK Vihor</v>
      </c>
      <c r="L16" s="31" t="s">
        <v>0</v>
      </c>
      <c r="M16" s="66" t="str">
        <f>IF(csv!R6="","",csv!R6)</f>
        <v>CRO</v>
      </c>
      <c r="N16" s="47" t="s">
        <v>0</v>
      </c>
      <c r="O16" s="246" t="str">
        <f t="shared" si="61"/>
        <v>ok</v>
      </c>
      <c r="P16" s="47"/>
      <c r="Q16" s="52" t="str">
        <f t="shared" si="62"/>
        <v>M12</v>
      </c>
      <c r="R16" s="73">
        <f>IF(Q16="","",IF(COUNTIF(Q$12:Q15,Q16)=0,R15+1,R15))</f>
        <v>1</v>
      </c>
      <c r="S16" s="73">
        <f t="shared" si="63"/>
        <v>112</v>
      </c>
      <c r="T16" s="73">
        <f t="shared" si="1"/>
        <v>22</v>
      </c>
      <c r="U16" s="66" t="str">
        <f t="shared" si="2"/>
        <v>M12 – Ž12</v>
      </c>
      <c r="V16" s="47" t="s">
        <v>0</v>
      </c>
      <c r="W16" s="222" t="str">
        <f t="shared" si="3"/>
        <v>M12</v>
      </c>
      <c r="X16" s="223">
        <f t="shared" si="4"/>
        <v>23</v>
      </c>
      <c r="Y16" s="47" t="s">
        <v>0</v>
      </c>
      <c r="Z16" s="52" t="str">
        <f t="shared" si="64"/>
        <v>CRO</v>
      </c>
      <c r="AA16" s="73">
        <f t="shared" si="5"/>
        <v>1</v>
      </c>
      <c r="AB16" s="31" t="str">
        <f t="shared" si="65"/>
        <v/>
      </c>
      <c r="AC16" s="66" t="str">
        <f>IF(AB16="","",MAX(AC$12:AC15)+1)</f>
        <v/>
      </c>
      <c r="AD16" s="47" t="s">
        <v>0</v>
      </c>
      <c r="AE16" s="125"/>
      <c r="AF16" s="47" t="s">
        <v>0</v>
      </c>
      <c r="AG16" s="19" t="str">
        <f t="shared" si="66"/>
        <v/>
      </c>
      <c r="AH16" s="47" t="s">
        <v>0</v>
      </c>
      <c r="AI16" s="143" t="str">
        <f t="shared" si="67"/>
        <v>CRO</v>
      </c>
      <c r="AJ16" s="47"/>
      <c r="AK16" s="52" t="str">
        <f t="shared" si="68"/>
        <v>Teo</v>
      </c>
      <c r="AL16" s="31" t="str">
        <f t="shared" si="69"/>
        <v>Mance</v>
      </c>
      <c r="AM16" s="73">
        <f t="shared" si="70"/>
        <v>1207</v>
      </c>
      <c r="AN16" s="73" t="str">
        <f t="shared" si="71"/>
        <v/>
      </c>
      <c r="AO16" s="31" t="str">
        <f t="shared" si="8"/>
        <v>Teo</v>
      </c>
      <c r="AP16" s="66" t="str">
        <f t="shared" si="9"/>
        <v>Mance</v>
      </c>
      <c r="AQ16" s="47" t="s">
        <v>0</v>
      </c>
      <c r="AR16" s="82" t="str">
        <f t="shared" si="72"/>
        <v/>
      </c>
      <c r="AS16" s="47" t="s">
        <v>0</v>
      </c>
      <c r="AT16" s="19" t="str">
        <f t="shared" si="73"/>
        <v/>
      </c>
      <c r="AU16" s="47" t="s">
        <v>0</v>
      </c>
      <c r="AV16" s="103"/>
      <c r="AW16" s="105"/>
      <c r="AX16" s="47" t="s">
        <v>0</v>
      </c>
      <c r="AY16" s="259" t="str">
        <f t="shared" si="10"/>
        <v/>
      </c>
      <c r="AZ16" s="47" t="s">
        <v>0</v>
      </c>
      <c r="BA16" s="52" t="str">
        <f t="shared" si="11"/>
        <v/>
      </c>
      <c r="BB16" s="73" t="str">
        <f>IF(AV16&amp;AW16="","",MAX(BB$12:BB15)+1)</f>
        <v/>
      </c>
      <c r="BC16" s="272" t="str">
        <f t="shared" si="12"/>
        <v/>
      </c>
      <c r="BD16" s="53" t="str">
        <f>IF(AND(AM16="NEMA",AN16="NEMA",OR(AV16&amp;AW16="",BC16="NEMA")),MAX(BD$12:BD15)+1,"")</f>
        <v/>
      </c>
      <c r="BE16" s="47" t="s">
        <v>0</v>
      </c>
      <c r="BF16" s="52" t="str">
        <f t="shared" si="74"/>
        <v>Teo</v>
      </c>
      <c r="BG16" s="66" t="str">
        <f t="shared" si="75"/>
        <v>Mance</v>
      </c>
      <c r="BH16" s="47" t="s">
        <v>0</v>
      </c>
      <c r="BI16" s="52" t="str">
        <f t="shared" si="15"/>
        <v>Vihor</v>
      </c>
      <c r="BJ16" s="31" t="str">
        <f t="shared" si="16"/>
        <v>OK Vihor</v>
      </c>
      <c r="BK16" s="73" t="str">
        <f t="shared" si="17"/>
        <v/>
      </c>
      <c r="BL16" s="31" t="str" cm="1">
        <f t="array" ref="BL16">IF(BK16="",""&amp;BJ16,IF(BK16="NEMA",BJ16,INDEX(regKlub_naziv,MATCH(INDEX(regKlub_alias_klubId,BK16),regKlub_id,0))))</f>
        <v>OK Vihor</v>
      </c>
      <c r="BM16" s="31" t="str" cm="1">
        <f t="array" ref="BM16">IFERROR(""&amp;INDEX(regNatjecatelj_klub,DV16),"")</f>
        <v>OK Vihor</v>
      </c>
      <c r="BN16" s="73" t="str">
        <f t="shared" si="76"/>
        <v/>
      </c>
      <c r="BO16" s="66" t="str">
        <f t="shared" si="77"/>
        <v>OK Vihor</v>
      </c>
      <c r="BP16" s="47" t="s">
        <v>0</v>
      </c>
      <c r="BQ16" s="52" t="str">
        <f>IF(X16&lt;&gt;"NEMA","",IF(IFERROR(MATCH(W16,W$12:W15,0),0)&lt;&gt;0,"",W16))</f>
        <v/>
      </c>
      <c r="BR16" s="73" t="str">
        <f t="shared" si="78"/>
        <v/>
      </c>
      <c r="BS16" s="31" t="str">
        <f>IF(OR(BR16="",BR16&lt;&gt;"NEMA"),"",MAX(BS$12:BS15)+1)</f>
        <v/>
      </c>
      <c r="BT16" s="66" t="str">
        <f t="shared" si="79"/>
        <v/>
      </c>
      <c r="BU16" s="47" t="s">
        <v>0</v>
      </c>
      <c r="BV16" s="19" t="str">
        <f t="shared" si="80"/>
        <v/>
      </c>
      <c r="BW16" s="47" t="s">
        <v>0</v>
      </c>
      <c r="BX16" s="82" t="str">
        <f>IF(BK16&lt;&gt;"NEMA","",IF(IFERROR(MATCH(BJ16,BJ$12:BJ15,0),0)&lt;&gt;0,"",BJ16))</f>
        <v/>
      </c>
      <c r="BY16" s="47" t="s">
        <v>0</v>
      </c>
      <c r="BZ16" s="125"/>
      <c r="CA16" s="47" t="s">
        <v>0</v>
      </c>
      <c r="CB16" s="58" t="str">
        <f t="shared" si="81"/>
        <v/>
      </c>
      <c r="CC16" s="31" t="str">
        <f t="shared" si="82"/>
        <v/>
      </c>
      <c r="CD16" s="31" t="str">
        <f>IF(CC16="","",MAX(CD$12:CD15)+1)</f>
        <v/>
      </c>
      <c r="CE16" s="31" t="str">
        <f t="shared" si="22"/>
        <v/>
      </c>
      <c r="CF16" s="31" t="str">
        <f t="shared" si="83"/>
        <v/>
      </c>
      <c r="CG16" s="31" t="str">
        <f>IF(BZ16="","",MAX(CG$12:CG15)+1)</f>
        <v/>
      </c>
      <c r="CH16" s="31" t="str">
        <f t="shared" si="84"/>
        <v/>
      </c>
      <c r="CI16" s="66" t="str">
        <f t="shared" si="85"/>
        <v/>
      </c>
      <c r="CJ16" s="47" t="s">
        <v>0</v>
      </c>
      <c r="CK16" s="73" t="str">
        <f t="shared" si="25"/>
        <v/>
      </c>
      <c r="CL16" s="47"/>
      <c r="CM16" s="19" t="str">
        <f t="shared" si="86"/>
        <v/>
      </c>
      <c r="CN16" s="47" t="s">
        <v>0</v>
      </c>
      <c r="CO16" s="143" t="str">
        <f t="shared" si="87"/>
        <v>OK Vihor</v>
      </c>
      <c r="CP16" s="47" t="s">
        <v>0</v>
      </c>
      <c r="CQ16" s="58" t="str">
        <f t="shared" si="28"/>
        <v>45:37</v>
      </c>
      <c r="CR16" s="73" t="str">
        <f t="shared" si="29"/>
        <v>0</v>
      </c>
      <c r="CS16" s="229" t="str">
        <f t="shared" si="30"/>
        <v/>
      </c>
      <c r="CT16" s="230">
        <f t="shared" si="88"/>
        <v>2737</v>
      </c>
      <c r="CU16" s="163">
        <f t="shared" si="32"/>
        <v>1</v>
      </c>
      <c r="CV16" s="47" t="s">
        <v>0</v>
      </c>
      <c r="CW16" s="222" t="str">
        <f t="shared" si="89"/>
        <v xml:space="preserve">
</v>
      </c>
      <c r="CX16" s="223">
        <f t="shared" si="90"/>
        <v>6</v>
      </c>
      <c r="CY16" s="47" t="s">
        <v>0</v>
      </c>
      <c r="CZ16" s="47"/>
      <c r="DA16" s="47"/>
      <c r="DB16" s="47"/>
      <c r="DC16" s="47" t="s">
        <v>0</v>
      </c>
      <c r="DD16" s="53" t="str">
        <f t="shared" si="33"/>
        <v/>
      </c>
      <c r="DE16" t="s">
        <v>0</v>
      </c>
      <c r="DF16" s="128" t="str">
        <f t="shared" si="34"/>
        <v>M</v>
      </c>
      <c r="DG16" t="s">
        <v>0</v>
      </c>
      <c r="DH16" s="52" t="str">
        <f t="shared" si="35"/>
        <v/>
      </c>
      <c r="DI16" s="66" t="str">
        <f t="shared" si="36"/>
        <v/>
      </c>
      <c r="DJ16" t="s">
        <v>0</v>
      </c>
      <c r="DK16" s="19" t="str">
        <f t="shared" si="37"/>
        <v/>
      </c>
      <c r="DL16" s="47" t="s">
        <v>0</v>
      </c>
      <c r="DM16" s="19" t="str">
        <f t="shared" si="38"/>
        <v/>
      </c>
      <c r="DN16" s="47" t="s">
        <v>0</v>
      </c>
      <c r="DO16" s="52" t="str">
        <f t="shared" si="39"/>
        <v>Teo – Mance – OK Vihor – M12</v>
      </c>
      <c r="DP16" s="53">
        <f t="shared" si="40"/>
        <v>784</v>
      </c>
      <c r="DQ16" s="47" t="s">
        <v>0</v>
      </c>
      <c r="DR16" s="52" t="str">
        <f t="shared" si="41"/>
        <v>Teo – Mance – OK Vihor</v>
      </c>
      <c r="DS16" s="53">
        <f t="shared" si="42"/>
        <v>784</v>
      </c>
      <c r="DT16" s="47" t="s">
        <v>0</v>
      </c>
      <c r="DU16" s="52" t="str">
        <f t="shared" si="43"/>
        <v>Teo – Mance</v>
      </c>
      <c r="DV16" s="53">
        <f t="shared" si="44"/>
        <v>784</v>
      </c>
      <c r="DW16" s="47" t="s">
        <v>0</v>
      </c>
      <c r="DX16" s="58">
        <f t="shared" si="91"/>
        <v>784</v>
      </c>
      <c r="DY16" s="53" cm="1">
        <f t="array" ref="DY16">IF(DX16&lt;&gt;"",INDEX(regNatjecatelj_id,DX16,0),IF(BD16&lt;&gt;"",BD16,""))</f>
        <v>1207</v>
      </c>
      <c r="DZ16" s="47" t="s">
        <v>0</v>
      </c>
      <c r="EA16" s="58" t="str">
        <f t="shared" si="45"/>
        <v>imepre</v>
      </c>
      <c r="EB16" s="73" t="str">
        <f t="shared" si="46"/>
        <v>klu</v>
      </c>
      <c r="EC16" s="73" t="str">
        <f t="shared" si="47"/>
        <v>kat</v>
      </c>
      <c r="ED16" s="73" t="str">
        <f t="shared" si="48"/>
        <v/>
      </c>
      <c r="EE16" s="66" t="str">
        <f t="shared" si="49"/>
        <v>imepre-klu-kat</v>
      </c>
      <c r="EF16" s="47" t="s">
        <v>0</v>
      </c>
      <c r="EG16" s="58">
        <f>IF(AL16="","",MAX(EG$12:EG15)+1)</f>
        <v>195</v>
      </c>
      <c r="EH16" s="73">
        <f t="shared" si="50"/>
        <v>23</v>
      </c>
      <c r="EI16" s="73">
        <f t="shared" si="92"/>
        <v>1207</v>
      </c>
      <c r="EJ16" s="73">
        <f t="shared" si="51"/>
        <v>2737</v>
      </c>
      <c r="EK16" s="73">
        <f t="shared" si="52"/>
        <v>1</v>
      </c>
      <c r="EL16" s="73">
        <f t="shared" si="93"/>
        <v>1</v>
      </c>
      <c r="EM16" s="73">
        <f t="shared" si="94"/>
        <v>1</v>
      </c>
      <c r="EN16" s="73" t="str">
        <f t="shared" si="55"/>
        <v>0</v>
      </c>
      <c r="EO16" s="73" t="str">
        <f t="shared" si="56"/>
        <v/>
      </c>
      <c r="EP16" s="73" t="str">
        <f t="shared" si="57"/>
        <v/>
      </c>
      <c r="EQ16" s="53" t="str">
        <f t="shared" si="58"/>
        <v/>
      </c>
      <c r="ER16" s="47" t="s">
        <v>0</v>
      </c>
      <c r="ES16" s="19" t="str">
        <f t="shared" si="95"/>
        <v>INSERT INTO rezultat(id,stazakategorija_id,imeprezime_id,vrijeme_sec,status_id,registracija,uparivanje_id,originalstatus_id,imeprezimealias_id,klubalias_id,kategorijaalias_id) VALUES (195,23,1207,2737,1,1,1,0,Null,Null,Null);</v>
      </c>
      <c r="ET16" s="47" t="s">
        <v>0</v>
      </c>
      <c r="EU16" s="19" t="str">
        <f t="shared" si="96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6" s="47" t="s">
        <v>0</v>
      </c>
      <c r="EW16" s="180" t="str">
        <f t="shared" si="60"/>
        <v xml:space="preserve">
INSERT INTO rezultat(id,stazakategorija_id,imeprezime_id,vrijeme_sec,status_id,registracija,uparivanje_id,originalstatus_id,imeprezimealias_id,klubalias_id,kategorijaalias_id) VALUES (195,23,1207,2737,1,1,1,0,Null,Null,Null);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6" s="47" t="s">
        <v>0</v>
      </c>
      <c r="EY16" s="297" t="s">
        <v>72</v>
      </c>
      <c r="EZ16" s="298"/>
      <c r="FA16" s="298"/>
      <c r="FB16" s="298"/>
      <c r="FC16" s="298"/>
      <c r="FD16" s="298"/>
      <c r="FE16" s="298"/>
      <c r="FF16" s="298"/>
      <c r="FG16" s="298"/>
      <c r="FH16" s="298"/>
      <c r="FI16" s="298"/>
      <c r="FJ16" s="299"/>
    </row>
    <row r="17" spans="1:166" ht="15.75" thickBot="1" x14ac:dyDescent="0.3">
      <c r="A17" t="s">
        <v>0</v>
      </c>
      <c r="B17" s="52" t="str">
        <f>IF(csv!F7="","",csv!T7)</f>
        <v>M12</v>
      </c>
      <c r="C17" s="31" t="s">
        <v>0</v>
      </c>
      <c r="D17" s="31" t="str">
        <f>IF(csv!F7="","",csv!F7)</f>
        <v>Ivan</v>
      </c>
      <c r="E17" s="31" t="str">
        <f>IF(csv!E7="","",csv!E7)</f>
        <v>Petravić</v>
      </c>
      <c r="F17" s="31" t="s">
        <v>0</v>
      </c>
      <c r="G17" s="73" t="str">
        <f>IF(csv!M7="","",csv!M7)</f>
        <v>73:16</v>
      </c>
      <c r="H17" s="73" t="str">
        <f>IF(csv!N7="","",csv!N7)</f>
        <v>0</v>
      </c>
      <c r="I17" s="31" t="s">
        <v>0</v>
      </c>
      <c r="J17" s="31" t="str">
        <f>IF(csv!P7="","",csv!P7)</f>
        <v>JAP</v>
      </c>
      <c r="K17" s="31" t="str">
        <f>IF(csv!Q7="","",csv!Q7)</f>
        <v>OK Japetic</v>
      </c>
      <c r="L17" s="31" t="s">
        <v>0</v>
      </c>
      <c r="M17" s="66" t="str">
        <f>IF(csv!R7="","",csv!R7)</f>
        <v>CRO</v>
      </c>
      <c r="N17" s="47" t="s">
        <v>0</v>
      </c>
      <c r="O17" s="246" t="str">
        <f t="shared" si="61"/>
        <v>ok</v>
      </c>
      <c r="P17" s="47"/>
      <c r="Q17" s="52" t="str">
        <f t="shared" si="62"/>
        <v>M12</v>
      </c>
      <c r="R17" s="73">
        <f>IF(Q17="","",IF(COUNTIF(Q$12:Q16,Q17)=0,R16+1,R16))</f>
        <v>1</v>
      </c>
      <c r="S17" s="73">
        <f t="shared" si="63"/>
        <v>112</v>
      </c>
      <c r="T17" s="73">
        <f t="shared" si="1"/>
        <v>22</v>
      </c>
      <c r="U17" s="66" t="str">
        <f t="shared" si="2"/>
        <v>M12 – Ž12</v>
      </c>
      <c r="V17" s="47" t="s">
        <v>0</v>
      </c>
      <c r="W17" s="222" t="str">
        <f t="shared" si="3"/>
        <v>M12</v>
      </c>
      <c r="X17" s="223">
        <f t="shared" si="4"/>
        <v>23</v>
      </c>
      <c r="Y17" s="47" t="s">
        <v>0</v>
      </c>
      <c r="Z17" s="52" t="str">
        <f t="shared" si="64"/>
        <v>CRO</v>
      </c>
      <c r="AA17" s="73">
        <f t="shared" si="5"/>
        <v>1</v>
      </c>
      <c r="AB17" s="31" t="str">
        <f t="shared" si="65"/>
        <v/>
      </c>
      <c r="AC17" s="66" t="str">
        <f>IF(AB17="","",MAX(AC$12:AC16)+1)</f>
        <v/>
      </c>
      <c r="AD17" s="47" t="s">
        <v>0</v>
      </c>
      <c r="AE17" s="125"/>
      <c r="AF17" s="47" t="s">
        <v>0</v>
      </c>
      <c r="AG17" s="19" t="str">
        <f t="shared" si="66"/>
        <v/>
      </c>
      <c r="AH17" s="47" t="s">
        <v>0</v>
      </c>
      <c r="AI17" s="143" t="str">
        <f t="shared" si="67"/>
        <v>CRO</v>
      </c>
      <c r="AJ17" s="47"/>
      <c r="AK17" s="52" t="str">
        <f t="shared" si="68"/>
        <v>Ivan</v>
      </c>
      <c r="AL17" s="31" t="str">
        <f t="shared" si="69"/>
        <v>Petravić</v>
      </c>
      <c r="AM17" s="73">
        <f t="shared" si="70"/>
        <v>1855</v>
      </c>
      <c r="AN17" s="73" t="str">
        <f t="shared" si="71"/>
        <v/>
      </c>
      <c r="AO17" s="31" t="str">
        <f t="shared" si="8"/>
        <v>Ivan</v>
      </c>
      <c r="AP17" s="66" t="str">
        <f t="shared" si="9"/>
        <v>Petravić</v>
      </c>
      <c r="AQ17" s="47" t="s">
        <v>0</v>
      </c>
      <c r="AR17" s="82" t="str">
        <f t="shared" si="72"/>
        <v/>
      </c>
      <c r="AS17" s="47" t="s">
        <v>0</v>
      </c>
      <c r="AT17" s="19" t="str">
        <f t="shared" si="73"/>
        <v/>
      </c>
      <c r="AU17" s="47" t="s">
        <v>0</v>
      </c>
      <c r="AV17" s="103"/>
      <c r="AW17" s="105"/>
      <c r="AX17" s="47" t="s">
        <v>0</v>
      </c>
      <c r="AY17" s="259" t="str">
        <f t="shared" si="10"/>
        <v/>
      </c>
      <c r="AZ17" s="47" t="s">
        <v>0</v>
      </c>
      <c r="BA17" s="52" t="str">
        <f t="shared" si="11"/>
        <v/>
      </c>
      <c r="BB17" s="73" t="str">
        <f>IF(AV17&amp;AW17="","",MAX(BB$12:BB16)+1)</f>
        <v/>
      </c>
      <c r="BC17" s="272" t="str">
        <f t="shared" si="12"/>
        <v/>
      </c>
      <c r="BD17" s="53" t="str">
        <f>IF(AND(AM17="NEMA",AN17="NEMA",OR(AV17&amp;AW17="",BC17="NEMA")),MAX(BD$12:BD16)+1,"")</f>
        <v/>
      </c>
      <c r="BE17" s="47" t="s">
        <v>0</v>
      </c>
      <c r="BF17" s="52" t="str">
        <f t="shared" si="74"/>
        <v>Ivan</v>
      </c>
      <c r="BG17" s="66" t="str">
        <f t="shared" si="75"/>
        <v>Petravić</v>
      </c>
      <c r="BH17" s="47" t="s">
        <v>0</v>
      </c>
      <c r="BI17" s="52" t="str">
        <f t="shared" si="15"/>
        <v>JAP</v>
      </c>
      <c r="BJ17" s="31" t="str">
        <f t="shared" si="16"/>
        <v>OK Japetic</v>
      </c>
      <c r="BK17" s="73">
        <f t="shared" si="17"/>
        <v>1</v>
      </c>
      <c r="BL17" s="31" t="str" cm="1">
        <f t="array" ref="BL17">IF(BK17="",""&amp;BJ17,IF(BK17="NEMA",BJ17,INDEX(regKlub_naziv,MATCH(INDEX(regKlub_alias_klubId,BK17),regKlub_id,0))))</f>
        <v>OK Japetić</v>
      </c>
      <c r="BM17" s="31" t="str" cm="1">
        <f t="array" ref="BM17">IFERROR(""&amp;INDEX(regNatjecatelj_klub,DV17),"")</f>
        <v>OK Japetić</v>
      </c>
      <c r="BN17" s="73" t="str">
        <f t="shared" si="76"/>
        <v/>
      </c>
      <c r="BO17" s="66" t="str">
        <f t="shared" si="77"/>
        <v>OK Japetić</v>
      </c>
      <c r="BP17" s="47" t="s">
        <v>0</v>
      </c>
      <c r="BQ17" s="52" t="str">
        <f>IF(X17&lt;&gt;"NEMA","",IF(IFERROR(MATCH(W17,W$12:W16,0),0)&lt;&gt;0,"",W17))</f>
        <v/>
      </c>
      <c r="BR17" s="73" t="str">
        <f t="shared" si="78"/>
        <v/>
      </c>
      <c r="BS17" s="31" t="str">
        <f>IF(OR(BR17="",BR17&lt;&gt;"NEMA"),"",MAX(BS$12:BS16)+1)</f>
        <v/>
      </c>
      <c r="BT17" s="66" t="str">
        <f t="shared" si="79"/>
        <v/>
      </c>
      <c r="BU17" s="47" t="s">
        <v>0</v>
      </c>
      <c r="BV17" s="19" t="str">
        <f t="shared" si="80"/>
        <v/>
      </c>
      <c r="BW17" s="47" t="s">
        <v>0</v>
      </c>
      <c r="BX17" s="82" t="str">
        <f>IF(BK17&lt;&gt;"NEMA","",IF(IFERROR(MATCH(BJ17,BJ$12:BJ16,0),0)&lt;&gt;0,"",BJ17))</f>
        <v/>
      </c>
      <c r="BY17" s="47" t="s">
        <v>0</v>
      </c>
      <c r="BZ17" s="125"/>
      <c r="CA17" s="47" t="s">
        <v>0</v>
      </c>
      <c r="CB17" s="58" t="str">
        <f t="shared" si="81"/>
        <v/>
      </c>
      <c r="CC17" s="31" t="str">
        <f t="shared" si="82"/>
        <v/>
      </c>
      <c r="CD17" s="31" t="str">
        <f>IF(CC17="","",MAX(CD$12:CD16)+1)</f>
        <v/>
      </c>
      <c r="CE17" s="31" t="str">
        <f t="shared" si="22"/>
        <v/>
      </c>
      <c r="CF17" s="31" t="str">
        <f t="shared" si="83"/>
        <v/>
      </c>
      <c r="CG17" s="31" t="str">
        <f>IF(BZ17="","",MAX(CG$12:CG16)+1)</f>
        <v/>
      </c>
      <c r="CH17" s="31" t="str">
        <f t="shared" si="84"/>
        <v/>
      </c>
      <c r="CI17" s="66" t="str">
        <f t="shared" si="85"/>
        <v/>
      </c>
      <c r="CJ17" s="47" t="s">
        <v>0</v>
      </c>
      <c r="CK17" s="73" t="str">
        <f t="shared" si="25"/>
        <v/>
      </c>
      <c r="CL17" s="47"/>
      <c r="CM17" s="19" t="str">
        <f t="shared" si="86"/>
        <v/>
      </c>
      <c r="CN17" s="47" t="s">
        <v>0</v>
      </c>
      <c r="CO17" s="143" t="str">
        <f t="shared" si="87"/>
        <v>OK Japetić</v>
      </c>
      <c r="CP17" s="47" t="s">
        <v>0</v>
      </c>
      <c r="CQ17" s="58" t="str">
        <f t="shared" si="28"/>
        <v>73:16</v>
      </c>
      <c r="CR17" s="73" t="str">
        <f t="shared" si="29"/>
        <v>0</v>
      </c>
      <c r="CS17" s="229" t="str">
        <f t="shared" si="30"/>
        <v/>
      </c>
      <c r="CT17" s="230">
        <f t="shared" si="88"/>
        <v>4396</v>
      </c>
      <c r="CU17" s="163">
        <f t="shared" si="32"/>
        <v>1</v>
      </c>
      <c r="CV17" s="47" t="s">
        <v>0</v>
      </c>
      <c r="CW17" s="222" t="str">
        <f t="shared" si="89"/>
        <v xml:space="preserve">
</v>
      </c>
      <c r="CX17" s="223">
        <f t="shared" si="90"/>
        <v>6</v>
      </c>
      <c r="CY17" s="47" t="s">
        <v>0</v>
      </c>
      <c r="CZ17" s="47"/>
      <c r="DA17" s="47"/>
      <c r="DB17" s="47"/>
      <c r="DC17" s="47" t="s">
        <v>0</v>
      </c>
      <c r="DD17" s="53" t="str">
        <f t="shared" si="33"/>
        <v/>
      </c>
      <c r="DE17" t="s">
        <v>0</v>
      </c>
      <c r="DF17" s="128" t="str">
        <f t="shared" si="34"/>
        <v>M</v>
      </c>
      <c r="DG17" t="s">
        <v>0</v>
      </c>
      <c r="DH17" s="52" t="str">
        <f t="shared" si="35"/>
        <v/>
      </c>
      <c r="DI17" s="66" t="str">
        <f t="shared" si="36"/>
        <v/>
      </c>
      <c r="DJ17" t="s">
        <v>0</v>
      </c>
      <c r="DK17" s="19" t="str">
        <f t="shared" si="37"/>
        <v/>
      </c>
      <c r="DL17" s="47" t="s">
        <v>0</v>
      </c>
      <c r="DM17" s="19" t="str">
        <f t="shared" si="38"/>
        <v/>
      </c>
      <c r="DN17" s="47" t="s">
        <v>0</v>
      </c>
      <c r="DO17" s="52" t="str">
        <f t="shared" si="39"/>
        <v>Ivan – Petravić – OK Japetić – M12</v>
      </c>
      <c r="DP17" s="53">
        <f t="shared" si="40"/>
        <v>128</v>
      </c>
      <c r="DQ17" s="47" t="s">
        <v>0</v>
      </c>
      <c r="DR17" s="52" t="str">
        <f t="shared" si="41"/>
        <v>Ivan – Petravić – OK Japetić</v>
      </c>
      <c r="DS17" s="53">
        <f t="shared" si="42"/>
        <v>128</v>
      </c>
      <c r="DT17" s="47" t="s">
        <v>0</v>
      </c>
      <c r="DU17" s="52" t="str">
        <f t="shared" si="43"/>
        <v>Ivan – Petravić</v>
      </c>
      <c r="DV17" s="53">
        <f t="shared" si="44"/>
        <v>128</v>
      </c>
      <c r="DW17" s="47" t="s">
        <v>0</v>
      </c>
      <c r="DX17" s="58">
        <f t="shared" si="91"/>
        <v>128</v>
      </c>
      <c r="DY17" s="53" cm="1">
        <f t="array" ref="DY17">IF(DX17&lt;&gt;"",INDEX(regNatjecatelj_id,DX17,0),IF(BD17&lt;&gt;"",BD17,""))</f>
        <v>1855</v>
      </c>
      <c r="DZ17" s="47" t="s">
        <v>0</v>
      </c>
      <c r="EA17" s="58" t="str">
        <f t="shared" si="45"/>
        <v>imepre</v>
      </c>
      <c r="EB17" s="73" t="str">
        <f t="shared" si="46"/>
        <v>klu(ali)</v>
      </c>
      <c r="EC17" s="73" t="str">
        <f t="shared" si="47"/>
        <v>kat</v>
      </c>
      <c r="ED17" s="73" t="str">
        <f t="shared" si="48"/>
        <v/>
      </c>
      <c r="EE17" s="66" t="str">
        <f t="shared" si="49"/>
        <v>imepre-klu(ali)-kat</v>
      </c>
      <c r="EF17" s="47" t="s">
        <v>0</v>
      </c>
      <c r="EG17" s="58">
        <f>IF(AL17="","",MAX(EG$12:EG16)+1)</f>
        <v>196</v>
      </c>
      <c r="EH17" s="73">
        <f t="shared" si="50"/>
        <v>23</v>
      </c>
      <c r="EI17" s="73">
        <f t="shared" si="92"/>
        <v>1855</v>
      </c>
      <c r="EJ17" s="73">
        <f t="shared" si="51"/>
        <v>4396</v>
      </c>
      <c r="EK17" s="73">
        <f t="shared" si="52"/>
        <v>1</v>
      </c>
      <c r="EL17" s="73">
        <f t="shared" si="93"/>
        <v>1</v>
      </c>
      <c r="EM17" s="73">
        <f t="shared" si="94"/>
        <v>3</v>
      </c>
      <c r="EN17" s="73" t="str">
        <f t="shared" si="55"/>
        <v>0</v>
      </c>
      <c r="EO17" s="73" t="str">
        <f t="shared" si="56"/>
        <v/>
      </c>
      <c r="EP17" s="73">
        <f t="shared" si="57"/>
        <v>1</v>
      </c>
      <c r="EQ17" s="53" t="str">
        <f t="shared" si="58"/>
        <v/>
      </c>
      <c r="ER17" s="47" t="s">
        <v>0</v>
      </c>
      <c r="ES17" s="19" t="str">
        <f t="shared" si="95"/>
        <v>INSERT INTO rezultat(id,stazakategorija_id,imeprezime_id,vrijeme_sec,status_id,registracija,uparivanje_id,originalstatus_id,imeprezimealias_id,klubalias_id,kategorijaalias_id) VALUES (196,23,1855,4396,1,1,3,0,Null,1,Null);</v>
      </c>
      <c r="ET17" s="47" t="s">
        <v>0</v>
      </c>
      <c r="EU17" s="19" t="str">
        <f t="shared" si="96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7" s="47" t="s">
        <v>0</v>
      </c>
      <c r="EW17" s="180" t="str">
        <f t="shared" si="60"/>
        <v xml:space="preserve">
INSERT INTO rezultat(id,stazakategorija_id,imeprezime_id,vrijeme_sec,status_id,registracija,uparivanje_id,originalstatus_id,imeprezimealias_id,klubalias_id,kategorijaalias_id) VALUES (196,23,1855,4396,1,1,3,0,Null,1,Null);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7" s="47" t="s">
        <v>0</v>
      </c>
      <c r="EY17" s="288" t="s">
        <v>218</v>
      </c>
      <c r="EZ17" s="289"/>
      <c r="FA17" s="289"/>
      <c r="FB17" s="289"/>
      <c r="FC17" s="289"/>
      <c r="FD17" s="289"/>
      <c r="FE17" s="289"/>
      <c r="FF17" s="289"/>
      <c r="FG17" s="289"/>
      <c r="FH17" s="289"/>
      <c r="FI17" s="289"/>
      <c r="FJ17" s="290"/>
    </row>
    <row r="18" spans="1:166" x14ac:dyDescent="0.25">
      <c r="A18" t="s">
        <v>0</v>
      </c>
      <c r="B18" s="52" t="str">
        <f>IF(csv!F8="","",csv!T8)</f>
        <v>M12</v>
      </c>
      <c r="C18" s="31" t="s">
        <v>0</v>
      </c>
      <c r="D18" s="31" t="str">
        <f>IF(csv!F8="","",csv!F8)</f>
        <v>Petar</v>
      </c>
      <c r="E18" s="31" t="str">
        <f>IF(csv!E8="","",csv!E8)</f>
        <v>Kaniški</v>
      </c>
      <c r="F18" s="31" t="s">
        <v>0</v>
      </c>
      <c r="G18" s="73" t="str">
        <f>IF(csv!M8="","",csv!M8)</f>
        <v/>
      </c>
      <c r="H18" s="73" t="str">
        <f>IF(csv!N8="","",csv!N8)</f>
        <v>2</v>
      </c>
      <c r="I18" s="31" t="s">
        <v>0</v>
      </c>
      <c r="J18" s="31" t="str">
        <f>IF(csv!P8="","",csv!P8)</f>
        <v>Maksimir</v>
      </c>
      <c r="K18" s="31" t="str">
        <f>IF(csv!Q8="","",csv!Q8)</f>
        <v>OK Maksimir</v>
      </c>
      <c r="L18" s="31" t="s">
        <v>0</v>
      </c>
      <c r="M18" s="66" t="str">
        <f>IF(csv!R8="","",csv!R8)</f>
        <v>CRO</v>
      </c>
      <c r="N18" s="47" t="s">
        <v>0</v>
      </c>
      <c r="O18" s="246" t="str">
        <f t="shared" si="61"/>
        <v>ok</v>
      </c>
      <c r="P18" s="47"/>
      <c r="Q18" s="52" t="str">
        <f t="shared" si="62"/>
        <v>M12</v>
      </c>
      <c r="R18" s="73">
        <f>IF(Q18="","",IF(COUNTIF(Q$12:Q17,Q18)=0,R17+1,R17))</f>
        <v>1</v>
      </c>
      <c r="S18" s="73">
        <f t="shared" si="63"/>
        <v>112</v>
      </c>
      <c r="T18" s="73">
        <f t="shared" si="1"/>
        <v>22</v>
      </c>
      <c r="U18" s="66" t="str">
        <f t="shared" si="2"/>
        <v>M12 – Ž12</v>
      </c>
      <c r="V18" s="47" t="s">
        <v>0</v>
      </c>
      <c r="W18" s="222" t="str">
        <f t="shared" si="3"/>
        <v>M12</v>
      </c>
      <c r="X18" s="223">
        <f t="shared" si="4"/>
        <v>23</v>
      </c>
      <c r="Y18" s="47" t="s">
        <v>0</v>
      </c>
      <c r="Z18" s="52" t="str">
        <f t="shared" si="64"/>
        <v>CRO</v>
      </c>
      <c r="AA18" s="73">
        <f t="shared" si="5"/>
        <v>1</v>
      </c>
      <c r="AB18" s="31" t="str">
        <f t="shared" si="65"/>
        <v/>
      </c>
      <c r="AC18" s="66" t="str">
        <f>IF(AB18="","",MAX(AC$12:AC17)+1)</f>
        <v/>
      </c>
      <c r="AD18" s="47" t="s">
        <v>0</v>
      </c>
      <c r="AE18" s="125"/>
      <c r="AF18" s="47" t="s">
        <v>0</v>
      </c>
      <c r="AG18" s="19" t="str">
        <f t="shared" si="66"/>
        <v/>
      </c>
      <c r="AH18" s="47" t="s">
        <v>0</v>
      </c>
      <c r="AI18" s="143" t="str">
        <f t="shared" si="67"/>
        <v>CRO</v>
      </c>
      <c r="AJ18" s="47"/>
      <c r="AK18" s="52" t="str">
        <f t="shared" si="68"/>
        <v>Petar</v>
      </c>
      <c r="AL18" s="31" t="str">
        <f t="shared" si="69"/>
        <v>Kaniški</v>
      </c>
      <c r="AM18" s="73">
        <f t="shared" si="70"/>
        <v>1321</v>
      </c>
      <c r="AN18" s="73" t="str">
        <f t="shared" si="71"/>
        <v/>
      </c>
      <c r="AO18" s="31" t="str">
        <f t="shared" si="8"/>
        <v>Petar</v>
      </c>
      <c r="AP18" s="66" t="str">
        <f t="shared" si="9"/>
        <v>Kaniški</v>
      </c>
      <c r="AQ18" s="47" t="s">
        <v>0</v>
      </c>
      <c r="AR18" s="82" t="str">
        <f t="shared" si="72"/>
        <v/>
      </c>
      <c r="AS18" s="47" t="s">
        <v>0</v>
      </c>
      <c r="AT18" s="19" t="str">
        <f t="shared" si="73"/>
        <v/>
      </c>
      <c r="AU18" s="47" t="s">
        <v>0</v>
      </c>
      <c r="AV18" s="103"/>
      <c r="AW18" s="105"/>
      <c r="AX18" s="47" t="s">
        <v>0</v>
      </c>
      <c r="AY18" s="259" t="str">
        <f t="shared" si="10"/>
        <v/>
      </c>
      <c r="AZ18" s="47" t="s">
        <v>0</v>
      </c>
      <c r="BA18" s="52" t="str">
        <f t="shared" si="11"/>
        <v/>
      </c>
      <c r="BB18" s="73" t="str">
        <f>IF(AV18&amp;AW18="","",MAX(BB$12:BB17)+1)</f>
        <v/>
      </c>
      <c r="BC18" s="272" t="str">
        <f t="shared" si="12"/>
        <v/>
      </c>
      <c r="BD18" s="53" t="str">
        <f>IF(AND(AM18="NEMA",AN18="NEMA",OR(AV18&amp;AW18="",BC18="NEMA")),MAX(BD$12:BD17)+1,"")</f>
        <v/>
      </c>
      <c r="BE18" s="47" t="s">
        <v>0</v>
      </c>
      <c r="BF18" s="52" t="str">
        <f t="shared" si="74"/>
        <v>Petar</v>
      </c>
      <c r="BG18" s="66" t="str">
        <f t="shared" si="75"/>
        <v>Kaniški</v>
      </c>
      <c r="BH18" s="47" t="s">
        <v>0</v>
      </c>
      <c r="BI18" s="52" t="str">
        <f t="shared" si="15"/>
        <v>Maksimir</v>
      </c>
      <c r="BJ18" s="31" t="str">
        <f t="shared" si="16"/>
        <v>OK Maksimir</v>
      </c>
      <c r="BK18" s="73" t="str">
        <f t="shared" si="17"/>
        <v/>
      </c>
      <c r="BL18" s="31" t="str" cm="1">
        <f t="array" ref="BL18">IF(BK18="",""&amp;BJ18,IF(BK18="NEMA",BJ18,INDEX(regKlub_naziv,MATCH(INDEX(regKlub_alias_klubId,BK18),regKlub_id,0))))</f>
        <v>OK Maksimir</v>
      </c>
      <c r="BM18" s="31" t="str" cm="1">
        <f t="array" ref="BM18">IFERROR(""&amp;INDEX(regNatjecatelj_klub,DV18),"")</f>
        <v>OK Maksimir</v>
      </c>
      <c r="BN18" s="73" t="str">
        <f t="shared" si="76"/>
        <v/>
      </c>
      <c r="BO18" s="66" t="str">
        <f t="shared" si="77"/>
        <v>OK Maksimir</v>
      </c>
      <c r="BP18" s="47" t="s">
        <v>0</v>
      </c>
      <c r="BQ18" s="52" t="str">
        <f>IF(X18&lt;&gt;"NEMA","",IF(IFERROR(MATCH(W18,W$12:W17,0),0)&lt;&gt;0,"",W18))</f>
        <v/>
      </c>
      <c r="BR18" s="73" t="str">
        <f t="shared" si="78"/>
        <v/>
      </c>
      <c r="BS18" s="31" t="str">
        <f>IF(OR(BR18="",BR18&lt;&gt;"NEMA"),"",MAX(BS$12:BS17)+1)</f>
        <v/>
      </c>
      <c r="BT18" s="66" t="str">
        <f t="shared" si="79"/>
        <v/>
      </c>
      <c r="BU18" s="47" t="s">
        <v>0</v>
      </c>
      <c r="BV18" s="19" t="str">
        <f t="shared" si="80"/>
        <v/>
      </c>
      <c r="BW18" s="47" t="s">
        <v>0</v>
      </c>
      <c r="BX18" s="82" t="str">
        <f>IF(BK18&lt;&gt;"NEMA","",IF(IFERROR(MATCH(BJ18,BJ$12:BJ17,0),0)&lt;&gt;0,"",BJ18))</f>
        <v/>
      </c>
      <c r="BY18" s="47" t="s">
        <v>0</v>
      </c>
      <c r="BZ18" s="125"/>
      <c r="CA18" s="47" t="s">
        <v>0</v>
      </c>
      <c r="CB18" s="58" t="str">
        <f t="shared" si="81"/>
        <v/>
      </c>
      <c r="CC18" s="31" t="str">
        <f t="shared" si="82"/>
        <v/>
      </c>
      <c r="CD18" s="31" t="str">
        <f>IF(CC18="","",MAX(CD$12:CD17)+1)</f>
        <v/>
      </c>
      <c r="CE18" s="31" t="str">
        <f t="shared" si="22"/>
        <v/>
      </c>
      <c r="CF18" s="31" t="str">
        <f t="shared" si="83"/>
        <v/>
      </c>
      <c r="CG18" s="31" t="str">
        <f>IF(BZ18="","",MAX(CG$12:CG17)+1)</f>
        <v/>
      </c>
      <c r="CH18" s="31" t="str">
        <f t="shared" si="84"/>
        <v/>
      </c>
      <c r="CI18" s="66" t="str">
        <f t="shared" si="85"/>
        <v/>
      </c>
      <c r="CJ18" s="47" t="s">
        <v>0</v>
      </c>
      <c r="CK18" s="73" t="str">
        <f t="shared" si="25"/>
        <v/>
      </c>
      <c r="CL18" s="47"/>
      <c r="CM18" s="19" t="str">
        <f t="shared" si="86"/>
        <v/>
      </c>
      <c r="CN18" s="47" t="s">
        <v>0</v>
      </c>
      <c r="CO18" s="143" t="str">
        <f t="shared" si="87"/>
        <v>OK Maksimir</v>
      </c>
      <c r="CP18" s="47" t="s">
        <v>0</v>
      </c>
      <c r="CQ18" s="58" t="str">
        <f t="shared" si="28"/>
        <v/>
      </c>
      <c r="CR18" s="73" t="str">
        <f t="shared" si="29"/>
        <v>2</v>
      </c>
      <c r="CS18" s="229" t="str">
        <f t="shared" si="30"/>
        <v/>
      </c>
      <c r="CT18" s="230" t="str">
        <f t="shared" si="88"/>
        <v/>
      </c>
      <c r="CU18" s="163">
        <f t="shared" si="32"/>
        <v>4</v>
      </c>
      <c r="CV18" s="47" t="s">
        <v>0</v>
      </c>
      <c r="CW18" s="222" t="str">
        <f t="shared" si="89"/>
        <v xml:space="preserve">
</v>
      </c>
      <c r="CX18" s="223">
        <f t="shared" si="90"/>
        <v>5</v>
      </c>
      <c r="CY18" s="47" t="s">
        <v>0</v>
      </c>
      <c r="CZ18" s="47"/>
      <c r="DA18" s="47"/>
      <c r="DB18" s="47"/>
      <c r="DC18" s="47" t="s">
        <v>0</v>
      </c>
      <c r="DD18" s="53" t="str">
        <f t="shared" si="33"/>
        <v/>
      </c>
      <c r="DE18" t="s">
        <v>0</v>
      </c>
      <c r="DF18" s="128" t="str">
        <f t="shared" si="34"/>
        <v>M</v>
      </c>
      <c r="DG18" t="s">
        <v>0</v>
      </c>
      <c r="DH18" s="52" t="str">
        <f t="shared" si="35"/>
        <v/>
      </c>
      <c r="DI18" s="66" t="str">
        <f t="shared" si="36"/>
        <v/>
      </c>
      <c r="DJ18" t="s">
        <v>0</v>
      </c>
      <c r="DK18" s="19" t="str">
        <f t="shared" si="37"/>
        <v/>
      </c>
      <c r="DL18" s="47" t="s">
        <v>0</v>
      </c>
      <c r="DM18" s="19" t="str">
        <f t="shared" si="38"/>
        <v/>
      </c>
      <c r="DN18" s="47" t="s">
        <v>0</v>
      </c>
      <c r="DO18" s="52" t="str">
        <f t="shared" si="39"/>
        <v>Petar – Kaniški – OK Maksimir – M12</v>
      </c>
      <c r="DP18" s="53">
        <f t="shared" si="40"/>
        <v>357</v>
      </c>
      <c r="DQ18" s="47" t="s">
        <v>0</v>
      </c>
      <c r="DR18" s="52" t="str">
        <f t="shared" si="41"/>
        <v>Petar – Kaniški – OK Maksimir</v>
      </c>
      <c r="DS18" s="53">
        <f t="shared" si="42"/>
        <v>357</v>
      </c>
      <c r="DT18" s="47" t="s">
        <v>0</v>
      </c>
      <c r="DU18" s="52" t="str">
        <f t="shared" si="43"/>
        <v>Petar – Kaniški</v>
      </c>
      <c r="DV18" s="53">
        <f t="shared" si="44"/>
        <v>357</v>
      </c>
      <c r="DW18" s="47" t="s">
        <v>0</v>
      </c>
      <c r="DX18" s="58">
        <f t="shared" si="91"/>
        <v>357</v>
      </c>
      <c r="DY18" s="53" cm="1">
        <f t="array" ref="DY18">IF(DX18&lt;&gt;"",INDEX(regNatjecatelj_id,DX18,0),IF(BD18&lt;&gt;"",BD18,""))</f>
        <v>1321</v>
      </c>
      <c r="DZ18" s="47" t="s">
        <v>0</v>
      </c>
      <c r="EA18" s="58" t="str">
        <f t="shared" si="45"/>
        <v>imepre</v>
      </c>
      <c r="EB18" s="73" t="str">
        <f t="shared" si="46"/>
        <v>klu</v>
      </c>
      <c r="EC18" s="73" t="str">
        <f t="shared" si="47"/>
        <v>kat</v>
      </c>
      <c r="ED18" s="73" t="str">
        <f t="shared" si="48"/>
        <v/>
      </c>
      <c r="EE18" s="66" t="str">
        <f t="shared" si="49"/>
        <v>imepre-klu-kat</v>
      </c>
      <c r="EF18" s="47" t="s">
        <v>0</v>
      </c>
      <c r="EG18" s="58">
        <f>IF(AL18="","",MAX(EG$12:EG17)+1)</f>
        <v>197</v>
      </c>
      <c r="EH18" s="73">
        <f t="shared" si="50"/>
        <v>23</v>
      </c>
      <c r="EI18" s="73">
        <f t="shared" si="92"/>
        <v>1321</v>
      </c>
      <c r="EJ18" s="73" t="str">
        <f t="shared" si="51"/>
        <v/>
      </c>
      <c r="EK18" s="73">
        <f t="shared" si="52"/>
        <v>4</v>
      </c>
      <c r="EL18" s="73">
        <f t="shared" si="93"/>
        <v>1</v>
      </c>
      <c r="EM18" s="73">
        <f t="shared" si="94"/>
        <v>1</v>
      </c>
      <c r="EN18" s="73" t="str">
        <f t="shared" si="55"/>
        <v>2</v>
      </c>
      <c r="EO18" s="73" t="str">
        <f t="shared" si="56"/>
        <v/>
      </c>
      <c r="EP18" s="73" t="str">
        <f t="shared" si="57"/>
        <v/>
      </c>
      <c r="EQ18" s="53" t="str">
        <f t="shared" si="58"/>
        <v/>
      </c>
      <c r="ER18" s="47" t="s">
        <v>0</v>
      </c>
      <c r="ES18" s="19" t="str">
        <f t="shared" si="95"/>
        <v>INSERT INTO rezultat(id,stazakategorija_id,imeprezime_id,vrijeme_sec,status_id,registracija,uparivanje_id,originalstatus_id,imeprezimealias_id,klubalias_id,kategorijaalias_id) VALUES (197,23,1321,Null,4,1,1,2,Null,Null,Null);</v>
      </c>
      <c r="ET18" s="47" t="s">
        <v>0</v>
      </c>
      <c r="EU18" s="19" t="str">
        <f t="shared" si="96"/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8" s="47" t="s">
        <v>0</v>
      </c>
      <c r="EW18" s="180" t="str">
        <f t="shared" si="60"/>
        <v xml:space="preserve">
INSERT INTO rezultat(id,stazakategorija_id,imeprezime_id,vrijeme_sec,status_id,registracija,uparivanje_id,originalstatus_id,imeprezimealias_id,klubalias_id,kategorijaalias_id) VALUES (197,23,1321,Null,4,1,1,2,Null,Null,Null);
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8" s="47" t="s">
        <v>0</v>
      </c>
    </row>
    <row r="19" spans="1:166" ht="15.75" thickBot="1" x14ac:dyDescent="0.3">
      <c r="A19" t="s">
        <v>0</v>
      </c>
      <c r="B19" s="52" t="str">
        <f>IF(csv!F9="","",csv!T9)</f>
        <v>M12</v>
      </c>
      <c r="C19" s="31" t="s">
        <v>0</v>
      </c>
      <c r="D19" s="31" t="str">
        <f>IF(csv!F9="","",csv!F9)</f>
        <v>Lovro</v>
      </c>
      <c r="E19" s="31" t="str">
        <f>IF(csv!E9="","",csv!E9)</f>
        <v>Berečki</v>
      </c>
      <c r="F19" s="31" t="s">
        <v>0</v>
      </c>
      <c r="G19" s="73" t="str">
        <f>IF(csv!M9="","",csv!M9)</f>
        <v/>
      </c>
      <c r="H19" s="73" t="str">
        <f>IF(csv!N9="","",csv!N9)</f>
        <v>1</v>
      </c>
      <c r="I19" s="31" t="s">
        <v>0</v>
      </c>
      <c r="J19" s="31" t="str">
        <f>IF(csv!P9="","",csv!P9)</f>
        <v>JAP</v>
      </c>
      <c r="K19" s="31" t="str">
        <f>IF(csv!Q9="","",csv!Q9)</f>
        <v>OK Japetic</v>
      </c>
      <c r="L19" s="31" t="s">
        <v>0</v>
      </c>
      <c r="M19" s="66" t="str">
        <f>IF(csv!R9="","",csv!R9)</f>
        <v>CRO</v>
      </c>
      <c r="N19" s="47" t="s">
        <v>0</v>
      </c>
      <c r="O19" s="246" t="str">
        <f t="shared" si="61"/>
        <v>ok</v>
      </c>
      <c r="P19" s="47"/>
      <c r="Q19" s="52" t="str">
        <f t="shared" si="62"/>
        <v>M12</v>
      </c>
      <c r="R19" s="73">
        <f>IF(Q19="","",IF(COUNTIF(Q$12:Q18,Q19)=0,R18+1,R18))</f>
        <v>1</v>
      </c>
      <c r="S19" s="73">
        <f t="shared" si="63"/>
        <v>112</v>
      </c>
      <c r="T19" s="73">
        <f t="shared" si="1"/>
        <v>22</v>
      </c>
      <c r="U19" s="66" t="str">
        <f t="shared" si="2"/>
        <v>M12 – Ž12</v>
      </c>
      <c r="V19" s="47" t="s">
        <v>0</v>
      </c>
      <c r="W19" s="222" t="str">
        <f t="shared" si="3"/>
        <v>M12</v>
      </c>
      <c r="X19" s="223">
        <f t="shared" si="4"/>
        <v>23</v>
      </c>
      <c r="Y19" s="47" t="s">
        <v>0</v>
      </c>
      <c r="Z19" s="52" t="str">
        <f t="shared" si="64"/>
        <v>CRO</v>
      </c>
      <c r="AA19" s="73">
        <f t="shared" si="5"/>
        <v>1</v>
      </c>
      <c r="AB19" s="31" t="str">
        <f t="shared" si="65"/>
        <v/>
      </c>
      <c r="AC19" s="66" t="str">
        <f>IF(AB19="","",MAX(AC$12:AC18)+1)</f>
        <v/>
      </c>
      <c r="AD19" s="47" t="s">
        <v>0</v>
      </c>
      <c r="AE19" s="125"/>
      <c r="AF19" s="47" t="s">
        <v>0</v>
      </c>
      <c r="AG19" s="19" t="str">
        <f t="shared" si="66"/>
        <v/>
      </c>
      <c r="AH19" s="47" t="s">
        <v>0</v>
      </c>
      <c r="AI19" s="143" t="str">
        <f t="shared" si="67"/>
        <v>CRO</v>
      </c>
      <c r="AJ19" s="47"/>
      <c r="AK19" s="52" t="str">
        <f t="shared" si="68"/>
        <v>Lovro</v>
      </c>
      <c r="AL19" s="269" t="str">
        <f t="shared" si="69"/>
        <v>Berečki</v>
      </c>
      <c r="AM19" s="73">
        <f t="shared" si="70"/>
        <v>1856</v>
      </c>
      <c r="AN19" s="73" t="str">
        <f t="shared" si="71"/>
        <v/>
      </c>
      <c r="AO19" s="31" t="str">
        <f t="shared" si="8"/>
        <v>Lovro</v>
      </c>
      <c r="AP19" s="66" t="str">
        <f t="shared" si="9"/>
        <v>Berečki</v>
      </c>
      <c r="AQ19" s="47" t="s">
        <v>0</v>
      </c>
      <c r="AR19" s="82" t="str">
        <f t="shared" si="72"/>
        <v/>
      </c>
      <c r="AS19" s="47" t="s">
        <v>0</v>
      </c>
      <c r="AT19" s="19" t="str">
        <f t="shared" si="73"/>
        <v/>
      </c>
      <c r="AU19" s="47" t="s">
        <v>0</v>
      </c>
      <c r="AV19" s="103"/>
      <c r="AW19" s="105"/>
      <c r="AX19" s="47" t="s">
        <v>0</v>
      </c>
      <c r="AY19" s="259" t="str">
        <f t="shared" si="10"/>
        <v/>
      </c>
      <c r="AZ19" s="47" t="s">
        <v>0</v>
      </c>
      <c r="BA19" s="52" t="str">
        <f t="shared" si="11"/>
        <v/>
      </c>
      <c r="BB19" s="73" t="str">
        <f>IF(AV19&amp;AW19="","",MAX(BB$12:BB18)+1)</f>
        <v/>
      </c>
      <c r="BC19" s="272" t="str">
        <f t="shared" si="12"/>
        <v/>
      </c>
      <c r="BD19" s="53" t="str">
        <f>IF(AND(AM19="NEMA",AN19="NEMA",OR(AV19&amp;AW19="",BC19="NEMA")),MAX(BD$12:BD18)+1,"")</f>
        <v/>
      </c>
      <c r="BE19" s="47" t="s">
        <v>0</v>
      </c>
      <c r="BF19" s="52" t="str">
        <f t="shared" si="74"/>
        <v>Lovro</v>
      </c>
      <c r="BG19" s="66" t="str">
        <f t="shared" si="75"/>
        <v>Berečki</v>
      </c>
      <c r="BH19" s="47" t="s">
        <v>0</v>
      </c>
      <c r="BI19" s="52" t="str">
        <f t="shared" si="15"/>
        <v>JAP</v>
      </c>
      <c r="BJ19" s="31" t="str">
        <f t="shared" si="16"/>
        <v>OK Japetic</v>
      </c>
      <c r="BK19" s="73">
        <f t="shared" si="17"/>
        <v>1</v>
      </c>
      <c r="BL19" s="31" t="str" cm="1">
        <f t="array" ref="BL19">IF(BK19="",""&amp;BJ19,IF(BK19="NEMA",BJ19,INDEX(regKlub_naziv,MATCH(INDEX(regKlub_alias_klubId,BK19),regKlub_id,0))))</f>
        <v>OK Japetić</v>
      </c>
      <c r="BM19" s="31" t="str" cm="1">
        <f t="array" ref="BM19">IFERROR(""&amp;INDEX(regNatjecatelj_klub,DV19),"")</f>
        <v>OK Japetić</v>
      </c>
      <c r="BN19" s="73" t="str">
        <f t="shared" si="76"/>
        <v/>
      </c>
      <c r="BO19" s="66" t="str">
        <f t="shared" si="77"/>
        <v>OK Japetić</v>
      </c>
      <c r="BP19" s="47" t="s">
        <v>0</v>
      </c>
      <c r="BQ19" s="52" t="str">
        <f>IF(X19&lt;&gt;"NEMA","",IF(IFERROR(MATCH(W19,W$12:W18,0),0)&lt;&gt;0,"",W19))</f>
        <v/>
      </c>
      <c r="BR19" s="73" t="str">
        <f t="shared" si="78"/>
        <v/>
      </c>
      <c r="BS19" s="31" t="str">
        <f>IF(OR(BR19="",BR19&lt;&gt;"NEMA"),"",MAX(BS$12:BS18)+1)</f>
        <v/>
      </c>
      <c r="BT19" s="66" t="str">
        <f t="shared" si="79"/>
        <v/>
      </c>
      <c r="BU19" s="47" t="s">
        <v>0</v>
      </c>
      <c r="BV19" s="19" t="str">
        <f t="shared" si="80"/>
        <v/>
      </c>
      <c r="BW19" s="47" t="s">
        <v>0</v>
      </c>
      <c r="BX19" s="82" t="str">
        <f>IF(BK19&lt;&gt;"NEMA","",IF(IFERROR(MATCH(BJ19,BJ$12:BJ18,0),0)&lt;&gt;0,"",BJ19))</f>
        <v/>
      </c>
      <c r="BY19" s="47" t="s">
        <v>0</v>
      </c>
      <c r="BZ19" s="125"/>
      <c r="CA19" s="47" t="s">
        <v>0</v>
      </c>
      <c r="CB19" s="58" t="str">
        <f t="shared" si="81"/>
        <v/>
      </c>
      <c r="CC19" s="31" t="str">
        <f t="shared" si="82"/>
        <v/>
      </c>
      <c r="CD19" s="31" t="str">
        <f>IF(CC19="","",MAX(CD$12:CD18)+1)</f>
        <v/>
      </c>
      <c r="CE19" s="31" t="str">
        <f t="shared" si="22"/>
        <v/>
      </c>
      <c r="CF19" s="31" t="str">
        <f t="shared" si="83"/>
        <v/>
      </c>
      <c r="CG19" s="31" t="str">
        <f>IF(BZ19="","",MAX(CG$12:CG18)+1)</f>
        <v/>
      </c>
      <c r="CH19" s="31" t="str">
        <f t="shared" si="84"/>
        <v/>
      </c>
      <c r="CI19" s="66" t="str">
        <f t="shared" si="85"/>
        <v/>
      </c>
      <c r="CJ19" s="47" t="s">
        <v>0</v>
      </c>
      <c r="CK19" s="73" t="str">
        <f t="shared" si="25"/>
        <v/>
      </c>
      <c r="CL19" s="47"/>
      <c r="CM19" s="19" t="str">
        <f t="shared" si="86"/>
        <v/>
      </c>
      <c r="CN19" s="47" t="s">
        <v>0</v>
      </c>
      <c r="CO19" s="143" t="str">
        <f t="shared" si="87"/>
        <v>OK Japetić</v>
      </c>
      <c r="CP19" s="47" t="s">
        <v>0</v>
      </c>
      <c r="CQ19" s="58" t="str">
        <f t="shared" si="28"/>
        <v/>
      </c>
      <c r="CR19" s="73" t="str">
        <f t="shared" si="29"/>
        <v>1</v>
      </c>
      <c r="CS19" s="229" t="str">
        <f t="shared" si="30"/>
        <v/>
      </c>
      <c r="CT19" s="230" t="str">
        <f t="shared" si="88"/>
        <v/>
      </c>
      <c r="CU19" s="163">
        <f t="shared" si="32"/>
        <v>6</v>
      </c>
      <c r="CV19" s="47" t="s">
        <v>0</v>
      </c>
      <c r="CW19" s="222" t="str">
        <f t="shared" si="89"/>
        <v xml:space="preserve">
</v>
      </c>
      <c r="CX19" s="223" t="e">
        <f t="shared" si="90"/>
        <v>#N/A</v>
      </c>
      <c r="CY19" s="47" t="s">
        <v>0</v>
      </c>
      <c r="CZ19" s="47"/>
      <c r="DA19" s="47"/>
      <c r="DB19" s="47"/>
      <c r="DC19" s="47" t="s">
        <v>0</v>
      </c>
      <c r="DD19" s="53" t="str">
        <f t="shared" si="33"/>
        <v/>
      </c>
      <c r="DE19" t="s">
        <v>0</v>
      </c>
      <c r="DF19" s="128" t="str">
        <f t="shared" si="34"/>
        <v>M</v>
      </c>
      <c r="DG19" t="s">
        <v>0</v>
      </c>
      <c r="DH19" s="52" t="str">
        <f t="shared" si="35"/>
        <v/>
      </c>
      <c r="DI19" s="66" t="str">
        <f t="shared" si="36"/>
        <v/>
      </c>
      <c r="DJ19" t="s">
        <v>0</v>
      </c>
      <c r="DK19" s="19" t="str">
        <f t="shared" si="37"/>
        <v/>
      </c>
      <c r="DL19" s="47" t="s">
        <v>0</v>
      </c>
      <c r="DM19" s="19" t="str">
        <f t="shared" si="38"/>
        <v/>
      </c>
      <c r="DN19" s="47" t="s">
        <v>0</v>
      </c>
      <c r="DO19" s="52" t="str">
        <f t="shared" si="39"/>
        <v>Lovro – Berečki – OK Japetić – M12</v>
      </c>
      <c r="DP19" s="53">
        <f t="shared" si="40"/>
        <v>75</v>
      </c>
      <c r="DQ19" s="47" t="s">
        <v>0</v>
      </c>
      <c r="DR19" s="52" t="str">
        <f t="shared" si="41"/>
        <v>Lovro – Berečki – OK Japetić</v>
      </c>
      <c r="DS19" s="53">
        <f t="shared" si="42"/>
        <v>75</v>
      </c>
      <c r="DT19" s="47" t="s">
        <v>0</v>
      </c>
      <c r="DU19" s="52" t="str">
        <f t="shared" si="43"/>
        <v>Lovro – Berečki</v>
      </c>
      <c r="DV19" s="53">
        <f t="shared" si="44"/>
        <v>75</v>
      </c>
      <c r="DW19" s="47" t="s">
        <v>0</v>
      </c>
      <c r="DX19" s="58">
        <f t="shared" si="91"/>
        <v>75</v>
      </c>
      <c r="DY19" s="53" cm="1">
        <f t="array" ref="DY19">IF(DX19&lt;&gt;"",INDEX(regNatjecatelj_id,DX19,0),IF(BD19&lt;&gt;"",BD19,""))</f>
        <v>1856</v>
      </c>
      <c r="DZ19" s="47" t="s">
        <v>0</v>
      </c>
      <c r="EA19" s="58" t="str">
        <f t="shared" si="45"/>
        <v>imepre</v>
      </c>
      <c r="EB19" s="73" t="str">
        <f t="shared" si="46"/>
        <v>klu(ali)</v>
      </c>
      <c r="EC19" s="73" t="str">
        <f t="shared" si="47"/>
        <v>kat</v>
      </c>
      <c r="ED19" s="73" t="str">
        <f t="shared" si="48"/>
        <v/>
      </c>
      <c r="EE19" s="66" t="str">
        <f t="shared" si="49"/>
        <v>imepre-klu(ali)-kat</v>
      </c>
      <c r="EF19" s="47" t="s">
        <v>0</v>
      </c>
      <c r="EG19" s="58">
        <f>IF(AL19="","",MAX(EG$12:EG18)+1)</f>
        <v>198</v>
      </c>
      <c r="EH19" s="73">
        <f t="shared" si="50"/>
        <v>23</v>
      </c>
      <c r="EI19" s="73">
        <f t="shared" si="92"/>
        <v>1856</v>
      </c>
      <c r="EJ19" s="73" t="str">
        <f t="shared" si="51"/>
        <v/>
      </c>
      <c r="EK19" s="73">
        <f t="shared" si="52"/>
        <v>6</v>
      </c>
      <c r="EL19" s="73">
        <f t="shared" si="93"/>
        <v>1</v>
      </c>
      <c r="EM19" s="73">
        <f t="shared" si="94"/>
        <v>3</v>
      </c>
      <c r="EN19" s="73" t="str">
        <f t="shared" si="55"/>
        <v>1</v>
      </c>
      <c r="EO19" s="73" t="str">
        <f t="shared" si="56"/>
        <v/>
      </c>
      <c r="EP19" s="73">
        <f t="shared" si="57"/>
        <v>1</v>
      </c>
      <c r="EQ19" s="53" t="str">
        <f t="shared" si="58"/>
        <v/>
      </c>
      <c r="ER19" s="47" t="s">
        <v>0</v>
      </c>
      <c r="ES19" s="19" t="str">
        <f t="shared" si="95"/>
        <v>INSERT INTO rezultat(id,stazakategorija_id,imeprezime_id,vrijeme_sec,status_id,registracija,uparivanje_id,originalstatus_id,imeprezimealias_id,klubalias_id,kategorijaalias_id) VALUES (198,23,1856,Null,6,1,3,1,Null,1,Null);</v>
      </c>
      <c r="ET19" s="47" t="s">
        <v>0</v>
      </c>
      <c r="EU19" s="19" t="str">
        <f t="shared" si="96"/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9" s="47" t="s">
        <v>0</v>
      </c>
      <c r="EW19" s="180" t="str">
        <f t="shared" si="60"/>
        <v xml:space="preserve">
INSERT INTO rezultat(id,stazakategorija_id,imeprezime_id,vrijeme_sec,status_id,registracija,uparivanje_id,originalstatus_id,imeprezimealias_id,klubalias_id,kategorijaalias_id) VALUES (198,23,1856,Null,6,1,3,1,Null,1,Null);
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9" s="47" t="s">
        <v>0</v>
      </c>
    </row>
    <row r="20" spans="1:166" ht="15.75" thickBot="1" x14ac:dyDescent="0.3">
      <c r="A20" t="s">
        <v>0</v>
      </c>
      <c r="B20" s="52" t="str">
        <f>IF(csv!F10="","",csv!T10)</f>
        <v>M12</v>
      </c>
      <c r="C20" s="31" t="s">
        <v>0</v>
      </c>
      <c r="D20" s="31" t="str">
        <f>IF(csv!F10="","",csv!F10)</f>
        <v>Jure</v>
      </c>
      <c r="E20" s="31" t="str">
        <f>IF(csv!E10="","",csv!E10)</f>
        <v>Rako</v>
      </c>
      <c r="F20" s="31" t="s">
        <v>0</v>
      </c>
      <c r="G20" s="73" t="str">
        <f>IF(csv!M10="","",csv!M10)</f>
        <v/>
      </c>
      <c r="H20" s="73" t="str">
        <f>IF(csv!N10="","",csv!N10)</f>
        <v>1</v>
      </c>
      <c r="I20" s="31" t="s">
        <v>0</v>
      </c>
      <c r="J20" s="31" t="str">
        <f>IF(csv!P10="","",csv!P10)</f>
        <v>Vihor</v>
      </c>
      <c r="K20" s="31" t="str">
        <f>IF(csv!Q10="","",csv!Q10)</f>
        <v>OK Vihor</v>
      </c>
      <c r="L20" s="31" t="s">
        <v>0</v>
      </c>
      <c r="M20" s="66" t="str">
        <f>IF(csv!R10="","",csv!R10)</f>
        <v>CRO</v>
      </c>
      <c r="N20" s="47" t="s">
        <v>0</v>
      </c>
      <c r="O20" s="246" t="str">
        <f t="shared" si="61"/>
        <v>ok</v>
      </c>
      <c r="P20" s="47"/>
      <c r="Q20" s="52" t="str">
        <f t="shared" si="62"/>
        <v>M12</v>
      </c>
      <c r="R20" s="73">
        <f>IF(Q20="","",IF(COUNTIF(Q$12:Q19,Q20)=0,R19+1,R19))</f>
        <v>1</v>
      </c>
      <c r="S20" s="73">
        <f t="shared" si="63"/>
        <v>112</v>
      </c>
      <c r="T20" s="73">
        <f t="shared" si="1"/>
        <v>22</v>
      </c>
      <c r="U20" s="66" t="str">
        <f t="shared" si="2"/>
        <v>M12 – Ž12</v>
      </c>
      <c r="V20" s="47" t="s">
        <v>0</v>
      </c>
      <c r="W20" s="222" t="str">
        <f t="shared" si="3"/>
        <v>M12</v>
      </c>
      <c r="X20" s="223">
        <f t="shared" si="4"/>
        <v>23</v>
      </c>
      <c r="Y20" s="47" t="s">
        <v>0</v>
      </c>
      <c r="Z20" s="52" t="str">
        <f t="shared" si="64"/>
        <v>CRO</v>
      </c>
      <c r="AA20" s="73">
        <f t="shared" si="5"/>
        <v>1</v>
      </c>
      <c r="AB20" s="31" t="str">
        <f t="shared" si="65"/>
        <v/>
      </c>
      <c r="AC20" s="66" t="str">
        <f>IF(AB20="","",MAX(AC$12:AC19)+1)</f>
        <v/>
      </c>
      <c r="AD20" s="47" t="s">
        <v>0</v>
      </c>
      <c r="AE20" s="125"/>
      <c r="AF20" s="47" t="s">
        <v>0</v>
      </c>
      <c r="AG20" s="19" t="str">
        <f t="shared" si="66"/>
        <v/>
      </c>
      <c r="AH20" s="47" t="s">
        <v>0</v>
      </c>
      <c r="AI20" s="143" t="str">
        <f t="shared" si="67"/>
        <v>CRO</v>
      </c>
      <c r="AJ20" s="47"/>
      <c r="AK20" s="267" t="str">
        <f t="shared" si="68"/>
        <v>Jure</v>
      </c>
      <c r="AL20" s="31" t="str">
        <f t="shared" si="69"/>
        <v>Rako</v>
      </c>
      <c r="AM20" s="268">
        <f t="shared" si="70"/>
        <v>1098</v>
      </c>
      <c r="AN20" s="73" t="str">
        <f t="shared" si="71"/>
        <v/>
      </c>
      <c r="AO20" s="31" t="str">
        <f t="shared" si="8"/>
        <v>Jure</v>
      </c>
      <c r="AP20" s="66" t="str">
        <f t="shared" si="9"/>
        <v>Rako</v>
      </c>
      <c r="AQ20" s="47" t="s">
        <v>0</v>
      </c>
      <c r="AR20" s="82" t="str">
        <f t="shared" si="72"/>
        <v/>
      </c>
      <c r="AS20" s="47" t="s">
        <v>0</v>
      </c>
      <c r="AT20" s="19" t="str">
        <f t="shared" si="73"/>
        <v/>
      </c>
      <c r="AU20" s="47" t="s">
        <v>0</v>
      </c>
      <c r="AV20" s="103"/>
      <c r="AW20" s="105"/>
      <c r="AX20" s="47" t="s">
        <v>0</v>
      </c>
      <c r="AY20" s="259" t="str">
        <f>IF(AND(AV20="",AW20&lt;&gt;""),"FALI IME",IF(AND(AV20&lt;&gt;"",AW20=""),"FALI PREZIME",IF(OR(AM20="",AND(AM20="NEMA",AN20="NEMA"),AV20&amp;AW20=""),"","GREŠKA")))</f>
        <v/>
      </c>
      <c r="AZ20" s="47" t="s">
        <v>0</v>
      </c>
      <c r="BA20" s="52" t="str">
        <f t="shared" si="11"/>
        <v/>
      </c>
      <c r="BB20" s="73" t="str">
        <f>IF(AV20&amp;AW20="","",MAX(BB$12:BB19)+1)</f>
        <v/>
      </c>
      <c r="BC20" s="272" t="str">
        <f t="shared" si="12"/>
        <v/>
      </c>
      <c r="BD20" s="53" t="str">
        <f>IF(AND(AM20="NEMA",AN20="NEMA",OR(AV20&amp;AW20="",BC20="NEMA")),MAX(BD$12:BD19)+1,"")</f>
        <v/>
      </c>
      <c r="BE20" s="47" t="s">
        <v>0</v>
      </c>
      <c r="BF20" s="52" t="str">
        <f t="shared" si="74"/>
        <v>Jure</v>
      </c>
      <c r="BG20" s="66" t="str">
        <f t="shared" si="75"/>
        <v>Rako</v>
      </c>
      <c r="BH20" s="47" t="s">
        <v>0</v>
      </c>
      <c r="BI20" s="52" t="str">
        <f t="shared" si="15"/>
        <v>Vihor</v>
      </c>
      <c r="BJ20" s="31" t="str">
        <f t="shared" si="16"/>
        <v>OK Vihor</v>
      </c>
      <c r="BK20" s="73" t="str">
        <f t="shared" si="17"/>
        <v/>
      </c>
      <c r="BL20" s="31" t="str" cm="1">
        <f t="array" ref="BL20">IF(BK20="",""&amp;BJ20,IF(BK20="NEMA",BJ20,INDEX(regKlub_naziv,MATCH(INDEX(regKlub_alias_klubId,BK20),regKlub_id,0))))</f>
        <v>OK Vihor</v>
      </c>
      <c r="BM20" s="31" t="str" cm="1">
        <f t="array" ref="BM20">IFERROR(""&amp;INDEX(regNatjecatelj_klub,DV20),"")</f>
        <v>OK Vihor</v>
      </c>
      <c r="BN20" s="73" t="str">
        <f t="shared" si="76"/>
        <v/>
      </c>
      <c r="BO20" s="66" t="str">
        <f t="shared" si="77"/>
        <v>OK Vihor</v>
      </c>
      <c r="BP20" s="47" t="s">
        <v>0</v>
      </c>
      <c r="BQ20" s="52" t="str">
        <f>IF(X20&lt;&gt;"NEMA","",IF(IFERROR(MATCH(W20,W$12:W19,0),0)&lt;&gt;0,"",W20))</f>
        <v/>
      </c>
      <c r="BR20" s="73" t="str">
        <f t="shared" si="78"/>
        <v/>
      </c>
      <c r="BS20" s="31" t="str">
        <f>IF(OR(BR20="",BR20&lt;&gt;"NEMA"),"",MAX(BS$12:BS19)+1)</f>
        <v/>
      </c>
      <c r="BT20" s="66" t="str">
        <f t="shared" si="79"/>
        <v/>
      </c>
      <c r="BU20" s="47" t="s">
        <v>0</v>
      </c>
      <c r="BV20" s="19" t="str">
        <f t="shared" si="80"/>
        <v/>
      </c>
      <c r="BW20" s="47" t="s">
        <v>0</v>
      </c>
      <c r="BX20" s="82" t="str">
        <f>IF(BK20&lt;&gt;"NEMA","",IF(IFERROR(MATCH(BJ20,BJ$12:BJ19,0),0)&lt;&gt;0,"",BJ20))</f>
        <v/>
      </c>
      <c r="BY20" s="47" t="s">
        <v>0</v>
      </c>
      <c r="BZ20" s="125"/>
      <c r="CA20" s="47" t="s">
        <v>0</v>
      </c>
      <c r="CB20" s="58" t="str">
        <f t="shared" si="81"/>
        <v/>
      </c>
      <c r="CC20" s="31" t="str">
        <f t="shared" si="82"/>
        <v/>
      </c>
      <c r="CD20" s="31" t="str">
        <f>IF(CC20="","",MAX(CD$12:CD19)+1)</f>
        <v/>
      </c>
      <c r="CE20" s="31" t="str">
        <f t="shared" si="22"/>
        <v/>
      </c>
      <c r="CF20" s="31" t="str">
        <f t="shared" si="83"/>
        <v/>
      </c>
      <c r="CG20" s="31" t="str">
        <f>IF(BZ20="","",MAX(CG$12:CG19)+1)</f>
        <v/>
      </c>
      <c r="CH20" s="31" t="str">
        <f t="shared" si="84"/>
        <v/>
      </c>
      <c r="CI20" s="66" t="str">
        <f t="shared" si="85"/>
        <v/>
      </c>
      <c r="CJ20" s="47" t="s">
        <v>0</v>
      </c>
      <c r="CK20" s="73" t="str">
        <f t="shared" si="25"/>
        <v/>
      </c>
      <c r="CL20" s="47"/>
      <c r="CM20" s="19" t="str">
        <f t="shared" si="86"/>
        <v/>
      </c>
      <c r="CN20" s="47" t="s">
        <v>0</v>
      </c>
      <c r="CO20" s="143" t="str">
        <f t="shared" si="87"/>
        <v>OK Vihor</v>
      </c>
      <c r="CP20" s="47" t="s">
        <v>0</v>
      </c>
      <c r="CQ20" s="58" t="str">
        <f t="shared" si="28"/>
        <v/>
      </c>
      <c r="CR20" s="73" t="str">
        <f t="shared" si="29"/>
        <v>1</v>
      </c>
      <c r="CS20" s="229" t="str">
        <f t="shared" si="30"/>
        <v/>
      </c>
      <c r="CT20" s="230" t="str">
        <f t="shared" si="88"/>
        <v/>
      </c>
      <c r="CU20" s="163">
        <f t="shared" si="32"/>
        <v>6</v>
      </c>
      <c r="CV20" s="47" t="s">
        <v>0</v>
      </c>
      <c r="CW20" s="222" t="str">
        <f t="shared" si="89"/>
        <v xml:space="preserve">
</v>
      </c>
      <c r="CX20" s="223" t="e">
        <f t="shared" si="90"/>
        <v>#N/A</v>
      </c>
      <c r="CY20" s="47" t="s">
        <v>0</v>
      </c>
      <c r="CZ20" s="47"/>
      <c r="DA20" s="47"/>
      <c r="DB20" s="47"/>
      <c r="DC20" s="47" t="s">
        <v>0</v>
      </c>
      <c r="DD20" s="53" t="str">
        <f t="shared" ref="DD20" si="97">IF(BD20="","",IF(DF20="O",1,""))</f>
        <v/>
      </c>
      <c r="DE20" t="s">
        <v>0</v>
      </c>
      <c r="DF20" s="128" t="str">
        <f t="shared" ref="DF20" si="98">IF(Q20="","",LEFT(INDEX(regKategorija_oznaka,MATCH(S20,regKategorija_id,0)),1))</f>
        <v>M</v>
      </c>
      <c r="DG20" t="s">
        <v>0</v>
      </c>
      <c r="DH20" s="52" t="str">
        <f t="shared" ref="DH20" si="99">IF(BD20="","",IF(M20&lt;&gt;"CRO","","INSERT INTO osoba (id,reg_broj,oib,spol_id,dat_rodjenja) VALUES ("&amp;BD20&amp;",(SELECT max(os.reg_broj)+1 FROM osoba AS os),Null,'"&amp;DF20&amp;"',Null); INSERT INTO osoba_log (id,reg_broj,oib,spol_id,dat_rodjenja,dnevnik_id) SELECT id,reg_broj,oib,spol_id,dat_rodjenja,"&amp;data_dnevnik_id&amp;" FROM osoba WHERE id = "&amp;BD20&amp;";"))</f>
        <v/>
      </c>
      <c r="DI20" s="66" t="str">
        <f t="shared" ref="DI20" si="100">IF(BD20="","","INSERT INTO imeprezime (id,osoba_id,rbr,ime,prezime,klub_id,identitet_id,sintaksa_id,info,aktivno,dnevnik_id) VALUES ("&amp;BD20&amp;","&amp;IF(DH20="","Null",BD20)&amp;",1,'"&amp;IF(AV20&lt;&gt;"",AV20,AK20)&amp;"','"&amp;IF(AW20&lt;&gt;"",AW20,AL20)&amp;"',(SELECT id FROM klub WHERE naziv = '"&amp;CO20&amp;"'),Null,1,'',1,"&amp;data_dnevnik_id&amp;");")</f>
        <v/>
      </c>
      <c r="DJ20" t="s">
        <v>0</v>
      </c>
      <c r="DK20" s="19" t="str">
        <f t="shared" ref="DK20" si="101">IF(DH20="",DI20,DH20&amp;" "&amp;DI20)</f>
        <v/>
      </c>
      <c r="DL20" s="47" t="s">
        <v>0</v>
      </c>
      <c r="DM20" s="19" t="str">
        <f>IF(BA20="","","INSERT INTO imeprezime_alias(id,alias,imeprezime_id) VALUES ("&amp;BB20&amp;",'"&amp;BA20&amp;"',"&amp;IF(BC20="NEMA",BD20,BC20)&amp;");")</f>
        <v/>
      </c>
      <c r="DN20" s="47" t="s">
        <v>0</v>
      </c>
      <c r="DO20" s="52" t="str">
        <f t="shared" si="39"/>
        <v>Jure – Rako – OK Vihor – M12</v>
      </c>
      <c r="DP20" s="53">
        <f t="shared" si="40"/>
        <v>869</v>
      </c>
      <c r="DQ20" s="47" t="s">
        <v>0</v>
      </c>
      <c r="DR20" s="52" t="str">
        <f t="shared" si="41"/>
        <v>Jure – Rako – OK Vihor</v>
      </c>
      <c r="DS20" s="53">
        <f t="shared" si="42"/>
        <v>869</v>
      </c>
      <c r="DT20" s="47" t="s">
        <v>0</v>
      </c>
      <c r="DU20" s="52" t="str">
        <f t="shared" si="43"/>
        <v>Jure – Rako</v>
      </c>
      <c r="DV20" s="53">
        <f t="shared" si="44"/>
        <v>869</v>
      </c>
      <c r="DW20" s="47" t="s">
        <v>0</v>
      </c>
      <c r="DX20" s="58">
        <f t="shared" si="91"/>
        <v>869</v>
      </c>
      <c r="DY20" s="53" cm="1">
        <f t="array" ref="DY20">IF(DX20&lt;&gt;"",INDEX(regNatjecatelj_id,DX20,0),IF(BD20&lt;&gt;"",BD20,""))</f>
        <v>1098</v>
      </c>
      <c r="DZ20" s="47" t="s">
        <v>0</v>
      </c>
      <c r="EA20" s="58" t="str">
        <f t="shared" si="45"/>
        <v>imepre</v>
      </c>
      <c r="EB20" s="73" t="str">
        <f t="shared" si="46"/>
        <v>klu</v>
      </c>
      <c r="EC20" s="73" t="str">
        <f t="shared" si="47"/>
        <v>kat</v>
      </c>
      <c r="ED20" s="73" t="str">
        <f t="shared" si="48"/>
        <v/>
      </c>
      <c r="EE20" s="66" t="str">
        <f t="shared" si="49"/>
        <v>imepre-klu-kat</v>
      </c>
      <c r="EF20" s="47" t="s">
        <v>0</v>
      </c>
      <c r="EG20" s="58">
        <f>IF(AL20="","",MAX(EG$12:EG19)+1)</f>
        <v>199</v>
      </c>
      <c r="EH20" s="73">
        <f t="shared" si="50"/>
        <v>23</v>
      </c>
      <c r="EI20" s="73">
        <f t="shared" si="92"/>
        <v>1098</v>
      </c>
      <c r="EJ20" s="73" t="str">
        <f t="shared" si="51"/>
        <v/>
      </c>
      <c r="EK20" s="73">
        <f t="shared" si="52"/>
        <v>6</v>
      </c>
      <c r="EL20" s="73">
        <f t="shared" si="93"/>
        <v>1</v>
      </c>
      <c r="EM20" s="73">
        <f t="shared" si="94"/>
        <v>1</v>
      </c>
      <c r="EN20" s="73" t="str">
        <f t="shared" si="55"/>
        <v>1</v>
      </c>
      <c r="EO20" s="73" t="str">
        <f t="shared" si="56"/>
        <v/>
      </c>
      <c r="EP20" s="73" t="str">
        <f t="shared" si="57"/>
        <v/>
      </c>
      <c r="EQ20" s="53" t="str">
        <f t="shared" si="58"/>
        <v/>
      </c>
      <c r="ER20" s="47" t="s">
        <v>0</v>
      </c>
      <c r="ES20" s="19" t="str">
        <f t="shared" si="95"/>
        <v>INSERT INTO rezultat(id,stazakategorija_id,imeprezime_id,vrijeme_sec,status_id,registracija,uparivanje_id,originalstatus_id,imeprezimealias_id,klubalias_id,kategorijaalias_id) VALUES (199,23,1098,Null,6,1,1,1,Null,Null,Null);</v>
      </c>
      <c r="ET20" s="47" t="s">
        <v>0</v>
      </c>
      <c r="EU20" s="19" t="str">
        <f t="shared" si="96"/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20" s="47" t="s">
        <v>0</v>
      </c>
      <c r="EW20" s="180" t="str">
        <f t="shared" si="60"/>
        <v xml:space="preserve">
INSERT INTO rezultat(id,stazakategorija_id,imeprezime_id,vrijeme_sec,status_id,registracija,uparivanje_id,originalstatus_id,imeprezimealias_id,klubalias_id,kategorijaalias_id) VALUES (199,23,1098,Null,6,1,1,1,Null,Null,Null);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0" s="47" t="s">
        <v>0</v>
      </c>
      <c r="EY20" s="288" t="s">
        <v>223</v>
      </c>
      <c r="EZ20" s="289"/>
      <c r="FA20" s="289"/>
      <c r="FB20" s="289"/>
      <c r="FC20" s="289"/>
      <c r="FD20" s="289"/>
      <c r="FE20" s="289"/>
      <c r="FF20" s="289"/>
      <c r="FG20" s="289"/>
      <c r="FH20" s="289"/>
      <c r="FI20" s="289"/>
      <c r="FJ20" s="290"/>
    </row>
    <row r="21" spans="1:166" ht="15.75" thickBot="1" x14ac:dyDescent="0.3">
      <c r="A21" t="s">
        <v>0</v>
      </c>
      <c r="B21" s="52" t="str">
        <f>IF(csv!F11="","",csv!T11)</f>
        <v>M12</v>
      </c>
      <c r="C21" s="31" t="s">
        <v>0</v>
      </c>
      <c r="D21" s="31" t="str">
        <f>IF(csv!F11="","",csv!F11)</f>
        <v>Vacant</v>
      </c>
      <c r="E21" s="31" t="str">
        <f>IF(csv!E11="","",csv!E11)</f>
        <v/>
      </c>
      <c r="F21" s="31" t="s">
        <v>0</v>
      </c>
      <c r="G21" s="73" t="str">
        <f>IF(csv!M11="","",csv!M11)</f>
        <v/>
      </c>
      <c r="H21" s="73" t="str">
        <f>IF(csv!N11="","",csv!N11)</f>
        <v>0</v>
      </c>
      <c r="I21" s="31" t="s">
        <v>0</v>
      </c>
      <c r="J21" s="31" t="str">
        <f>IF(csv!P11="","",csv!P11)</f>
        <v/>
      </c>
      <c r="K21" s="31" t="str">
        <f>IF(csv!Q11="","",csv!Q11)</f>
        <v/>
      </c>
      <c r="L21" s="31" t="s">
        <v>0</v>
      </c>
      <c r="M21" s="66" t="str">
        <f>IF(csv!R11="","",csv!R11)</f>
        <v/>
      </c>
      <c r="N21" s="47" t="s">
        <v>0</v>
      </c>
      <c r="O21" s="246" t="str">
        <f t="shared" si="61"/>
        <v/>
      </c>
      <c r="P21" s="47"/>
      <c r="Q21" s="52" t="str">
        <f t="shared" si="62"/>
        <v>M12</v>
      </c>
      <c r="R21" s="73">
        <f>IF(Q21="","",IF(COUNTIF(Q$12:Q20,Q21)=0,R20+1,R20))</f>
        <v>1</v>
      </c>
      <c r="S21" s="73">
        <f t="shared" si="63"/>
        <v>112</v>
      </c>
      <c r="T21" s="73">
        <f t="shared" si="1"/>
        <v>22</v>
      </c>
      <c r="U21" s="66" t="str">
        <f t="shared" si="2"/>
        <v>M12 – Ž12</v>
      </c>
      <c r="V21" s="47" t="s">
        <v>0</v>
      </c>
      <c r="W21" s="222" t="str">
        <f t="shared" si="3"/>
        <v/>
      </c>
      <c r="X21" s="223" t="str">
        <f t="shared" si="4"/>
        <v/>
      </c>
      <c r="Y21" s="47" t="s">
        <v>0</v>
      </c>
      <c r="Z21" s="52" t="str">
        <f t="shared" si="64"/>
        <v/>
      </c>
      <c r="AA21" s="73" t="str">
        <f t="shared" si="5"/>
        <v/>
      </c>
      <c r="AB21" s="31" t="str">
        <f t="shared" si="65"/>
        <v/>
      </c>
      <c r="AC21" s="66" t="str">
        <f>IF(AB21="","",MAX(AC$12:AC20)+1)</f>
        <v/>
      </c>
      <c r="AD21" s="47" t="s">
        <v>0</v>
      </c>
      <c r="AE21" s="125"/>
      <c r="AF21" s="47" t="s">
        <v>0</v>
      </c>
      <c r="AG21" s="19" t="str">
        <f t="shared" si="66"/>
        <v/>
      </c>
      <c r="AH21" s="47" t="s">
        <v>0</v>
      </c>
      <c r="AI21" s="143" t="str">
        <f t="shared" si="67"/>
        <v/>
      </c>
      <c r="AJ21" s="47"/>
      <c r="AK21" s="52" t="str">
        <f t="shared" si="68"/>
        <v/>
      </c>
      <c r="AL21" s="270" t="str">
        <f t="shared" si="69"/>
        <v/>
      </c>
      <c r="AM21" s="73" t="str">
        <f t="shared" si="70"/>
        <v/>
      </c>
      <c r="AN21" s="73" t="str">
        <f t="shared" si="71"/>
        <v/>
      </c>
      <c r="AO21" s="31" t="str">
        <f t="shared" si="8"/>
        <v/>
      </c>
      <c r="AP21" s="66" t="str">
        <f t="shared" si="9"/>
        <v/>
      </c>
      <c r="AQ21" s="47" t="s">
        <v>0</v>
      </c>
      <c r="AR21" s="82" t="str">
        <f t="shared" si="72"/>
        <v/>
      </c>
      <c r="AS21" s="47" t="s">
        <v>0</v>
      </c>
      <c r="AT21" s="19" t="str">
        <f t="shared" si="73"/>
        <v/>
      </c>
      <c r="AU21" s="47" t="s">
        <v>0</v>
      </c>
      <c r="AV21" s="103"/>
      <c r="AW21" s="105"/>
      <c r="AX21" s="47" t="s">
        <v>0</v>
      </c>
      <c r="AY21" s="259" t="str">
        <f t="shared" ref="AY21:AY84" si="102">IF(AND(AV21="",AW21&lt;&gt;""),"FALI IME",IF(AND(AV21&lt;&gt;"",AW21=""),"FALI PREZIME",IF(OR(AM21="",AND(AM21="NEMA",AN21="NEMA"),AV21&amp;AW21=""),"","GREŠKA")))</f>
        <v/>
      </c>
      <c r="AZ21" s="47" t="s">
        <v>0</v>
      </c>
      <c r="BA21" s="52" t="str">
        <f t="shared" si="11"/>
        <v/>
      </c>
      <c r="BB21" s="73" t="str">
        <f>IF(AV21&amp;AW21="","",MAX(BB$12:BB20)+1)</f>
        <v/>
      </c>
      <c r="BC21" s="272" t="str">
        <f t="shared" si="12"/>
        <v/>
      </c>
      <c r="BD21" s="53" t="str">
        <f>IF(AND(AM21="NEMA",AN21="NEMA",OR(AV21&amp;AW21="",BC21="NEMA")),MAX(BD$12:BD20)+1,"")</f>
        <v/>
      </c>
      <c r="BE21" s="47" t="s">
        <v>0</v>
      </c>
      <c r="BF21" s="52" t="str">
        <f t="shared" si="74"/>
        <v/>
      </c>
      <c r="BG21" s="66" t="str">
        <f t="shared" si="75"/>
        <v/>
      </c>
      <c r="BH21" s="47" t="s">
        <v>0</v>
      </c>
      <c r="BI21" s="52" t="str">
        <f t="shared" si="15"/>
        <v/>
      </c>
      <c r="BJ21" s="31" t="str">
        <f t="shared" si="16"/>
        <v/>
      </c>
      <c r="BK21" s="73" t="str">
        <f t="shared" si="17"/>
        <v/>
      </c>
      <c r="BL21" s="31" t="str" cm="1">
        <f t="array" ref="BL21">IF(BK21="",""&amp;BJ21,IF(BK21="NEMA",BJ21,INDEX(regKlub_naziv,MATCH(INDEX(regKlub_alias_klubId,BK21),regKlub_id,0))))</f>
        <v/>
      </c>
      <c r="BM21" s="31" t="str" cm="1">
        <f t="array" ref="BM21">IFERROR(""&amp;INDEX(regNatjecatelj_klub,DV21),"")</f>
        <v/>
      </c>
      <c r="BN21" s="73" t="str">
        <f t="shared" si="76"/>
        <v/>
      </c>
      <c r="BO21" s="66" t="str">
        <f t="shared" si="77"/>
        <v/>
      </c>
      <c r="BP21" s="47" t="s">
        <v>0</v>
      </c>
      <c r="BQ21" s="52" t="str">
        <f>IF(X21&lt;&gt;"NEMA","",IF(IFERROR(MATCH(W21,W$12:W20,0),0)&lt;&gt;0,"",W21))</f>
        <v/>
      </c>
      <c r="BR21" s="73" t="str">
        <f t="shared" si="78"/>
        <v/>
      </c>
      <c r="BS21" s="31" t="str">
        <f>IF(OR(BR21="",BR21&lt;&gt;"NEMA"),"",MAX(BS$12:BS20)+1)</f>
        <v/>
      </c>
      <c r="BT21" s="66" t="str">
        <f t="shared" si="79"/>
        <v/>
      </c>
      <c r="BU21" s="47" t="s">
        <v>0</v>
      </c>
      <c r="BV21" s="19" t="str">
        <f t="shared" si="80"/>
        <v/>
      </c>
      <c r="BW21" s="47" t="s">
        <v>0</v>
      </c>
      <c r="BX21" s="82" t="str">
        <f>IF(BK21&lt;&gt;"NEMA","",IF(IFERROR(MATCH(BJ21,BJ$12:BJ20,0),0)&lt;&gt;0,"",BJ21))</f>
        <v/>
      </c>
      <c r="BY21" s="47" t="s">
        <v>0</v>
      </c>
      <c r="BZ21" s="125"/>
      <c r="CA21" s="47" t="s">
        <v>0</v>
      </c>
      <c r="CB21" s="58" t="str">
        <f t="shared" si="81"/>
        <v/>
      </c>
      <c r="CC21" s="31" t="str">
        <f t="shared" si="82"/>
        <v/>
      </c>
      <c r="CD21" s="31" t="str">
        <f>IF(CC21="","",MAX(CD$12:CD20)+1)</f>
        <v/>
      </c>
      <c r="CE21" s="31" t="str">
        <f t="shared" si="22"/>
        <v/>
      </c>
      <c r="CF21" s="31" t="str">
        <f t="shared" si="83"/>
        <v/>
      </c>
      <c r="CG21" s="31" t="str">
        <f>IF(BZ21="","",MAX(CG$12:CG20)+1)</f>
        <v/>
      </c>
      <c r="CH21" s="31" t="str">
        <f t="shared" si="84"/>
        <v/>
      </c>
      <c r="CI21" s="66" t="str">
        <f t="shared" si="85"/>
        <v/>
      </c>
      <c r="CJ21" s="47" t="s">
        <v>0</v>
      </c>
      <c r="CK21" s="73" t="str">
        <f t="shared" si="25"/>
        <v/>
      </c>
      <c r="CL21" s="47"/>
      <c r="CM21" s="19" t="str">
        <f t="shared" si="86"/>
        <v/>
      </c>
      <c r="CN21" s="47" t="s">
        <v>0</v>
      </c>
      <c r="CO21" s="143" t="str">
        <f t="shared" si="87"/>
        <v/>
      </c>
      <c r="CP21" s="47" t="s">
        <v>0</v>
      </c>
      <c r="CQ21" s="58" t="str">
        <f t="shared" si="28"/>
        <v/>
      </c>
      <c r="CR21" s="73" t="str">
        <f t="shared" si="29"/>
        <v>0</v>
      </c>
      <c r="CS21" s="229" t="str">
        <f t="shared" si="30"/>
        <v/>
      </c>
      <c r="CT21" s="230" t="str">
        <f t="shared" si="88"/>
        <v/>
      </c>
      <c r="CU21" s="163" t="str">
        <f t="shared" si="32"/>
        <v/>
      </c>
      <c r="CV21" s="47" t="s">
        <v>0</v>
      </c>
      <c r="CW21" s="222" t="str">
        <f t="shared" si="89"/>
        <v xml:space="preserve">
</v>
      </c>
      <c r="CX21" s="223" t="str">
        <f t="shared" si="90"/>
        <v/>
      </c>
      <c r="CY21" s="47" t="s">
        <v>0</v>
      </c>
      <c r="CZ21" s="47"/>
      <c r="DA21" s="47"/>
      <c r="DB21" s="47"/>
      <c r="DC21" s="47" t="s">
        <v>0</v>
      </c>
      <c r="DD21" s="53" t="str">
        <f t="shared" ref="DD21:DD84" si="103">IF(BD21="","",IF(DF21="O",1,""))</f>
        <v/>
      </c>
      <c r="DE21" t="s">
        <v>0</v>
      </c>
      <c r="DF21" s="128" t="str">
        <f t="shared" ref="DF21:DF84" si="104">IF(Q21="","",LEFT(INDEX(regKategorija_oznaka,MATCH(S21,regKategorija_id,0)),1))</f>
        <v>M</v>
      </c>
      <c r="DG21" t="s">
        <v>0</v>
      </c>
      <c r="DH21" s="52" t="str">
        <f t="shared" ref="DH21:DH84" si="105">IF(BD21="","",IF(M21&lt;&gt;"CRO","","INSERT INTO osoba (id,reg_broj,oib,spol_id,dat_rodjenja) VALUES ("&amp;BD21&amp;",(SELECT max(os.reg_broj)+1 FROM osoba AS os),Null,'"&amp;DF21&amp;"',Null); INSERT INTO osoba_log (id,reg_broj,oib,spol_id,dat_rodjenja,dnevnik_id) SELECT id,reg_broj,oib,spol_id,dat_rodjenja,"&amp;data_dnevnik_id&amp;" FROM osoba WHERE id = "&amp;BD21&amp;";"))</f>
        <v/>
      </c>
      <c r="DI21" s="66" t="str">
        <f t="shared" ref="DI21:DI84" si="106">IF(BD21="","","INSERT INTO imeprezime (id,osoba_id,rbr,ime,prezime,klub_id,identitet_id,sintaksa_id,info,aktivno,dnevnik_id) VALUES ("&amp;BD21&amp;","&amp;IF(DH21="","Null",BD21)&amp;",1,'"&amp;IF(AV21&lt;&gt;"",AV21,AK21)&amp;"','"&amp;IF(AW21&lt;&gt;"",AW21,AL21)&amp;"',(SELECT id FROM klub WHERE naziv = '"&amp;CO21&amp;"'),Null,1,'',1,"&amp;data_dnevnik_id&amp;");")</f>
        <v/>
      </c>
      <c r="DJ21" t="s">
        <v>0</v>
      </c>
      <c r="DK21" s="19" t="str">
        <f t="shared" ref="DK21:DK84" si="107">IF(DH21="",DI21,DH21&amp;" "&amp;DI21)</f>
        <v/>
      </c>
      <c r="DL21" s="47" t="s">
        <v>0</v>
      </c>
      <c r="DM21" s="19" t="str">
        <f t="shared" ref="DM21:DM84" si="108">IF(BA21="","","INSERT INTO imeprezime_alias(id,alias,imeprezime_id) VALUES ("&amp;BB21&amp;",'"&amp;BA21&amp;"',"&amp;IF(BC21="NEMA",BD21,BC21)&amp;");")</f>
        <v/>
      </c>
      <c r="DN21" s="47" t="s">
        <v>0</v>
      </c>
      <c r="DO21" s="52" t="str">
        <f t="shared" si="39"/>
        <v/>
      </c>
      <c r="DP21" s="53" t="str">
        <f t="shared" si="40"/>
        <v/>
      </c>
      <c r="DQ21" s="47" t="s">
        <v>0</v>
      </c>
      <c r="DR21" s="52" t="str">
        <f t="shared" si="41"/>
        <v/>
      </c>
      <c r="DS21" s="53" t="str">
        <f t="shared" si="42"/>
        <v/>
      </c>
      <c r="DT21" s="47" t="s">
        <v>0</v>
      </c>
      <c r="DU21" s="52" t="str">
        <f t="shared" si="43"/>
        <v/>
      </c>
      <c r="DV21" s="53" t="str">
        <f t="shared" si="44"/>
        <v/>
      </c>
      <c r="DW21" s="47" t="s">
        <v>0</v>
      </c>
      <c r="DX21" s="58" t="str">
        <f t="shared" si="91"/>
        <v/>
      </c>
      <c r="DY21" s="53" t="str" cm="1">
        <f t="array" ref="DY21">IF(DX21&lt;&gt;"",INDEX(regNatjecatelj_id,DX21,0),IF(BD21&lt;&gt;"",BD21,""))</f>
        <v/>
      </c>
      <c r="DZ21" s="47" t="s">
        <v>0</v>
      </c>
      <c r="EA21" s="58" t="str">
        <f t="shared" si="45"/>
        <v/>
      </c>
      <c r="EB21" s="73" t="str">
        <f t="shared" si="46"/>
        <v/>
      </c>
      <c r="EC21" s="73" t="str">
        <f t="shared" si="47"/>
        <v/>
      </c>
      <c r="ED21" s="73" t="str">
        <f t="shared" si="48"/>
        <v/>
      </c>
      <c r="EE21" s="66" t="str">
        <f t="shared" si="49"/>
        <v/>
      </c>
      <c r="EF21" s="47" t="s">
        <v>0</v>
      </c>
      <c r="EG21" s="58" t="str">
        <f>IF(AL21="","",MAX(EG$12:EG20)+1)</f>
        <v/>
      </c>
      <c r="EH21" s="73" t="str">
        <f t="shared" si="50"/>
        <v/>
      </c>
      <c r="EI21" s="73" t="str">
        <f t="shared" si="92"/>
        <v/>
      </c>
      <c r="EJ21" s="73" t="str">
        <f t="shared" si="51"/>
        <v/>
      </c>
      <c r="EK21" s="73" t="str">
        <f t="shared" si="52"/>
        <v/>
      </c>
      <c r="EL21" s="73" t="str">
        <f t="shared" si="93"/>
        <v/>
      </c>
      <c r="EM21" s="73" t="str">
        <f t="shared" si="94"/>
        <v/>
      </c>
      <c r="EN21" s="73" t="str">
        <f t="shared" si="55"/>
        <v/>
      </c>
      <c r="EO21" s="73" t="str">
        <f t="shared" si="56"/>
        <v/>
      </c>
      <c r="EP21" s="73" t="str">
        <f t="shared" si="57"/>
        <v/>
      </c>
      <c r="EQ21" s="53" t="str">
        <f t="shared" si="58"/>
        <v/>
      </c>
      <c r="ER21" s="47" t="s">
        <v>0</v>
      </c>
      <c r="ES21" s="19" t="str">
        <f t="shared" si="95"/>
        <v/>
      </c>
      <c r="ET21" s="47" t="s">
        <v>0</v>
      </c>
      <c r="EU21" s="19" t="str">
        <f t="shared" si="96"/>
        <v/>
      </c>
      <c r="EV21" s="47" t="s">
        <v>0</v>
      </c>
      <c r="EW21" s="180" t="str">
        <f t="shared" si="60"/>
        <v/>
      </c>
      <c r="EX21" s="47" t="s">
        <v>0</v>
      </c>
      <c r="EY21" s="288" t="s">
        <v>224</v>
      </c>
      <c r="EZ21" s="289"/>
      <c r="FA21" s="289"/>
      <c r="FB21" s="289"/>
      <c r="FC21" s="289"/>
      <c r="FD21" s="289"/>
      <c r="FE21" s="289"/>
      <c r="FF21" s="289"/>
      <c r="FG21" s="289"/>
      <c r="FH21" s="289"/>
      <c r="FI21" s="289"/>
      <c r="FJ21" s="290"/>
    </row>
    <row r="22" spans="1:166" ht="15.75" thickBot="1" x14ac:dyDescent="0.3">
      <c r="A22" t="s">
        <v>0</v>
      </c>
      <c r="B22" s="52" t="str">
        <f>IF(csv!F12="","",csv!T12)</f>
        <v>M12</v>
      </c>
      <c r="C22" s="31" t="s">
        <v>0</v>
      </c>
      <c r="D22" s="31" t="str">
        <f>IF(csv!F12="","",csv!F12)</f>
        <v>Filip</v>
      </c>
      <c r="E22" s="31" t="str">
        <f>IF(csv!E12="","",csv!E12)</f>
        <v>Anadolac</v>
      </c>
      <c r="F22" s="31" t="s">
        <v>0</v>
      </c>
      <c r="G22" s="73" t="str">
        <f>IF(csv!M12="","",csv!M12)</f>
        <v/>
      </c>
      <c r="H22" s="73" t="str">
        <f>IF(csv!N12="","",csv!N12)</f>
        <v>2</v>
      </c>
      <c r="I22" s="31" t="s">
        <v>0</v>
      </c>
      <c r="J22" s="31" t="str">
        <f>IF(csv!P12="","",csv!P12)</f>
        <v>OK Varaždin</v>
      </c>
      <c r="K22" s="31" t="str">
        <f>IF(csv!Q12="","",csv!Q12)</f>
        <v>OK Varaždin</v>
      </c>
      <c r="L22" s="31" t="s">
        <v>0</v>
      </c>
      <c r="M22" s="66" t="str">
        <f>IF(csv!R12="","",csv!R12)</f>
        <v>CRO</v>
      </c>
      <c r="N22" s="47" t="s">
        <v>0</v>
      </c>
      <c r="O22" s="246" t="str">
        <f t="shared" si="61"/>
        <v>ok</v>
      </c>
      <c r="P22" s="47"/>
      <c r="Q22" s="52" t="str">
        <f t="shared" si="62"/>
        <v>M12</v>
      </c>
      <c r="R22" s="73">
        <f>IF(Q22="","",IF(COUNTIF(Q$12:Q21,Q22)=0,R21+1,R21))</f>
        <v>1</v>
      </c>
      <c r="S22" s="73">
        <f t="shared" si="63"/>
        <v>112</v>
      </c>
      <c r="T22" s="73">
        <f t="shared" si="1"/>
        <v>22</v>
      </c>
      <c r="U22" s="66" t="str">
        <f t="shared" si="2"/>
        <v>M12 – Ž12</v>
      </c>
      <c r="V22" s="47" t="s">
        <v>0</v>
      </c>
      <c r="W22" s="222" t="str">
        <f t="shared" si="3"/>
        <v>M12</v>
      </c>
      <c r="X22" s="223">
        <f t="shared" si="4"/>
        <v>23</v>
      </c>
      <c r="Y22" s="47" t="s">
        <v>0</v>
      </c>
      <c r="Z22" s="52" t="str">
        <f t="shared" si="64"/>
        <v>CRO</v>
      </c>
      <c r="AA22" s="73">
        <f t="shared" si="5"/>
        <v>1</v>
      </c>
      <c r="AB22" s="31" t="str">
        <f t="shared" si="65"/>
        <v/>
      </c>
      <c r="AC22" s="66" t="str">
        <f>IF(AB22="","",MAX(AC$12:AC21)+1)</f>
        <v/>
      </c>
      <c r="AD22" s="47" t="s">
        <v>0</v>
      </c>
      <c r="AE22" s="125"/>
      <c r="AF22" s="47" t="s">
        <v>0</v>
      </c>
      <c r="AG22" s="19" t="str">
        <f t="shared" si="66"/>
        <v/>
      </c>
      <c r="AH22" s="47" t="s">
        <v>0</v>
      </c>
      <c r="AI22" s="143" t="str">
        <f t="shared" si="67"/>
        <v>CRO</v>
      </c>
      <c r="AJ22" s="47"/>
      <c r="AK22" s="52" t="str">
        <f t="shared" si="68"/>
        <v>Filip</v>
      </c>
      <c r="AL22" s="31" t="str">
        <f t="shared" si="69"/>
        <v>Anadolac</v>
      </c>
      <c r="AM22" s="73">
        <f t="shared" si="70"/>
        <v>1106</v>
      </c>
      <c r="AN22" s="73" t="str">
        <f t="shared" si="71"/>
        <v/>
      </c>
      <c r="AO22" s="31" t="str">
        <f t="shared" si="8"/>
        <v>Filip</v>
      </c>
      <c r="AP22" s="66" t="str">
        <f t="shared" si="9"/>
        <v>Anadolac</v>
      </c>
      <c r="AQ22" s="47" t="s">
        <v>0</v>
      </c>
      <c r="AR22" s="82" t="str">
        <f t="shared" si="72"/>
        <v/>
      </c>
      <c r="AS22" s="47" t="s">
        <v>0</v>
      </c>
      <c r="AT22" s="19" t="str">
        <f t="shared" si="73"/>
        <v/>
      </c>
      <c r="AU22" s="47" t="s">
        <v>0</v>
      </c>
      <c r="AV22" s="103"/>
      <c r="AW22" s="105"/>
      <c r="AX22" s="47" t="s">
        <v>0</v>
      </c>
      <c r="AY22" s="259" t="str">
        <f t="shared" si="102"/>
        <v/>
      </c>
      <c r="AZ22" s="47" t="s">
        <v>0</v>
      </c>
      <c r="BA22" s="52" t="str">
        <f t="shared" si="11"/>
        <v/>
      </c>
      <c r="BB22" s="73" t="str">
        <f>IF(AV22&amp;AW22="","",MAX(BB$12:BB21)+1)</f>
        <v/>
      </c>
      <c r="BC22" s="272" t="str">
        <f t="shared" si="12"/>
        <v/>
      </c>
      <c r="BD22" s="53" t="str">
        <f>IF(AND(AM22="NEMA",AN22="NEMA",OR(AV22&amp;AW22="",BC22="NEMA")),MAX(BD$12:BD21)+1,"")</f>
        <v/>
      </c>
      <c r="BE22" s="47" t="s">
        <v>0</v>
      </c>
      <c r="BF22" s="52" t="str">
        <f t="shared" si="74"/>
        <v>Filip</v>
      </c>
      <c r="BG22" s="66" t="str">
        <f t="shared" si="75"/>
        <v>Anadolac</v>
      </c>
      <c r="BH22" s="47" t="s">
        <v>0</v>
      </c>
      <c r="BI22" s="52" t="str">
        <f t="shared" si="15"/>
        <v>OK Varaždin</v>
      </c>
      <c r="BJ22" s="31" t="str">
        <f t="shared" si="16"/>
        <v>OK Varaždin</v>
      </c>
      <c r="BK22" s="73" t="str">
        <f t="shared" si="17"/>
        <v/>
      </c>
      <c r="BL22" s="31" t="str" cm="1">
        <f t="array" ref="BL22">IF(BK22="",""&amp;BJ22,IF(BK22="NEMA",BJ22,INDEX(regKlub_naziv,MATCH(INDEX(regKlub_alias_klubId,BK22),regKlub_id,0))))</f>
        <v>OK Varaždin</v>
      </c>
      <c r="BM22" s="31" t="str" cm="1">
        <f t="array" ref="BM22">IFERROR(""&amp;INDEX(regNatjecatelj_klub,DV22),"")</f>
        <v>OK Varaždin</v>
      </c>
      <c r="BN22" s="73" t="str">
        <f t="shared" si="76"/>
        <v/>
      </c>
      <c r="BO22" s="66" t="str">
        <f t="shared" si="77"/>
        <v>OK Varaždin</v>
      </c>
      <c r="BP22" s="47" t="s">
        <v>0</v>
      </c>
      <c r="BQ22" s="52" t="str">
        <f>IF(X22&lt;&gt;"NEMA","",IF(IFERROR(MATCH(W22,W$12:W21,0),0)&lt;&gt;0,"",W22))</f>
        <v/>
      </c>
      <c r="BR22" s="73" t="str">
        <f t="shared" si="78"/>
        <v/>
      </c>
      <c r="BS22" s="31" t="str">
        <f>IF(OR(BR22="",BR22&lt;&gt;"NEMA"),"",MAX(BS$12:BS21)+1)</f>
        <v/>
      </c>
      <c r="BT22" s="66" t="str">
        <f t="shared" si="79"/>
        <v/>
      </c>
      <c r="BU22" s="47" t="s">
        <v>0</v>
      </c>
      <c r="BV22" s="19" t="str">
        <f t="shared" si="80"/>
        <v/>
      </c>
      <c r="BW22" s="47" t="s">
        <v>0</v>
      </c>
      <c r="BX22" s="82" t="str">
        <f>IF(BK22&lt;&gt;"NEMA","",IF(IFERROR(MATCH(BJ22,BJ$12:BJ21,0),0)&lt;&gt;0,"",BJ22))</f>
        <v/>
      </c>
      <c r="BY22" s="47" t="s">
        <v>0</v>
      </c>
      <c r="BZ22" s="125"/>
      <c r="CA22" s="47" t="s">
        <v>0</v>
      </c>
      <c r="CB22" s="58" t="str">
        <f t="shared" si="81"/>
        <v/>
      </c>
      <c r="CC22" s="31" t="str">
        <f t="shared" si="82"/>
        <v/>
      </c>
      <c r="CD22" s="31" t="str">
        <f>IF(CC22="","",MAX(CD$12:CD21)+1)</f>
        <v/>
      </c>
      <c r="CE22" s="31" t="str">
        <f t="shared" si="22"/>
        <v/>
      </c>
      <c r="CF22" s="31" t="str">
        <f t="shared" si="83"/>
        <v/>
      </c>
      <c r="CG22" s="31" t="str">
        <f>IF(BZ22="","",MAX(CG$12:CG21)+1)</f>
        <v/>
      </c>
      <c r="CH22" s="31" t="str">
        <f t="shared" si="84"/>
        <v/>
      </c>
      <c r="CI22" s="66" t="str">
        <f t="shared" si="85"/>
        <v/>
      </c>
      <c r="CJ22" s="47" t="s">
        <v>0</v>
      </c>
      <c r="CK22" s="73" t="str">
        <f t="shared" si="25"/>
        <v/>
      </c>
      <c r="CL22" s="47"/>
      <c r="CM22" s="19" t="str">
        <f t="shared" si="86"/>
        <v/>
      </c>
      <c r="CN22" s="47" t="s">
        <v>0</v>
      </c>
      <c r="CO22" s="143" t="str">
        <f t="shared" si="87"/>
        <v>OK Varaždin</v>
      </c>
      <c r="CP22" s="47" t="s">
        <v>0</v>
      </c>
      <c r="CQ22" s="58" t="str">
        <f t="shared" si="28"/>
        <v/>
      </c>
      <c r="CR22" s="73" t="str">
        <f t="shared" si="29"/>
        <v>2</v>
      </c>
      <c r="CS22" s="229" t="str">
        <f t="shared" si="30"/>
        <v/>
      </c>
      <c r="CT22" s="230" t="str">
        <f t="shared" si="88"/>
        <v/>
      </c>
      <c r="CU22" s="163">
        <f t="shared" si="32"/>
        <v>4</v>
      </c>
      <c r="CV22" s="47" t="s">
        <v>0</v>
      </c>
      <c r="CW22" s="222" t="str">
        <f t="shared" si="89"/>
        <v xml:space="preserve">
</v>
      </c>
      <c r="CX22" s="223">
        <f t="shared" si="90"/>
        <v>5</v>
      </c>
      <c r="CY22" s="47" t="s">
        <v>0</v>
      </c>
      <c r="CZ22" s="47"/>
      <c r="DA22" s="47"/>
      <c r="DB22" s="47"/>
      <c r="DC22" s="47" t="s">
        <v>0</v>
      </c>
      <c r="DD22" s="53" t="str">
        <f t="shared" si="103"/>
        <v/>
      </c>
      <c r="DE22" t="s">
        <v>0</v>
      </c>
      <c r="DF22" s="128" t="str">
        <f t="shared" si="104"/>
        <v>M</v>
      </c>
      <c r="DG22" t="s">
        <v>0</v>
      </c>
      <c r="DH22" s="52" t="str">
        <f t="shared" si="105"/>
        <v/>
      </c>
      <c r="DI22" s="66" t="str">
        <f t="shared" si="106"/>
        <v/>
      </c>
      <c r="DJ22" t="s">
        <v>0</v>
      </c>
      <c r="DK22" s="19" t="str">
        <f t="shared" si="107"/>
        <v/>
      </c>
      <c r="DL22" s="47" t="s">
        <v>0</v>
      </c>
      <c r="DM22" s="19" t="str">
        <f t="shared" si="108"/>
        <v/>
      </c>
      <c r="DN22" s="47" t="s">
        <v>0</v>
      </c>
      <c r="DO22" s="52" t="str">
        <f t="shared" si="39"/>
        <v>Filip – Anadolac – OK Varaždin – M12</v>
      </c>
      <c r="DP22" s="53">
        <f t="shared" si="40"/>
        <v>519</v>
      </c>
      <c r="DQ22" s="47" t="s">
        <v>0</v>
      </c>
      <c r="DR22" s="52" t="str">
        <f t="shared" si="41"/>
        <v>Filip – Anadolac – OK Varaždin</v>
      </c>
      <c r="DS22" s="53">
        <f t="shared" si="42"/>
        <v>519</v>
      </c>
      <c r="DT22" s="47" t="s">
        <v>0</v>
      </c>
      <c r="DU22" s="52" t="str">
        <f t="shared" si="43"/>
        <v>Filip – Anadolac</v>
      </c>
      <c r="DV22" s="53">
        <f t="shared" si="44"/>
        <v>519</v>
      </c>
      <c r="DW22" s="47" t="s">
        <v>0</v>
      </c>
      <c r="DX22" s="58">
        <f t="shared" si="91"/>
        <v>519</v>
      </c>
      <c r="DY22" s="53" cm="1">
        <f t="array" ref="DY22">IF(DX22&lt;&gt;"",INDEX(regNatjecatelj_id,DX22,0),IF(BD22&lt;&gt;"",BD22,""))</f>
        <v>1106</v>
      </c>
      <c r="DZ22" s="47" t="s">
        <v>0</v>
      </c>
      <c r="EA22" s="58" t="str">
        <f t="shared" si="45"/>
        <v>imepre</v>
      </c>
      <c r="EB22" s="73" t="str">
        <f t="shared" si="46"/>
        <v>klu</v>
      </c>
      <c r="EC22" s="73" t="str">
        <f t="shared" si="47"/>
        <v>kat</v>
      </c>
      <c r="ED22" s="73" t="str">
        <f t="shared" si="48"/>
        <v/>
      </c>
      <c r="EE22" s="66" t="str">
        <f t="shared" si="49"/>
        <v>imepre-klu-kat</v>
      </c>
      <c r="EF22" s="47" t="s">
        <v>0</v>
      </c>
      <c r="EG22" s="58">
        <f>IF(AL22="","",MAX(EG$12:EG21)+1)</f>
        <v>200</v>
      </c>
      <c r="EH22" s="73">
        <f t="shared" si="50"/>
        <v>23</v>
      </c>
      <c r="EI22" s="73">
        <f t="shared" si="92"/>
        <v>1106</v>
      </c>
      <c r="EJ22" s="73" t="str">
        <f t="shared" si="51"/>
        <v/>
      </c>
      <c r="EK22" s="73">
        <f t="shared" si="52"/>
        <v>4</v>
      </c>
      <c r="EL22" s="73">
        <f t="shared" si="93"/>
        <v>1</v>
      </c>
      <c r="EM22" s="73">
        <f t="shared" si="94"/>
        <v>1</v>
      </c>
      <c r="EN22" s="73" t="str">
        <f t="shared" si="55"/>
        <v>2</v>
      </c>
      <c r="EO22" s="73" t="str">
        <f t="shared" si="56"/>
        <v/>
      </c>
      <c r="EP22" s="73" t="str">
        <f t="shared" si="57"/>
        <v/>
      </c>
      <c r="EQ22" s="53" t="str">
        <f t="shared" si="58"/>
        <v/>
      </c>
      <c r="ER22" s="47" t="s">
        <v>0</v>
      </c>
      <c r="ES22" s="19" t="str">
        <f t="shared" si="95"/>
        <v>INSERT INTO rezultat(id,stazakategorija_id,imeprezime_id,vrijeme_sec,status_id,registracija,uparivanje_id,originalstatus_id,imeprezimealias_id,klubalias_id,kategorijaalias_id) VALUES (200,23,1106,Null,4,1,1,2,Null,Null,Null);</v>
      </c>
      <c r="ET22" s="47" t="s">
        <v>0</v>
      </c>
      <c r="EU22" s="19" t="str">
        <f t="shared" si="96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22" s="47" t="s">
        <v>0</v>
      </c>
      <c r="EW22" s="180" t="str">
        <f t="shared" si="60"/>
        <v xml:space="preserve">
INSERT INTO rezultat(id,stazakategorija_id,imeprezime_id,vrijeme_sec,status_id,registracija,uparivanje_id,originalstatus_id,imeprezimealias_id,klubalias_id,kategorijaalias_id) VALUES (200,23,1106,Null,4,1,1,2,Null,Null,Null);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2" s="47" t="s">
        <v>0</v>
      </c>
      <c r="EY22" s="288" t="s">
        <v>227</v>
      </c>
      <c r="EZ22" s="289"/>
      <c r="FA22" s="289"/>
      <c r="FB22" s="289"/>
      <c r="FC22" s="289"/>
      <c r="FD22" s="289"/>
      <c r="FE22" s="289"/>
      <c r="FF22" s="289"/>
      <c r="FG22" s="289"/>
      <c r="FH22" s="289"/>
      <c r="FI22" s="289"/>
      <c r="FJ22" s="290"/>
    </row>
    <row r="23" spans="1:166" ht="15.75" thickBot="1" x14ac:dyDescent="0.3">
      <c r="A23" t="s">
        <v>0</v>
      </c>
      <c r="B23" s="52" t="str">
        <f>IF(csv!F13="","",csv!T13)</f>
        <v>M12</v>
      </c>
      <c r="C23" s="31" t="s">
        <v>0</v>
      </c>
      <c r="D23" s="31" t="str">
        <f>IF(csv!F13="","",csv!F13)</f>
        <v>Jakov</v>
      </c>
      <c r="E23" s="31" t="str">
        <f>IF(csv!E13="","",csv!E13)</f>
        <v>Boban</v>
      </c>
      <c r="F23" s="31" t="s">
        <v>0</v>
      </c>
      <c r="G23" s="73" t="str">
        <f>IF(csv!M13="","",csv!M13)</f>
        <v/>
      </c>
      <c r="H23" s="73" t="str">
        <f>IF(csv!N13="","",csv!N13)</f>
        <v>1</v>
      </c>
      <c r="I23" s="31" t="s">
        <v>0</v>
      </c>
      <c r="J23" s="31" t="str">
        <f>IF(csv!P13="","",csv!P13)</f>
        <v>OK MERZ CRO</v>
      </c>
      <c r="K23" s="31" t="str">
        <f>IF(csv!Q13="","",csv!Q13)</f>
        <v>OK Ivan Merz</v>
      </c>
      <c r="L23" s="31" t="s">
        <v>0</v>
      </c>
      <c r="M23" s="66" t="str">
        <f>IF(csv!R13="","",csv!R13)</f>
        <v>CRO</v>
      </c>
      <c r="N23" s="47" t="s">
        <v>0</v>
      </c>
      <c r="O23" s="246" t="str">
        <f t="shared" si="61"/>
        <v>ok</v>
      </c>
      <c r="P23" s="47"/>
      <c r="Q23" s="52" t="str">
        <f t="shared" si="62"/>
        <v>M12</v>
      </c>
      <c r="R23" s="73">
        <f>IF(Q23="","",IF(COUNTIF(Q$12:Q22,Q23)=0,R22+1,R22))</f>
        <v>1</v>
      </c>
      <c r="S23" s="73">
        <f t="shared" si="63"/>
        <v>112</v>
      </c>
      <c r="T23" s="73">
        <f t="shared" si="1"/>
        <v>22</v>
      </c>
      <c r="U23" s="66" t="str">
        <f t="shared" si="2"/>
        <v>M12 – Ž12</v>
      </c>
      <c r="V23" s="47" t="s">
        <v>0</v>
      </c>
      <c r="W23" s="222" t="str">
        <f t="shared" si="3"/>
        <v>M12</v>
      </c>
      <c r="X23" s="223">
        <f t="shared" si="4"/>
        <v>23</v>
      </c>
      <c r="Y23" s="47" t="s">
        <v>0</v>
      </c>
      <c r="Z23" s="52" t="str">
        <f t="shared" si="64"/>
        <v>CRO</v>
      </c>
      <c r="AA23" s="73">
        <f t="shared" si="5"/>
        <v>1</v>
      </c>
      <c r="AB23" s="31" t="str">
        <f t="shared" si="65"/>
        <v/>
      </c>
      <c r="AC23" s="66" t="str">
        <f>IF(AB23="","",MAX(AC$12:AC22)+1)</f>
        <v/>
      </c>
      <c r="AD23" s="47" t="s">
        <v>0</v>
      </c>
      <c r="AE23" s="125"/>
      <c r="AF23" s="47" t="s">
        <v>0</v>
      </c>
      <c r="AG23" s="19" t="str">
        <f t="shared" si="66"/>
        <v/>
      </c>
      <c r="AH23" s="47" t="s">
        <v>0</v>
      </c>
      <c r="AI23" s="143" t="str">
        <f t="shared" si="67"/>
        <v>CRO</v>
      </c>
      <c r="AJ23" s="47"/>
      <c r="AK23" s="52" t="str">
        <f t="shared" si="68"/>
        <v>Jakov</v>
      </c>
      <c r="AL23" s="31" t="str">
        <f t="shared" si="69"/>
        <v>Boban</v>
      </c>
      <c r="AM23" s="73">
        <f t="shared" si="70"/>
        <v>1342</v>
      </c>
      <c r="AN23" s="73" t="str">
        <f t="shared" si="71"/>
        <v/>
      </c>
      <c r="AO23" s="31" t="str">
        <f t="shared" si="8"/>
        <v>Jakov</v>
      </c>
      <c r="AP23" s="66" t="str">
        <f t="shared" si="9"/>
        <v>Boban</v>
      </c>
      <c r="AQ23" s="47" t="s">
        <v>0</v>
      </c>
      <c r="AR23" s="82" t="str">
        <f t="shared" si="72"/>
        <v/>
      </c>
      <c r="AS23" s="47" t="s">
        <v>0</v>
      </c>
      <c r="AT23" s="19" t="str">
        <f t="shared" si="73"/>
        <v/>
      </c>
      <c r="AU23" s="47" t="s">
        <v>0</v>
      </c>
      <c r="AV23" s="103"/>
      <c r="AW23" s="105"/>
      <c r="AX23" s="47" t="s">
        <v>0</v>
      </c>
      <c r="AY23" s="259" t="str">
        <f t="shared" si="102"/>
        <v/>
      </c>
      <c r="AZ23" s="47" t="s">
        <v>0</v>
      </c>
      <c r="BA23" s="52" t="str">
        <f t="shared" si="11"/>
        <v/>
      </c>
      <c r="BB23" s="73" t="str">
        <f>IF(AV23&amp;AW23="","",MAX(BB$12:BB22)+1)</f>
        <v/>
      </c>
      <c r="BC23" s="272" t="str">
        <f t="shared" si="12"/>
        <v/>
      </c>
      <c r="BD23" s="53" t="str">
        <f>IF(AND(AM23="NEMA",AN23="NEMA",OR(AV23&amp;AW23="",BC23="NEMA")),MAX(BD$12:BD22)+1,"")</f>
        <v/>
      </c>
      <c r="BE23" s="47" t="s">
        <v>0</v>
      </c>
      <c r="BF23" s="52" t="str">
        <f t="shared" si="74"/>
        <v>Jakov</v>
      </c>
      <c r="BG23" s="66" t="str">
        <f t="shared" si="75"/>
        <v>Boban</v>
      </c>
      <c r="BH23" s="47" t="s">
        <v>0</v>
      </c>
      <c r="BI23" s="52" t="str">
        <f t="shared" si="15"/>
        <v>OK MERZ CRO</v>
      </c>
      <c r="BJ23" s="31" t="str">
        <f t="shared" si="16"/>
        <v>OK Ivan Merz</v>
      </c>
      <c r="BK23" s="73" t="str">
        <f t="shared" si="17"/>
        <v/>
      </c>
      <c r="BL23" s="31" t="str" cm="1">
        <f t="array" ref="BL23">IF(BK23="",""&amp;BJ23,IF(BK23="NEMA",BJ23,INDEX(regKlub_naziv,MATCH(INDEX(regKlub_alias_klubId,BK23),regKlub_id,0))))</f>
        <v>OK Ivan Merz</v>
      </c>
      <c r="BM23" s="31" t="str" cm="1">
        <f t="array" ref="BM23">IFERROR(""&amp;INDEX(regNatjecatelj_klub,DV23),"")</f>
        <v>OK Ivan Merz</v>
      </c>
      <c r="BN23" s="73" t="str">
        <f t="shared" si="76"/>
        <v/>
      </c>
      <c r="BO23" s="66" t="str">
        <f t="shared" si="77"/>
        <v>OK Ivan Merz</v>
      </c>
      <c r="BP23" s="47" t="s">
        <v>0</v>
      </c>
      <c r="BQ23" s="52" t="str">
        <f>IF(X23&lt;&gt;"NEMA","",IF(IFERROR(MATCH(W23,W$12:W22,0),0)&lt;&gt;0,"",W23))</f>
        <v/>
      </c>
      <c r="BR23" s="73" t="str">
        <f t="shared" si="78"/>
        <v/>
      </c>
      <c r="BS23" s="31" t="str">
        <f>IF(OR(BR23="",BR23&lt;&gt;"NEMA"),"",MAX(BS$12:BS22)+1)</f>
        <v/>
      </c>
      <c r="BT23" s="66" t="str">
        <f t="shared" si="79"/>
        <v/>
      </c>
      <c r="BU23" s="47" t="s">
        <v>0</v>
      </c>
      <c r="BV23" s="19" t="str">
        <f t="shared" si="80"/>
        <v/>
      </c>
      <c r="BW23" s="47" t="s">
        <v>0</v>
      </c>
      <c r="BX23" s="82" t="str">
        <f>IF(BK23&lt;&gt;"NEMA","",IF(IFERROR(MATCH(BJ23,BJ$12:BJ22,0),0)&lt;&gt;0,"",BJ23))</f>
        <v/>
      </c>
      <c r="BY23" s="47" t="s">
        <v>0</v>
      </c>
      <c r="BZ23" s="125"/>
      <c r="CA23" s="47" t="s">
        <v>0</v>
      </c>
      <c r="CB23" s="58" t="str">
        <f t="shared" si="81"/>
        <v/>
      </c>
      <c r="CC23" s="31" t="str">
        <f t="shared" si="82"/>
        <v/>
      </c>
      <c r="CD23" s="31" t="str">
        <f>IF(CC23="","",MAX(CD$12:CD22)+1)</f>
        <v/>
      </c>
      <c r="CE23" s="31" t="str">
        <f t="shared" si="22"/>
        <v/>
      </c>
      <c r="CF23" s="31" t="str">
        <f t="shared" si="83"/>
        <v/>
      </c>
      <c r="CG23" s="31" t="str">
        <f>IF(BZ23="","",MAX(CG$12:CG22)+1)</f>
        <v/>
      </c>
      <c r="CH23" s="31" t="str">
        <f t="shared" si="84"/>
        <v/>
      </c>
      <c r="CI23" s="66" t="str">
        <f t="shared" si="85"/>
        <v/>
      </c>
      <c r="CJ23" s="47" t="s">
        <v>0</v>
      </c>
      <c r="CK23" s="73" t="str">
        <f t="shared" si="25"/>
        <v/>
      </c>
      <c r="CL23" s="47"/>
      <c r="CM23" s="19" t="str">
        <f t="shared" si="86"/>
        <v/>
      </c>
      <c r="CN23" s="47" t="s">
        <v>0</v>
      </c>
      <c r="CO23" s="143" t="str">
        <f t="shared" si="87"/>
        <v>OK Ivan Merz</v>
      </c>
      <c r="CP23" s="47" t="s">
        <v>0</v>
      </c>
      <c r="CQ23" s="58" t="str">
        <f t="shared" si="28"/>
        <v/>
      </c>
      <c r="CR23" s="73" t="str">
        <f t="shared" si="29"/>
        <v>1</v>
      </c>
      <c r="CS23" s="229" t="str">
        <f t="shared" si="30"/>
        <v/>
      </c>
      <c r="CT23" s="230" t="str">
        <f t="shared" si="88"/>
        <v/>
      </c>
      <c r="CU23" s="163">
        <f t="shared" si="32"/>
        <v>6</v>
      </c>
      <c r="CV23" s="47" t="s">
        <v>0</v>
      </c>
      <c r="CW23" s="222" t="str">
        <f t="shared" si="89"/>
        <v xml:space="preserve">
</v>
      </c>
      <c r="CX23" s="223" t="e">
        <f t="shared" si="90"/>
        <v>#N/A</v>
      </c>
      <c r="CY23" s="47" t="s">
        <v>0</v>
      </c>
      <c r="CZ23" s="47"/>
      <c r="DA23" s="47"/>
      <c r="DB23" s="47"/>
      <c r="DC23" s="47" t="s">
        <v>0</v>
      </c>
      <c r="DD23" s="53" t="str">
        <f t="shared" si="103"/>
        <v/>
      </c>
      <c r="DE23" t="s">
        <v>0</v>
      </c>
      <c r="DF23" s="128" t="str">
        <f t="shared" si="104"/>
        <v>M</v>
      </c>
      <c r="DG23" t="s">
        <v>0</v>
      </c>
      <c r="DH23" s="52" t="str">
        <f t="shared" si="105"/>
        <v/>
      </c>
      <c r="DI23" s="66" t="str">
        <f t="shared" si="106"/>
        <v/>
      </c>
      <c r="DJ23" t="s">
        <v>0</v>
      </c>
      <c r="DK23" s="19" t="str">
        <f t="shared" si="107"/>
        <v/>
      </c>
      <c r="DL23" s="47" t="s">
        <v>0</v>
      </c>
      <c r="DM23" s="19" t="str">
        <f t="shared" si="108"/>
        <v/>
      </c>
      <c r="DN23" s="47" t="s">
        <v>0</v>
      </c>
      <c r="DO23" s="52" t="str">
        <f t="shared" si="39"/>
        <v>Jakov – Boban – OK Ivan Merz – M12</v>
      </c>
      <c r="DP23" s="53" t="str">
        <f t="shared" si="40"/>
        <v>NEMA</v>
      </c>
      <c r="DQ23" s="47" t="s">
        <v>0</v>
      </c>
      <c r="DR23" s="52" t="str">
        <f t="shared" si="41"/>
        <v>Jakov – Boban – OK Ivan Merz</v>
      </c>
      <c r="DS23" s="53">
        <f t="shared" si="42"/>
        <v>35</v>
      </c>
      <c r="DT23" s="47" t="s">
        <v>0</v>
      </c>
      <c r="DU23" s="52" t="str">
        <f t="shared" si="43"/>
        <v>Jakov – Boban</v>
      </c>
      <c r="DV23" s="53">
        <f t="shared" si="44"/>
        <v>35</v>
      </c>
      <c r="DW23" s="47" t="s">
        <v>0</v>
      </c>
      <c r="DX23" s="58">
        <f t="shared" si="91"/>
        <v>35</v>
      </c>
      <c r="DY23" s="53" cm="1">
        <f t="array" ref="DY23">IF(DX23&lt;&gt;"",INDEX(regNatjecatelj_id,DX23,0),IF(BD23&lt;&gt;"",BD23,""))</f>
        <v>1342</v>
      </c>
      <c r="DZ23" s="47" t="s">
        <v>0</v>
      </c>
      <c r="EA23" s="58" t="str">
        <f t="shared" si="45"/>
        <v>imepre</v>
      </c>
      <c r="EB23" s="73" t="str">
        <f t="shared" si="46"/>
        <v>klu</v>
      </c>
      <c r="EC23" s="73" t="str">
        <f t="shared" si="47"/>
        <v>kat</v>
      </c>
      <c r="ED23" s="73" t="str">
        <f t="shared" si="48"/>
        <v/>
      </c>
      <c r="EE23" s="66" t="str">
        <f t="shared" si="49"/>
        <v>imepre-klu-kat</v>
      </c>
      <c r="EF23" s="47" t="s">
        <v>0</v>
      </c>
      <c r="EG23" s="58">
        <f>IF(AL23="","",MAX(EG$12:EG22)+1)</f>
        <v>201</v>
      </c>
      <c r="EH23" s="73">
        <f t="shared" si="50"/>
        <v>23</v>
      </c>
      <c r="EI23" s="73">
        <f t="shared" si="92"/>
        <v>1342</v>
      </c>
      <c r="EJ23" s="73" t="str">
        <f t="shared" si="51"/>
        <v/>
      </c>
      <c r="EK23" s="73">
        <f t="shared" si="52"/>
        <v>6</v>
      </c>
      <c r="EL23" s="73">
        <f t="shared" si="93"/>
        <v>0</v>
      </c>
      <c r="EM23" s="73">
        <f t="shared" si="94"/>
        <v>1</v>
      </c>
      <c r="EN23" s="73" t="str">
        <f t="shared" si="55"/>
        <v>1</v>
      </c>
      <c r="EO23" s="73" t="str">
        <f t="shared" si="56"/>
        <v/>
      </c>
      <c r="EP23" s="73" t="str">
        <f t="shared" si="57"/>
        <v/>
      </c>
      <c r="EQ23" s="53" t="str">
        <f t="shared" si="58"/>
        <v/>
      </c>
      <c r="ER23" s="47" t="s">
        <v>0</v>
      </c>
      <c r="ES23" s="19" t="str">
        <f t="shared" si="95"/>
        <v>INSERT INTO rezultat(id,stazakategorija_id,imeprezime_id,vrijeme_sec,status_id,registracija,uparivanje_id,originalstatus_id,imeprezimealias_id,klubalias_id,kategorijaalias_id) VALUES (201,23,1342,Null,6,0,1,1,Null,Null,Null);</v>
      </c>
      <c r="ET23" s="47" t="s">
        <v>0</v>
      </c>
      <c r="EU23" s="19" t="str">
        <f t="shared" si="96"/>
        <v/>
      </c>
      <c r="EV23" s="47" t="s">
        <v>0</v>
      </c>
      <c r="EW23" s="180" t="str">
        <f t="shared" si="60"/>
        <v xml:space="preserve">
INSERT INTO rezultat(id,stazakategorija_id,imeprezime_id,vrijeme_sec,status_id,registracija,uparivanje_id,originalstatus_id,imeprezimealias_id,klubalias_id,kategorijaalias_id) VALUES (201,23,1342,Null,6,0,1,1,Null,Null,Null);</v>
      </c>
      <c r="EX23" s="47" t="s">
        <v>0</v>
      </c>
      <c r="EY23" s="288" t="s">
        <v>226</v>
      </c>
      <c r="EZ23" s="289"/>
      <c r="FA23" s="289"/>
      <c r="FB23" s="289"/>
      <c r="FC23" s="289"/>
      <c r="FD23" s="289"/>
      <c r="FE23" s="289"/>
      <c r="FF23" s="289"/>
      <c r="FG23" s="289"/>
      <c r="FH23" s="289"/>
      <c r="FI23" s="289"/>
      <c r="FJ23" s="290"/>
    </row>
    <row r="24" spans="1:166" x14ac:dyDescent="0.25">
      <c r="A24" t="s">
        <v>0</v>
      </c>
      <c r="B24" s="52" t="str">
        <f>IF(csv!F14="","",csv!T14)</f>
        <v>M14</v>
      </c>
      <c r="C24" s="31" t="s">
        <v>0</v>
      </c>
      <c r="D24" s="31" t="str">
        <f>IF(csv!F14="","",csv!F14)</f>
        <v>Teo</v>
      </c>
      <c r="E24" s="31" t="str">
        <f>IF(csv!E14="","",csv!E14)</f>
        <v>Mahović</v>
      </c>
      <c r="F24" s="31" t="s">
        <v>0</v>
      </c>
      <c r="G24" s="73" t="str">
        <f>IF(csv!M14="","",csv!M14)</f>
        <v>28:31</v>
      </c>
      <c r="H24" s="73" t="str">
        <f>IF(csv!N14="","",csv!N14)</f>
        <v>0</v>
      </c>
      <c r="I24" s="31" t="s">
        <v>0</v>
      </c>
      <c r="J24" s="31" t="str">
        <f>IF(csv!P14="","",csv!P14)</f>
        <v>JAP</v>
      </c>
      <c r="K24" s="31" t="str">
        <f>IF(csv!Q14="","",csv!Q14)</f>
        <v>OK Japetic</v>
      </c>
      <c r="L24" s="31" t="s">
        <v>0</v>
      </c>
      <c r="M24" s="66" t="str">
        <f>IF(csv!R14="","",csv!R14)</f>
        <v>CRO</v>
      </c>
      <c r="N24" s="47" t="s">
        <v>0</v>
      </c>
      <c r="O24" s="246" t="str">
        <f t="shared" si="61"/>
        <v>ok</v>
      </c>
      <c r="P24" s="47"/>
      <c r="Q24" s="52" t="str">
        <f t="shared" si="62"/>
        <v>M14</v>
      </c>
      <c r="R24" s="73">
        <f>IF(Q24="","",IF(COUNTIF(Q$12:Q23,Q24)=0,R23+1,R23))</f>
        <v>2</v>
      </c>
      <c r="S24" s="73">
        <f t="shared" si="63"/>
        <v>111</v>
      </c>
      <c r="T24" s="73">
        <f t="shared" si="1"/>
        <v>21</v>
      </c>
      <c r="U24" s="66" t="str">
        <f t="shared" si="2"/>
        <v>M14 – Ž14</v>
      </c>
      <c r="V24" s="47" t="s">
        <v>0</v>
      </c>
      <c r="W24" s="222" t="str">
        <f t="shared" si="3"/>
        <v>M14</v>
      </c>
      <c r="X24" s="223">
        <f t="shared" si="4"/>
        <v>24</v>
      </c>
      <c r="Y24" s="47" t="s">
        <v>0</v>
      </c>
      <c r="Z24" s="52" t="str">
        <f t="shared" si="64"/>
        <v>CRO</v>
      </c>
      <c r="AA24" s="73">
        <f t="shared" si="5"/>
        <v>1</v>
      </c>
      <c r="AB24" s="31" t="str">
        <f t="shared" si="65"/>
        <v/>
      </c>
      <c r="AC24" s="66" t="str">
        <f>IF(AB24="","",MAX(AC$12:AC23)+1)</f>
        <v/>
      </c>
      <c r="AD24" s="47" t="s">
        <v>0</v>
      </c>
      <c r="AE24" s="125"/>
      <c r="AF24" s="47" t="s">
        <v>0</v>
      </c>
      <c r="AG24" s="19" t="str">
        <f t="shared" si="66"/>
        <v/>
      </c>
      <c r="AH24" s="47" t="s">
        <v>0</v>
      </c>
      <c r="AI24" s="143" t="str">
        <f t="shared" si="67"/>
        <v>CRO</v>
      </c>
      <c r="AJ24" s="47"/>
      <c r="AK24" s="52" t="str">
        <f t="shared" si="68"/>
        <v>Teo</v>
      </c>
      <c r="AL24" s="31" t="str">
        <f t="shared" si="69"/>
        <v>Mahović</v>
      </c>
      <c r="AM24" s="73">
        <f t="shared" si="70"/>
        <v>1095</v>
      </c>
      <c r="AN24" s="73" t="str">
        <f t="shared" si="71"/>
        <v/>
      </c>
      <c r="AO24" s="31" t="str">
        <f t="shared" si="8"/>
        <v>Teo</v>
      </c>
      <c r="AP24" s="66" t="str">
        <f t="shared" si="9"/>
        <v>Mahović</v>
      </c>
      <c r="AQ24" s="47" t="s">
        <v>0</v>
      </c>
      <c r="AR24" s="82" t="str">
        <f t="shared" si="72"/>
        <v/>
      </c>
      <c r="AS24" s="47" t="s">
        <v>0</v>
      </c>
      <c r="AT24" s="19" t="str">
        <f t="shared" si="73"/>
        <v/>
      </c>
      <c r="AU24" s="47" t="s">
        <v>0</v>
      </c>
      <c r="AV24" s="103"/>
      <c r="AW24" s="105"/>
      <c r="AX24" s="47" t="s">
        <v>0</v>
      </c>
      <c r="AY24" s="259" t="str">
        <f t="shared" si="102"/>
        <v/>
      </c>
      <c r="AZ24" s="47" t="s">
        <v>0</v>
      </c>
      <c r="BA24" s="52" t="str">
        <f t="shared" si="11"/>
        <v/>
      </c>
      <c r="BB24" s="73" t="str">
        <f>IF(AV24&amp;AW24="","",MAX(BB$12:BB23)+1)</f>
        <v/>
      </c>
      <c r="BC24" s="272" t="str">
        <f t="shared" si="12"/>
        <v/>
      </c>
      <c r="BD24" s="53" t="str">
        <f>IF(AND(AM24="NEMA",AN24="NEMA",OR(AV24&amp;AW24="",BC24="NEMA")),MAX(BD$12:BD23)+1,"")</f>
        <v/>
      </c>
      <c r="BE24" s="47" t="s">
        <v>0</v>
      </c>
      <c r="BF24" s="52" t="str">
        <f t="shared" si="74"/>
        <v>Teo</v>
      </c>
      <c r="BG24" s="66" t="str">
        <f t="shared" si="75"/>
        <v>Mahović</v>
      </c>
      <c r="BH24" s="47" t="s">
        <v>0</v>
      </c>
      <c r="BI24" s="52" t="str">
        <f t="shared" si="15"/>
        <v>JAP</v>
      </c>
      <c r="BJ24" s="31" t="str">
        <f t="shared" si="16"/>
        <v>OK Japetic</v>
      </c>
      <c r="BK24" s="73">
        <f t="shared" si="17"/>
        <v>1</v>
      </c>
      <c r="BL24" s="31" t="str" cm="1">
        <f t="array" ref="BL24">IF(BK24="",""&amp;BJ24,IF(BK24="NEMA",BJ24,INDEX(regKlub_naziv,MATCH(INDEX(regKlub_alias_klubId,BK24),regKlub_id,0))))</f>
        <v>OK Japetić</v>
      </c>
      <c r="BM24" s="31" t="str" cm="1">
        <f t="array" ref="BM24">IFERROR(""&amp;INDEX(regNatjecatelj_klub,DV24),"")</f>
        <v>OK Japetić</v>
      </c>
      <c r="BN24" s="73" t="str">
        <f t="shared" si="76"/>
        <v/>
      </c>
      <c r="BO24" s="66" t="str">
        <f t="shared" si="77"/>
        <v>OK Japetić</v>
      </c>
      <c r="BP24" s="47" t="s">
        <v>0</v>
      </c>
      <c r="BQ24" s="52" t="str">
        <f>IF(X24&lt;&gt;"NEMA","",IF(IFERROR(MATCH(W24,W$12:W23,0),0)&lt;&gt;0,"",W24))</f>
        <v/>
      </c>
      <c r="BR24" s="73" t="str">
        <f t="shared" si="78"/>
        <v/>
      </c>
      <c r="BS24" s="31" t="str">
        <f>IF(OR(BR24="",BR24&lt;&gt;"NEMA"),"",MAX(BS$12:BS23)+1)</f>
        <v/>
      </c>
      <c r="BT24" s="66" t="str">
        <f t="shared" si="79"/>
        <v/>
      </c>
      <c r="BU24" s="47" t="s">
        <v>0</v>
      </c>
      <c r="BV24" s="19" t="str">
        <f t="shared" si="80"/>
        <v/>
      </c>
      <c r="BW24" s="47" t="s">
        <v>0</v>
      </c>
      <c r="BX24" s="82" t="str">
        <f>IF(BK24&lt;&gt;"NEMA","",IF(IFERROR(MATCH(BJ24,BJ$12:BJ23,0),0)&lt;&gt;0,"",BJ24))</f>
        <v/>
      </c>
      <c r="BY24" s="47" t="s">
        <v>0</v>
      </c>
      <c r="BZ24" s="125"/>
      <c r="CA24" s="47" t="s">
        <v>0</v>
      </c>
      <c r="CB24" s="58" t="str">
        <f t="shared" si="81"/>
        <v/>
      </c>
      <c r="CC24" s="31" t="str">
        <f t="shared" si="82"/>
        <v/>
      </c>
      <c r="CD24" s="31" t="str">
        <f>IF(CC24="","",MAX(CD$12:CD23)+1)</f>
        <v/>
      </c>
      <c r="CE24" s="31" t="str">
        <f t="shared" si="22"/>
        <v/>
      </c>
      <c r="CF24" s="31" t="str">
        <f t="shared" si="83"/>
        <v/>
      </c>
      <c r="CG24" s="31" t="str">
        <f>IF(BZ24="","",MAX(CG$12:CG23)+1)</f>
        <v/>
      </c>
      <c r="CH24" s="31" t="str">
        <f t="shared" si="84"/>
        <v/>
      </c>
      <c r="CI24" s="66" t="str">
        <f t="shared" si="85"/>
        <v/>
      </c>
      <c r="CJ24" s="47" t="s">
        <v>0</v>
      </c>
      <c r="CK24" s="73" t="str">
        <f t="shared" si="25"/>
        <v/>
      </c>
      <c r="CL24" s="47"/>
      <c r="CM24" s="19" t="str">
        <f t="shared" si="86"/>
        <v/>
      </c>
      <c r="CN24" s="47" t="s">
        <v>0</v>
      </c>
      <c r="CO24" s="143" t="str">
        <f t="shared" si="87"/>
        <v>OK Japetić</v>
      </c>
      <c r="CP24" s="47" t="s">
        <v>0</v>
      </c>
      <c r="CQ24" s="58" t="str">
        <f t="shared" si="28"/>
        <v>28:31</v>
      </c>
      <c r="CR24" s="73" t="str">
        <f t="shared" si="29"/>
        <v>0</v>
      </c>
      <c r="CS24" s="229" t="str">
        <f t="shared" si="30"/>
        <v/>
      </c>
      <c r="CT24" s="230">
        <f t="shared" si="88"/>
        <v>1711</v>
      </c>
      <c r="CU24" s="163">
        <f t="shared" si="32"/>
        <v>1</v>
      </c>
      <c r="CV24" s="47" t="s">
        <v>0</v>
      </c>
      <c r="CW24" s="222" t="str">
        <f t="shared" si="89"/>
        <v xml:space="preserve">
</v>
      </c>
      <c r="CX24" s="223">
        <f t="shared" si="90"/>
        <v>6</v>
      </c>
      <c r="CY24" s="47" t="s">
        <v>0</v>
      </c>
      <c r="CZ24" s="47"/>
      <c r="DA24" s="47"/>
      <c r="DB24" s="47"/>
      <c r="DC24" s="47" t="s">
        <v>0</v>
      </c>
      <c r="DD24" s="53" t="str">
        <f t="shared" si="103"/>
        <v/>
      </c>
      <c r="DE24" t="s">
        <v>0</v>
      </c>
      <c r="DF24" s="128" t="str">
        <f t="shared" si="104"/>
        <v>M</v>
      </c>
      <c r="DG24" t="s">
        <v>0</v>
      </c>
      <c r="DH24" s="52" t="str">
        <f t="shared" si="105"/>
        <v/>
      </c>
      <c r="DI24" s="66" t="str">
        <f t="shared" si="106"/>
        <v/>
      </c>
      <c r="DJ24" t="s">
        <v>0</v>
      </c>
      <c r="DK24" s="19" t="str">
        <f t="shared" si="107"/>
        <v/>
      </c>
      <c r="DL24" s="47" t="s">
        <v>0</v>
      </c>
      <c r="DM24" s="19" t="str">
        <f t="shared" si="108"/>
        <v/>
      </c>
      <c r="DN24" s="47" t="s">
        <v>0</v>
      </c>
      <c r="DO24" s="52" t="str">
        <f t="shared" si="39"/>
        <v>Teo – Mahović – OK Japetić – M14</v>
      </c>
      <c r="DP24" s="53">
        <f t="shared" si="40"/>
        <v>110</v>
      </c>
      <c r="DQ24" s="47" t="s">
        <v>0</v>
      </c>
      <c r="DR24" s="52" t="str">
        <f t="shared" si="41"/>
        <v>Teo – Mahović – OK Japetić</v>
      </c>
      <c r="DS24" s="53">
        <f t="shared" si="42"/>
        <v>110</v>
      </c>
      <c r="DT24" s="47" t="s">
        <v>0</v>
      </c>
      <c r="DU24" s="52" t="str">
        <f t="shared" si="43"/>
        <v>Teo – Mahović</v>
      </c>
      <c r="DV24" s="53">
        <f t="shared" si="44"/>
        <v>110</v>
      </c>
      <c r="DW24" s="47" t="s">
        <v>0</v>
      </c>
      <c r="DX24" s="58">
        <f t="shared" si="91"/>
        <v>110</v>
      </c>
      <c r="DY24" s="53" cm="1">
        <f t="array" ref="DY24">IF(DX24&lt;&gt;"",INDEX(regNatjecatelj_id,DX24,0),IF(BD24&lt;&gt;"",BD24,""))</f>
        <v>1095</v>
      </c>
      <c r="DZ24" s="47" t="s">
        <v>0</v>
      </c>
      <c r="EA24" s="58" t="str">
        <f t="shared" si="45"/>
        <v>imepre</v>
      </c>
      <c r="EB24" s="73" t="str">
        <f t="shared" si="46"/>
        <v>klu(ali)</v>
      </c>
      <c r="EC24" s="73" t="str">
        <f t="shared" si="47"/>
        <v>kat</v>
      </c>
      <c r="ED24" s="73" t="str">
        <f t="shared" si="48"/>
        <v/>
      </c>
      <c r="EE24" s="66" t="str">
        <f t="shared" si="49"/>
        <v>imepre-klu(ali)-kat</v>
      </c>
      <c r="EF24" s="47" t="s">
        <v>0</v>
      </c>
      <c r="EG24" s="58">
        <f>IF(AL24="","",MAX(EG$12:EG23)+1)</f>
        <v>202</v>
      </c>
      <c r="EH24" s="73">
        <f t="shared" si="50"/>
        <v>24</v>
      </c>
      <c r="EI24" s="73">
        <f t="shared" si="92"/>
        <v>1095</v>
      </c>
      <c r="EJ24" s="73">
        <f t="shared" si="51"/>
        <v>1711</v>
      </c>
      <c r="EK24" s="73">
        <f t="shared" si="52"/>
        <v>1</v>
      </c>
      <c r="EL24" s="73">
        <f t="shared" si="93"/>
        <v>1</v>
      </c>
      <c r="EM24" s="73">
        <f t="shared" si="94"/>
        <v>3</v>
      </c>
      <c r="EN24" s="73" t="str">
        <f t="shared" si="55"/>
        <v>0</v>
      </c>
      <c r="EO24" s="73" t="str">
        <f t="shared" si="56"/>
        <v/>
      </c>
      <c r="EP24" s="73">
        <f t="shared" si="57"/>
        <v>1</v>
      </c>
      <c r="EQ24" s="53" t="str">
        <f t="shared" si="58"/>
        <v/>
      </c>
      <c r="ER24" s="47" t="s">
        <v>0</v>
      </c>
      <c r="ES24" s="19" t="str">
        <f t="shared" si="95"/>
        <v>INSERT INTO rezultat(id,stazakategorija_id,imeprezime_id,vrijeme_sec,status_id,registracija,uparivanje_id,originalstatus_id,imeprezimealias_id,klubalias_id,kategorijaalias_id) VALUES (202,24,1095,1711,1,1,3,0,Null,1,Null);</v>
      </c>
      <c r="ET24" s="47" t="s">
        <v>0</v>
      </c>
      <c r="EU24" s="19" t="str">
        <f t="shared" si="96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4" s="47" t="s">
        <v>0</v>
      </c>
      <c r="EW24" s="180" t="str">
        <f t="shared" si="60"/>
        <v xml:space="preserve">
INSERT INTO rezultat(id,stazakategorija_id,imeprezime_id,vrijeme_sec,status_id,registracija,uparivanje_id,originalstatus_id,imeprezimealias_id,klubalias_id,kategorijaalias_id) VALUES (202,24,1095,1711,1,1,3,0,Null,1,Null);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4" s="47" t="s">
        <v>0</v>
      </c>
    </row>
    <row r="25" spans="1:166" x14ac:dyDescent="0.25">
      <c r="A25" t="s">
        <v>0</v>
      </c>
      <c r="B25" s="52" t="str">
        <f>IF(csv!F15="","",csv!T15)</f>
        <v>M14</v>
      </c>
      <c r="C25" s="31" t="s">
        <v>0</v>
      </c>
      <c r="D25" s="31" t="str">
        <f>IF(csv!F15="","",csv!F15)</f>
        <v>Luka</v>
      </c>
      <c r="E25" s="31" t="str">
        <f>IF(csv!E15="","",csv!E15)</f>
        <v>Gojmerac</v>
      </c>
      <c r="F25" s="31" t="s">
        <v>0</v>
      </c>
      <c r="G25" s="73" t="str">
        <f>IF(csv!M15="","",csv!M15)</f>
        <v>34:54</v>
      </c>
      <c r="H25" s="73" t="str">
        <f>IF(csv!N15="","",csv!N15)</f>
        <v>0</v>
      </c>
      <c r="I25" s="31" t="s">
        <v>0</v>
      </c>
      <c r="J25" s="31" t="str">
        <f>IF(csv!P15="","",csv!P15)</f>
        <v>OK MERZ CRO</v>
      </c>
      <c r="K25" s="31" t="str">
        <f>IF(csv!Q15="","",csv!Q15)</f>
        <v>OK Ivan Merz</v>
      </c>
      <c r="L25" s="31" t="s">
        <v>0</v>
      </c>
      <c r="M25" s="66" t="str">
        <f>IF(csv!R15="","",csv!R15)</f>
        <v>CRO</v>
      </c>
      <c r="N25" s="47" t="s">
        <v>0</v>
      </c>
      <c r="O25" s="246" t="str">
        <f t="shared" si="61"/>
        <v>ok</v>
      </c>
      <c r="P25" s="47"/>
      <c r="Q25" s="52" t="str">
        <f t="shared" si="62"/>
        <v>M14</v>
      </c>
      <c r="R25" s="73">
        <f>IF(Q25="","",IF(COUNTIF(Q$12:Q24,Q25)=0,R24+1,R24))</f>
        <v>2</v>
      </c>
      <c r="S25" s="73">
        <f t="shared" si="63"/>
        <v>111</v>
      </c>
      <c r="T25" s="73">
        <f t="shared" si="1"/>
        <v>21</v>
      </c>
      <c r="U25" s="66" t="str">
        <f t="shared" si="2"/>
        <v>M14 – Ž14</v>
      </c>
      <c r="V25" s="47" t="s">
        <v>0</v>
      </c>
      <c r="W25" s="222" t="str">
        <f t="shared" si="3"/>
        <v>M14</v>
      </c>
      <c r="X25" s="223">
        <f t="shared" si="4"/>
        <v>24</v>
      </c>
      <c r="Y25" s="47" t="s">
        <v>0</v>
      </c>
      <c r="Z25" s="52" t="str">
        <f t="shared" si="64"/>
        <v>CRO</v>
      </c>
      <c r="AA25" s="73">
        <f t="shared" si="5"/>
        <v>1</v>
      </c>
      <c r="AB25" s="31" t="str">
        <f t="shared" si="65"/>
        <v/>
      </c>
      <c r="AC25" s="66" t="str">
        <f>IF(AB25="","",MAX(AC$12:AC24)+1)</f>
        <v/>
      </c>
      <c r="AD25" s="47" t="s">
        <v>0</v>
      </c>
      <c r="AE25" s="125"/>
      <c r="AF25" s="47" t="s">
        <v>0</v>
      </c>
      <c r="AG25" s="19" t="str">
        <f t="shared" si="66"/>
        <v/>
      </c>
      <c r="AH25" s="47" t="s">
        <v>0</v>
      </c>
      <c r="AI25" s="143" t="str">
        <f t="shared" si="67"/>
        <v>CRO</v>
      </c>
      <c r="AJ25" s="47"/>
      <c r="AK25" s="52" t="str">
        <f t="shared" si="68"/>
        <v>Luka</v>
      </c>
      <c r="AL25" s="31" t="str">
        <f t="shared" si="69"/>
        <v>Gojmerac</v>
      </c>
      <c r="AM25" s="73">
        <f t="shared" si="70"/>
        <v>1285</v>
      </c>
      <c r="AN25" s="73" t="str">
        <f t="shared" si="71"/>
        <v/>
      </c>
      <c r="AO25" s="31" t="str">
        <f t="shared" si="8"/>
        <v>Luka</v>
      </c>
      <c r="AP25" s="66" t="str">
        <f t="shared" si="9"/>
        <v>Gojmerac</v>
      </c>
      <c r="AQ25" s="47" t="s">
        <v>0</v>
      </c>
      <c r="AR25" s="82" t="str">
        <f t="shared" si="72"/>
        <v/>
      </c>
      <c r="AS25" s="47" t="s">
        <v>0</v>
      </c>
      <c r="AT25" s="19" t="str">
        <f t="shared" si="73"/>
        <v/>
      </c>
      <c r="AU25" s="47" t="s">
        <v>0</v>
      </c>
      <c r="AV25" s="103"/>
      <c r="AW25" s="105"/>
      <c r="AX25" s="47" t="s">
        <v>0</v>
      </c>
      <c r="AY25" s="259" t="str">
        <f t="shared" si="102"/>
        <v/>
      </c>
      <c r="AZ25" s="47" t="s">
        <v>0</v>
      </c>
      <c r="BA25" s="52" t="str">
        <f t="shared" si="11"/>
        <v/>
      </c>
      <c r="BB25" s="73" t="str">
        <f>IF(AV25&amp;AW25="","",MAX(BB$12:BB24)+1)</f>
        <v/>
      </c>
      <c r="BC25" s="272" t="str">
        <f t="shared" si="12"/>
        <v/>
      </c>
      <c r="BD25" s="53" t="str">
        <f>IF(AND(AM25="NEMA",AN25="NEMA",OR(AV25&amp;AW25="",BC25="NEMA")),MAX(BD$12:BD24)+1,"")</f>
        <v/>
      </c>
      <c r="BE25" s="47" t="s">
        <v>0</v>
      </c>
      <c r="BF25" s="52" t="str">
        <f t="shared" si="74"/>
        <v>Luka</v>
      </c>
      <c r="BG25" s="66" t="str">
        <f t="shared" si="75"/>
        <v>Gojmerac</v>
      </c>
      <c r="BH25" s="47" t="s">
        <v>0</v>
      </c>
      <c r="BI25" s="52" t="str">
        <f t="shared" si="15"/>
        <v>OK MERZ CRO</v>
      </c>
      <c r="BJ25" s="31" t="str">
        <f t="shared" si="16"/>
        <v>OK Ivan Merz</v>
      </c>
      <c r="BK25" s="73" t="str">
        <f t="shared" si="17"/>
        <v/>
      </c>
      <c r="BL25" s="31" t="str" cm="1">
        <f t="array" ref="BL25">IF(BK25="",""&amp;BJ25,IF(BK25="NEMA",BJ25,INDEX(regKlub_naziv,MATCH(INDEX(regKlub_alias_klubId,BK25),regKlub_id,0))))</f>
        <v>OK Ivan Merz</v>
      </c>
      <c r="BM25" s="31" t="str" cm="1">
        <f t="array" ref="BM25">IFERROR(""&amp;INDEX(regNatjecatelj_klub,DV25),"")</f>
        <v>OK Ivan Merz</v>
      </c>
      <c r="BN25" s="73" t="str">
        <f t="shared" si="76"/>
        <v/>
      </c>
      <c r="BO25" s="66" t="str">
        <f t="shared" si="77"/>
        <v>OK Ivan Merz</v>
      </c>
      <c r="BP25" s="47" t="s">
        <v>0</v>
      </c>
      <c r="BQ25" s="52" t="str">
        <f>IF(X25&lt;&gt;"NEMA","",IF(IFERROR(MATCH(W25,W$12:W24,0),0)&lt;&gt;0,"",W25))</f>
        <v/>
      </c>
      <c r="BR25" s="73" t="str">
        <f t="shared" si="78"/>
        <v/>
      </c>
      <c r="BS25" s="31" t="str">
        <f>IF(OR(BR25="",BR25&lt;&gt;"NEMA"),"",MAX(BS$12:BS24)+1)</f>
        <v/>
      </c>
      <c r="BT25" s="66" t="str">
        <f t="shared" si="79"/>
        <v/>
      </c>
      <c r="BU25" s="47" t="s">
        <v>0</v>
      </c>
      <c r="BV25" s="19" t="str">
        <f t="shared" si="80"/>
        <v/>
      </c>
      <c r="BW25" s="47" t="s">
        <v>0</v>
      </c>
      <c r="BX25" s="82" t="str">
        <f>IF(BK25&lt;&gt;"NEMA","",IF(IFERROR(MATCH(BJ25,BJ$12:BJ24,0),0)&lt;&gt;0,"",BJ25))</f>
        <v/>
      </c>
      <c r="BY25" s="47" t="s">
        <v>0</v>
      </c>
      <c r="BZ25" s="125"/>
      <c r="CA25" s="47" t="s">
        <v>0</v>
      </c>
      <c r="CB25" s="58" t="str">
        <f t="shared" si="81"/>
        <v/>
      </c>
      <c r="CC25" s="31" t="str">
        <f t="shared" si="82"/>
        <v/>
      </c>
      <c r="CD25" s="31" t="str">
        <f>IF(CC25="","",MAX(CD$12:CD24)+1)</f>
        <v/>
      </c>
      <c r="CE25" s="31" t="str">
        <f t="shared" si="22"/>
        <v/>
      </c>
      <c r="CF25" s="31" t="str">
        <f t="shared" si="83"/>
        <v/>
      </c>
      <c r="CG25" s="31" t="str">
        <f>IF(BZ25="","",MAX(CG$12:CG24)+1)</f>
        <v/>
      </c>
      <c r="CH25" s="31" t="str">
        <f t="shared" si="84"/>
        <v/>
      </c>
      <c r="CI25" s="66" t="str">
        <f t="shared" si="85"/>
        <v/>
      </c>
      <c r="CJ25" s="47" t="s">
        <v>0</v>
      </c>
      <c r="CK25" s="73" t="str">
        <f t="shared" si="25"/>
        <v/>
      </c>
      <c r="CL25" s="47"/>
      <c r="CM25" s="19" t="str">
        <f t="shared" si="86"/>
        <v/>
      </c>
      <c r="CN25" s="47" t="s">
        <v>0</v>
      </c>
      <c r="CO25" s="143" t="str">
        <f t="shared" si="87"/>
        <v>OK Ivan Merz</v>
      </c>
      <c r="CP25" s="47" t="s">
        <v>0</v>
      </c>
      <c r="CQ25" s="58" t="str">
        <f t="shared" si="28"/>
        <v>34:54</v>
      </c>
      <c r="CR25" s="73" t="str">
        <f t="shared" si="29"/>
        <v>0</v>
      </c>
      <c r="CS25" s="229" t="str">
        <f t="shared" si="30"/>
        <v/>
      </c>
      <c r="CT25" s="230">
        <f t="shared" si="88"/>
        <v>2094</v>
      </c>
      <c r="CU25" s="163">
        <f t="shared" si="32"/>
        <v>1</v>
      </c>
      <c r="CV25" s="47" t="s">
        <v>0</v>
      </c>
      <c r="CW25" s="222" t="str">
        <f t="shared" si="89"/>
        <v xml:space="preserve">
</v>
      </c>
      <c r="CX25" s="223">
        <f t="shared" si="90"/>
        <v>6</v>
      </c>
      <c r="CY25" s="47" t="s">
        <v>0</v>
      </c>
      <c r="CZ25" s="47"/>
      <c r="DA25" s="47"/>
      <c r="DB25" s="47"/>
      <c r="DC25" s="47" t="s">
        <v>0</v>
      </c>
      <c r="DD25" s="53" t="str">
        <f t="shared" si="103"/>
        <v/>
      </c>
      <c r="DE25" t="s">
        <v>0</v>
      </c>
      <c r="DF25" s="128" t="str">
        <f t="shared" si="104"/>
        <v>M</v>
      </c>
      <c r="DG25" t="s">
        <v>0</v>
      </c>
      <c r="DH25" s="52" t="str">
        <f t="shared" si="105"/>
        <v/>
      </c>
      <c r="DI25" s="66" t="str">
        <f t="shared" si="106"/>
        <v/>
      </c>
      <c r="DJ25" t="s">
        <v>0</v>
      </c>
      <c r="DK25" s="19" t="str">
        <f t="shared" si="107"/>
        <v/>
      </c>
      <c r="DL25" s="47" t="s">
        <v>0</v>
      </c>
      <c r="DM25" s="19" t="str">
        <f t="shared" si="108"/>
        <v/>
      </c>
      <c r="DN25" s="47" t="s">
        <v>0</v>
      </c>
      <c r="DO25" s="52" t="str">
        <f t="shared" si="39"/>
        <v>Luka – Gojmerac – OK Ivan Merz – M14</v>
      </c>
      <c r="DP25" s="53">
        <f t="shared" si="40"/>
        <v>42</v>
      </c>
      <c r="DQ25" s="47" t="s">
        <v>0</v>
      </c>
      <c r="DR25" s="52" t="str">
        <f t="shared" si="41"/>
        <v>Luka – Gojmerac – OK Ivan Merz</v>
      </c>
      <c r="DS25" s="53">
        <f t="shared" si="42"/>
        <v>42</v>
      </c>
      <c r="DT25" s="47" t="s">
        <v>0</v>
      </c>
      <c r="DU25" s="52" t="str">
        <f t="shared" si="43"/>
        <v>Luka – Gojmerac</v>
      </c>
      <c r="DV25" s="53">
        <f t="shared" si="44"/>
        <v>42</v>
      </c>
      <c r="DW25" s="47" t="s">
        <v>0</v>
      </c>
      <c r="DX25" s="58">
        <f t="shared" si="91"/>
        <v>42</v>
      </c>
      <c r="DY25" s="53" cm="1">
        <f t="array" ref="DY25">IF(DX25&lt;&gt;"",INDEX(regNatjecatelj_id,DX25,0),IF(BD25&lt;&gt;"",BD25,""))</f>
        <v>1285</v>
      </c>
      <c r="DZ25" s="47" t="s">
        <v>0</v>
      </c>
      <c r="EA25" s="58" t="str">
        <f t="shared" si="45"/>
        <v>imepre</v>
      </c>
      <c r="EB25" s="73" t="str">
        <f t="shared" si="46"/>
        <v>klu</v>
      </c>
      <c r="EC25" s="73" t="str">
        <f t="shared" si="47"/>
        <v>kat</v>
      </c>
      <c r="ED25" s="73" t="str">
        <f t="shared" si="48"/>
        <v/>
      </c>
      <c r="EE25" s="66" t="str">
        <f t="shared" si="49"/>
        <v>imepre-klu-kat</v>
      </c>
      <c r="EF25" s="47" t="s">
        <v>0</v>
      </c>
      <c r="EG25" s="58">
        <f>IF(AL25="","",MAX(EG$12:EG24)+1)</f>
        <v>203</v>
      </c>
      <c r="EH25" s="73">
        <f t="shared" si="50"/>
        <v>24</v>
      </c>
      <c r="EI25" s="73">
        <f t="shared" si="92"/>
        <v>1285</v>
      </c>
      <c r="EJ25" s="73">
        <f t="shared" si="51"/>
        <v>2094</v>
      </c>
      <c r="EK25" s="73">
        <f t="shared" si="52"/>
        <v>1</v>
      </c>
      <c r="EL25" s="73">
        <f t="shared" si="93"/>
        <v>1</v>
      </c>
      <c r="EM25" s="73">
        <f t="shared" si="94"/>
        <v>1</v>
      </c>
      <c r="EN25" s="73" t="str">
        <f t="shared" si="55"/>
        <v>0</v>
      </c>
      <c r="EO25" s="73" t="str">
        <f t="shared" si="56"/>
        <v/>
      </c>
      <c r="EP25" s="73" t="str">
        <f t="shared" si="57"/>
        <v/>
      </c>
      <c r="EQ25" s="53" t="str">
        <f t="shared" si="58"/>
        <v/>
      </c>
      <c r="ER25" s="47" t="s">
        <v>0</v>
      </c>
      <c r="ES25" s="19" t="str">
        <f t="shared" si="95"/>
        <v>INSERT INTO rezultat(id,stazakategorija_id,imeprezime_id,vrijeme_sec,status_id,registracija,uparivanje_id,originalstatus_id,imeprezimealias_id,klubalias_id,kategorijaalias_id) VALUES (203,24,1285,2094,1,1,1,0,Null,Null,Null);</v>
      </c>
      <c r="ET25" s="47" t="s">
        <v>0</v>
      </c>
      <c r="EU25" s="19" t="str">
        <f t="shared" si="96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5" s="47" t="s">
        <v>0</v>
      </c>
      <c r="EW25" s="180" t="str">
        <f t="shared" si="60"/>
        <v xml:space="preserve">
INSERT INTO rezultat(id,stazakategorija_id,imeprezime_id,vrijeme_sec,status_id,registracija,uparivanje_id,originalstatus_id,imeprezimealias_id,klubalias_id,kategorijaalias_id) VALUES (203,24,1285,2094,1,1,1,0,Null,Null,Null);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5" s="47" t="s">
        <v>0</v>
      </c>
    </row>
    <row r="26" spans="1:166" x14ac:dyDescent="0.25">
      <c r="A26" t="s">
        <v>0</v>
      </c>
      <c r="B26" s="52" t="str">
        <f>IF(csv!F16="","",csv!T16)</f>
        <v>M14</v>
      </c>
      <c r="C26" s="31" t="s">
        <v>0</v>
      </c>
      <c r="D26" s="31" t="str">
        <f>IF(csv!F16="","",csv!F16)</f>
        <v>Martin</v>
      </c>
      <c r="E26" s="31" t="str">
        <f>IF(csv!E16="","",csv!E16)</f>
        <v>Meštrović</v>
      </c>
      <c r="F26" s="31" t="s">
        <v>0</v>
      </c>
      <c r="G26" s="73" t="str">
        <f>IF(csv!M16="","",csv!M16)</f>
        <v>54:04</v>
      </c>
      <c r="H26" s="73" t="str">
        <f>IF(csv!N16="","",csv!N16)</f>
        <v>0</v>
      </c>
      <c r="I26" s="31" t="s">
        <v>0</v>
      </c>
      <c r="J26" s="31" t="str">
        <f>IF(csv!P16="","",csv!P16)</f>
        <v>KAP</v>
      </c>
      <c r="K26" s="31" t="str">
        <f>IF(csv!Q16="","",csv!Q16)</f>
        <v>OK Kapela</v>
      </c>
      <c r="L26" s="31" t="s">
        <v>0</v>
      </c>
      <c r="M26" s="66" t="str">
        <f>IF(csv!R16="","",csv!R16)</f>
        <v>CRO</v>
      </c>
      <c r="N26" s="47" t="s">
        <v>0</v>
      </c>
      <c r="O26" s="246" t="str">
        <f t="shared" si="61"/>
        <v>ok</v>
      </c>
      <c r="P26" s="47"/>
      <c r="Q26" s="52" t="str">
        <f t="shared" si="62"/>
        <v>M14</v>
      </c>
      <c r="R26" s="73">
        <f>IF(Q26="","",IF(COUNTIF(Q$12:Q25,Q26)=0,R25+1,R25))</f>
        <v>2</v>
      </c>
      <c r="S26" s="73">
        <f t="shared" si="63"/>
        <v>111</v>
      </c>
      <c r="T26" s="73">
        <f t="shared" si="1"/>
        <v>21</v>
      </c>
      <c r="U26" s="66" t="str">
        <f t="shared" si="2"/>
        <v>M14 – Ž14</v>
      </c>
      <c r="V26" s="47" t="s">
        <v>0</v>
      </c>
      <c r="W26" s="222" t="str">
        <f t="shared" si="3"/>
        <v>M14</v>
      </c>
      <c r="X26" s="223">
        <f t="shared" si="4"/>
        <v>24</v>
      </c>
      <c r="Y26" s="47" t="s">
        <v>0</v>
      </c>
      <c r="Z26" s="52" t="str">
        <f t="shared" si="64"/>
        <v>CRO</v>
      </c>
      <c r="AA26" s="73">
        <f t="shared" si="5"/>
        <v>1</v>
      </c>
      <c r="AB26" s="31" t="str">
        <f t="shared" si="65"/>
        <v/>
      </c>
      <c r="AC26" s="66" t="str">
        <f>IF(AB26="","",MAX(AC$12:AC25)+1)</f>
        <v/>
      </c>
      <c r="AD26" s="47" t="s">
        <v>0</v>
      </c>
      <c r="AE26" s="125"/>
      <c r="AF26" s="47" t="s">
        <v>0</v>
      </c>
      <c r="AG26" s="19" t="str">
        <f t="shared" si="66"/>
        <v/>
      </c>
      <c r="AH26" s="47" t="s">
        <v>0</v>
      </c>
      <c r="AI26" s="143" t="str">
        <f t="shared" si="67"/>
        <v>CRO</v>
      </c>
      <c r="AJ26" s="47"/>
      <c r="AK26" s="52" t="str">
        <f t="shared" si="68"/>
        <v>Martin</v>
      </c>
      <c r="AL26" s="31" t="str">
        <f t="shared" si="69"/>
        <v>Meštrović</v>
      </c>
      <c r="AM26" s="73">
        <f t="shared" si="70"/>
        <v>1108</v>
      </c>
      <c r="AN26" s="73" t="str">
        <f t="shared" si="71"/>
        <v/>
      </c>
      <c r="AO26" s="31" t="str">
        <f t="shared" si="8"/>
        <v>Martin</v>
      </c>
      <c r="AP26" s="66" t="str">
        <f t="shared" si="9"/>
        <v>Meštrović</v>
      </c>
      <c r="AQ26" s="47" t="s">
        <v>0</v>
      </c>
      <c r="AR26" s="82" t="str">
        <f t="shared" si="72"/>
        <v/>
      </c>
      <c r="AS26" s="47" t="s">
        <v>0</v>
      </c>
      <c r="AT26" s="19" t="str">
        <f t="shared" si="73"/>
        <v/>
      </c>
      <c r="AU26" s="47" t="s">
        <v>0</v>
      </c>
      <c r="AV26" s="103"/>
      <c r="AW26" s="105"/>
      <c r="AX26" s="47" t="s">
        <v>0</v>
      </c>
      <c r="AY26" s="259" t="str">
        <f t="shared" si="102"/>
        <v/>
      </c>
      <c r="AZ26" s="47" t="s">
        <v>0</v>
      </c>
      <c r="BA26" s="52" t="str">
        <f t="shared" si="11"/>
        <v/>
      </c>
      <c r="BB26" s="73" t="str">
        <f>IF(AV26&amp;AW26="","",MAX(BB$12:BB25)+1)</f>
        <v/>
      </c>
      <c r="BC26" s="272" t="str">
        <f t="shared" si="12"/>
        <v/>
      </c>
      <c r="BD26" s="53" t="str">
        <f>IF(AND(AM26="NEMA",AN26="NEMA",OR(AV26&amp;AW26="",BC26="NEMA")),MAX(BD$12:BD25)+1,"")</f>
        <v/>
      </c>
      <c r="BE26" s="47" t="s">
        <v>0</v>
      </c>
      <c r="BF26" s="52" t="str">
        <f t="shared" si="74"/>
        <v>Martin</v>
      </c>
      <c r="BG26" s="66" t="str">
        <f t="shared" si="75"/>
        <v>Meštrović</v>
      </c>
      <c r="BH26" s="47" t="s">
        <v>0</v>
      </c>
      <c r="BI26" s="52" t="str">
        <f t="shared" si="15"/>
        <v>KAP</v>
      </c>
      <c r="BJ26" s="31" t="str">
        <f t="shared" si="16"/>
        <v>OK Kapela</v>
      </c>
      <c r="BK26" s="73" t="str">
        <f t="shared" si="17"/>
        <v/>
      </c>
      <c r="BL26" s="31" t="str" cm="1">
        <f t="array" ref="BL26">IF(BK26="",""&amp;BJ26,IF(BK26="NEMA",BJ26,INDEX(regKlub_naziv,MATCH(INDEX(regKlub_alias_klubId,BK26),regKlub_id,0))))</f>
        <v>OK Kapela</v>
      </c>
      <c r="BM26" s="31" t="str" cm="1">
        <f t="array" ref="BM26">IFERROR(""&amp;INDEX(regNatjecatelj_klub,DV26),"")</f>
        <v>OK Kapela</v>
      </c>
      <c r="BN26" s="73" t="str">
        <f t="shared" si="76"/>
        <v/>
      </c>
      <c r="BO26" s="66" t="str">
        <f t="shared" si="77"/>
        <v>OK Kapela</v>
      </c>
      <c r="BP26" s="47" t="s">
        <v>0</v>
      </c>
      <c r="BQ26" s="52" t="str">
        <f>IF(X26&lt;&gt;"NEMA","",IF(IFERROR(MATCH(W26,W$12:W25,0),0)&lt;&gt;0,"",W26))</f>
        <v/>
      </c>
      <c r="BR26" s="73" t="str">
        <f t="shared" si="78"/>
        <v/>
      </c>
      <c r="BS26" s="31" t="str">
        <f>IF(OR(BR26="",BR26&lt;&gt;"NEMA"),"",MAX(BS$12:BS25)+1)</f>
        <v/>
      </c>
      <c r="BT26" s="66" t="str">
        <f t="shared" si="79"/>
        <v/>
      </c>
      <c r="BU26" s="47" t="s">
        <v>0</v>
      </c>
      <c r="BV26" s="19" t="str">
        <f t="shared" si="80"/>
        <v/>
      </c>
      <c r="BW26" s="47" t="s">
        <v>0</v>
      </c>
      <c r="BX26" s="82" t="str">
        <f>IF(BK26&lt;&gt;"NEMA","",IF(IFERROR(MATCH(BJ26,BJ$12:BJ25,0),0)&lt;&gt;0,"",BJ26))</f>
        <v/>
      </c>
      <c r="BY26" s="47" t="s">
        <v>0</v>
      </c>
      <c r="BZ26" s="125"/>
      <c r="CA26" s="47" t="s">
        <v>0</v>
      </c>
      <c r="CB26" s="58" t="str">
        <f t="shared" si="81"/>
        <v/>
      </c>
      <c r="CC26" s="31" t="str">
        <f t="shared" si="82"/>
        <v/>
      </c>
      <c r="CD26" s="31" t="str">
        <f>IF(CC26="","",MAX(CD$12:CD25)+1)</f>
        <v/>
      </c>
      <c r="CE26" s="31" t="str">
        <f t="shared" si="22"/>
        <v/>
      </c>
      <c r="CF26" s="31" t="str">
        <f t="shared" si="83"/>
        <v/>
      </c>
      <c r="CG26" s="31" t="str">
        <f>IF(BZ26="","",MAX(CG$12:CG25)+1)</f>
        <v/>
      </c>
      <c r="CH26" s="31" t="str">
        <f t="shared" si="84"/>
        <v/>
      </c>
      <c r="CI26" s="66" t="str">
        <f t="shared" si="85"/>
        <v/>
      </c>
      <c r="CJ26" s="47" t="s">
        <v>0</v>
      </c>
      <c r="CK26" s="73" t="str">
        <f t="shared" si="25"/>
        <v/>
      </c>
      <c r="CL26" s="47"/>
      <c r="CM26" s="19" t="str">
        <f t="shared" si="86"/>
        <v/>
      </c>
      <c r="CN26" s="47" t="s">
        <v>0</v>
      </c>
      <c r="CO26" s="143" t="str">
        <f t="shared" si="87"/>
        <v>OK Kapela</v>
      </c>
      <c r="CP26" s="47" t="s">
        <v>0</v>
      </c>
      <c r="CQ26" s="58" t="str">
        <f t="shared" si="28"/>
        <v>54:04</v>
      </c>
      <c r="CR26" s="73" t="str">
        <f t="shared" si="29"/>
        <v>0</v>
      </c>
      <c r="CS26" s="229" t="str">
        <f t="shared" si="30"/>
        <v/>
      </c>
      <c r="CT26" s="230">
        <f t="shared" si="88"/>
        <v>3244</v>
      </c>
      <c r="CU26" s="163">
        <f t="shared" si="32"/>
        <v>1</v>
      </c>
      <c r="CV26" s="47" t="s">
        <v>0</v>
      </c>
      <c r="CW26" s="222" t="str">
        <f t="shared" si="89"/>
        <v xml:space="preserve">
</v>
      </c>
      <c r="CX26" s="223">
        <f t="shared" si="90"/>
        <v>6</v>
      </c>
      <c r="CY26" s="47" t="s">
        <v>0</v>
      </c>
      <c r="CZ26" s="47"/>
      <c r="DA26" s="47"/>
      <c r="DB26" s="47"/>
      <c r="DC26" s="47" t="s">
        <v>0</v>
      </c>
      <c r="DD26" s="53" t="str">
        <f t="shared" si="103"/>
        <v/>
      </c>
      <c r="DE26" t="s">
        <v>0</v>
      </c>
      <c r="DF26" s="128" t="str">
        <f t="shared" si="104"/>
        <v>M</v>
      </c>
      <c r="DG26" t="s">
        <v>0</v>
      </c>
      <c r="DH26" s="52" t="str">
        <f t="shared" si="105"/>
        <v/>
      </c>
      <c r="DI26" s="66" t="str">
        <f t="shared" si="106"/>
        <v/>
      </c>
      <c r="DJ26" t="s">
        <v>0</v>
      </c>
      <c r="DK26" s="19" t="str">
        <f t="shared" si="107"/>
        <v/>
      </c>
      <c r="DL26" s="47" t="s">
        <v>0</v>
      </c>
      <c r="DM26" s="19" t="str">
        <f t="shared" si="108"/>
        <v/>
      </c>
      <c r="DN26" s="47" t="s">
        <v>0</v>
      </c>
      <c r="DO26" s="52" t="str">
        <f t="shared" si="39"/>
        <v>Martin – Meštrović – OK Kapela – M14</v>
      </c>
      <c r="DP26" s="53">
        <f t="shared" si="40"/>
        <v>279</v>
      </c>
      <c r="DQ26" s="47" t="s">
        <v>0</v>
      </c>
      <c r="DR26" s="52" t="str">
        <f t="shared" si="41"/>
        <v>Martin – Meštrović – OK Kapela</v>
      </c>
      <c r="DS26" s="53">
        <f t="shared" si="42"/>
        <v>279</v>
      </c>
      <c r="DT26" s="47" t="s">
        <v>0</v>
      </c>
      <c r="DU26" s="52" t="str">
        <f t="shared" si="43"/>
        <v>Martin – Meštrović</v>
      </c>
      <c r="DV26" s="53">
        <f t="shared" si="44"/>
        <v>279</v>
      </c>
      <c r="DW26" s="47" t="s">
        <v>0</v>
      </c>
      <c r="DX26" s="58">
        <f t="shared" si="91"/>
        <v>279</v>
      </c>
      <c r="DY26" s="53" cm="1">
        <f t="array" ref="DY26">IF(DX26&lt;&gt;"",INDEX(regNatjecatelj_id,DX26,0),IF(BD26&lt;&gt;"",BD26,""))</f>
        <v>1108</v>
      </c>
      <c r="DZ26" s="47" t="s">
        <v>0</v>
      </c>
      <c r="EA26" s="58" t="str">
        <f t="shared" si="45"/>
        <v>imepre</v>
      </c>
      <c r="EB26" s="73" t="str">
        <f t="shared" si="46"/>
        <v>klu</v>
      </c>
      <c r="EC26" s="73" t="str">
        <f t="shared" si="47"/>
        <v>kat</v>
      </c>
      <c r="ED26" s="73" t="str">
        <f t="shared" si="48"/>
        <v/>
      </c>
      <c r="EE26" s="66" t="str">
        <f t="shared" si="49"/>
        <v>imepre-klu-kat</v>
      </c>
      <c r="EF26" s="47" t="s">
        <v>0</v>
      </c>
      <c r="EG26" s="58">
        <f>IF(AL26="","",MAX(EG$12:EG25)+1)</f>
        <v>204</v>
      </c>
      <c r="EH26" s="73">
        <f t="shared" si="50"/>
        <v>24</v>
      </c>
      <c r="EI26" s="73">
        <f t="shared" si="92"/>
        <v>1108</v>
      </c>
      <c r="EJ26" s="73">
        <f t="shared" si="51"/>
        <v>3244</v>
      </c>
      <c r="EK26" s="73">
        <f t="shared" si="52"/>
        <v>1</v>
      </c>
      <c r="EL26" s="73">
        <f t="shared" si="93"/>
        <v>1</v>
      </c>
      <c r="EM26" s="73">
        <f t="shared" si="94"/>
        <v>1</v>
      </c>
      <c r="EN26" s="73" t="str">
        <f t="shared" si="55"/>
        <v>0</v>
      </c>
      <c r="EO26" s="73" t="str">
        <f t="shared" si="56"/>
        <v/>
      </c>
      <c r="EP26" s="73" t="str">
        <f t="shared" si="57"/>
        <v/>
      </c>
      <c r="EQ26" s="53" t="str">
        <f t="shared" si="58"/>
        <v/>
      </c>
      <c r="ER26" s="47" t="s">
        <v>0</v>
      </c>
      <c r="ES26" s="19" t="str">
        <f t="shared" si="95"/>
        <v>INSERT INTO rezultat(id,stazakategorija_id,imeprezime_id,vrijeme_sec,status_id,registracija,uparivanje_id,originalstatus_id,imeprezimealias_id,klubalias_id,kategorijaalias_id) VALUES (204,24,1108,3244,1,1,1,0,Null,Null,Null);</v>
      </c>
      <c r="ET26" s="47" t="s">
        <v>0</v>
      </c>
      <c r="EU26" s="19" t="str">
        <f t="shared" si="96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6" s="47" t="s">
        <v>0</v>
      </c>
      <c r="EW26" s="180" t="str">
        <f t="shared" si="60"/>
        <v xml:space="preserve">
INSERT INTO rezultat(id,stazakategorija_id,imeprezime_id,vrijeme_sec,status_id,registracija,uparivanje_id,originalstatus_id,imeprezimealias_id,klubalias_id,kategorijaalias_id) VALUES (204,24,1108,3244,1,1,1,0,Null,Null,Null);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6" s="47" t="s">
        <v>0</v>
      </c>
    </row>
    <row r="27" spans="1:166" x14ac:dyDescent="0.25">
      <c r="A27" t="s">
        <v>0</v>
      </c>
      <c r="B27" s="52" t="str">
        <f>IF(csv!F17="","",csv!T17)</f>
        <v>M14</v>
      </c>
      <c r="C27" s="31" t="s">
        <v>0</v>
      </c>
      <c r="D27" s="31" t="str">
        <f>IF(csv!F17="","",csv!F17)</f>
        <v>Mikula</v>
      </c>
      <c r="E27" s="31" t="str">
        <f>IF(csv!E17="","",csv!E17)</f>
        <v>Mazić</v>
      </c>
      <c r="F27" s="31" t="s">
        <v>0</v>
      </c>
      <c r="G27" s="73" t="str">
        <f>IF(csv!M17="","",csv!M17)</f>
        <v>68:39</v>
      </c>
      <c r="H27" s="73" t="str">
        <f>IF(csv!N17="","",csv!N17)</f>
        <v>0</v>
      </c>
      <c r="I27" s="31" t="s">
        <v>0</v>
      </c>
      <c r="J27" s="31" t="str">
        <f>IF(csv!P17="","",csv!P17)</f>
        <v>Vihor</v>
      </c>
      <c r="K27" s="31" t="str">
        <f>IF(csv!Q17="","",csv!Q17)</f>
        <v>OK Vihor</v>
      </c>
      <c r="L27" s="31" t="s">
        <v>0</v>
      </c>
      <c r="M27" s="66" t="str">
        <f>IF(csv!R17="","",csv!R17)</f>
        <v>CRO</v>
      </c>
      <c r="N27" s="47" t="s">
        <v>0</v>
      </c>
      <c r="O27" s="246" t="str">
        <f t="shared" si="61"/>
        <v>ok</v>
      </c>
      <c r="P27" s="47"/>
      <c r="Q27" s="52" t="str">
        <f t="shared" si="62"/>
        <v>M14</v>
      </c>
      <c r="R27" s="73">
        <f>IF(Q27="","",IF(COUNTIF(Q$12:Q26,Q27)=0,R26+1,R26))</f>
        <v>2</v>
      </c>
      <c r="S27" s="73">
        <f t="shared" si="63"/>
        <v>111</v>
      </c>
      <c r="T27" s="73">
        <f t="shared" si="1"/>
        <v>21</v>
      </c>
      <c r="U27" s="66" t="str">
        <f t="shared" si="2"/>
        <v>M14 – Ž14</v>
      </c>
      <c r="V27" s="47" t="s">
        <v>0</v>
      </c>
      <c r="W27" s="222" t="str">
        <f t="shared" si="3"/>
        <v>M14</v>
      </c>
      <c r="X27" s="223">
        <f t="shared" si="4"/>
        <v>24</v>
      </c>
      <c r="Y27" s="47" t="s">
        <v>0</v>
      </c>
      <c r="Z27" s="52" t="str">
        <f t="shared" si="64"/>
        <v>CRO</v>
      </c>
      <c r="AA27" s="73">
        <f t="shared" si="5"/>
        <v>1</v>
      </c>
      <c r="AB27" s="31" t="str">
        <f t="shared" si="65"/>
        <v/>
      </c>
      <c r="AC27" s="66" t="str">
        <f>IF(AB27="","",MAX(AC$12:AC26)+1)</f>
        <v/>
      </c>
      <c r="AD27" s="47" t="s">
        <v>0</v>
      </c>
      <c r="AE27" s="125"/>
      <c r="AF27" s="47" t="s">
        <v>0</v>
      </c>
      <c r="AG27" s="19" t="str">
        <f t="shared" si="66"/>
        <v/>
      </c>
      <c r="AH27" s="47" t="s">
        <v>0</v>
      </c>
      <c r="AI27" s="143" t="str">
        <f t="shared" si="67"/>
        <v>CRO</v>
      </c>
      <c r="AJ27" s="47"/>
      <c r="AK27" s="52" t="str">
        <f t="shared" si="68"/>
        <v>Mikula</v>
      </c>
      <c r="AL27" s="31" t="str">
        <f t="shared" si="69"/>
        <v>Mazić</v>
      </c>
      <c r="AM27" s="73">
        <f t="shared" si="70"/>
        <v>1057</v>
      </c>
      <c r="AN27" s="73" t="str">
        <f t="shared" si="71"/>
        <v/>
      </c>
      <c r="AO27" s="31" t="str">
        <f t="shared" si="8"/>
        <v>Mikula</v>
      </c>
      <c r="AP27" s="66" t="str">
        <f t="shared" si="9"/>
        <v>Mazić</v>
      </c>
      <c r="AQ27" s="47" t="s">
        <v>0</v>
      </c>
      <c r="AR27" s="82" t="str">
        <f t="shared" si="72"/>
        <v/>
      </c>
      <c r="AS27" s="47" t="s">
        <v>0</v>
      </c>
      <c r="AT27" s="19" t="str">
        <f t="shared" si="73"/>
        <v/>
      </c>
      <c r="AU27" s="47" t="s">
        <v>0</v>
      </c>
      <c r="AV27" s="103"/>
      <c r="AW27" s="105"/>
      <c r="AX27" s="47" t="s">
        <v>0</v>
      </c>
      <c r="AY27" s="259" t="str">
        <f t="shared" si="102"/>
        <v/>
      </c>
      <c r="AZ27" s="47" t="s">
        <v>0</v>
      </c>
      <c r="BA27" s="52" t="str">
        <f t="shared" si="11"/>
        <v/>
      </c>
      <c r="BB27" s="73" t="str">
        <f>IF(AV27&amp;AW27="","",MAX(BB$12:BB26)+1)</f>
        <v/>
      </c>
      <c r="BC27" s="272" t="str">
        <f t="shared" si="12"/>
        <v/>
      </c>
      <c r="BD27" s="53" t="str">
        <f>IF(AND(AM27="NEMA",AN27="NEMA",OR(AV27&amp;AW27="",BC27="NEMA")),MAX(BD$12:BD26)+1,"")</f>
        <v/>
      </c>
      <c r="BE27" s="47" t="s">
        <v>0</v>
      </c>
      <c r="BF27" s="52" t="str">
        <f t="shared" si="74"/>
        <v>Mikula</v>
      </c>
      <c r="BG27" s="66" t="str">
        <f t="shared" si="75"/>
        <v>Mazić</v>
      </c>
      <c r="BH27" s="47" t="s">
        <v>0</v>
      </c>
      <c r="BI27" s="52" t="str">
        <f t="shared" si="15"/>
        <v>Vihor</v>
      </c>
      <c r="BJ27" s="31" t="str">
        <f t="shared" si="16"/>
        <v>OK Vihor</v>
      </c>
      <c r="BK27" s="73" t="str">
        <f t="shared" si="17"/>
        <v/>
      </c>
      <c r="BL27" s="31" t="str" cm="1">
        <f t="array" ref="BL27">IF(BK27="",""&amp;BJ27,IF(BK27="NEMA",BJ27,INDEX(regKlub_naziv,MATCH(INDEX(regKlub_alias_klubId,BK27),regKlub_id,0))))</f>
        <v>OK Vihor</v>
      </c>
      <c r="BM27" s="31" t="str" cm="1">
        <f t="array" ref="BM27">IFERROR(""&amp;INDEX(regNatjecatelj_klub,DV27),"")</f>
        <v>OK Vihor</v>
      </c>
      <c r="BN27" s="73" t="str">
        <f t="shared" si="76"/>
        <v/>
      </c>
      <c r="BO27" s="66" t="str">
        <f t="shared" si="77"/>
        <v>OK Vihor</v>
      </c>
      <c r="BP27" s="47" t="s">
        <v>0</v>
      </c>
      <c r="BQ27" s="52" t="str">
        <f>IF(X27&lt;&gt;"NEMA","",IF(IFERROR(MATCH(W27,W$12:W26,0),0)&lt;&gt;0,"",W27))</f>
        <v/>
      </c>
      <c r="BR27" s="73" t="str">
        <f t="shared" si="78"/>
        <v/>
      </c>
      <c r="BS27" s="31" t="str">
        <f>IF(OR(BR27="",BR27&lt;&gt;"NEMA"),"",MAX(BS$12:BS26)+1)</f>
        <v/>
      </c>
      <c r="BT27" s="66" t="str">
        <f t="shared" si="79"/>
        <v/>
      </c>
      <c r="BU27" s="47" t="s">
        <v>0</v>
      </c>
      <c r="BV27" s="19" t="str">
        <f t="shared" si="80"/>
        <v/>
      </c>
      <c r="BW27" s="47" t="s">
        <v>0</v>
      </c>
      <c r="BX27" s="82" t="str">
        <f>IF(BK27&lt;&gt;"NEMA","",IF(IFERROR(MATCH(BJ27,BJ$12:BJ26,0),0)&lt;&gt;0,"",BJ27))</f>
        <v/>
      </c>
      <c r="BY27" s="47" t="s">
        <v>0</v>
      </c>
      <c r="BZ27" s="125"/>
      <c r="CA27" s="47" t="s">
        <v>0</v>
      </c>
      <c r="CB27" s="58" t="str">
        <f t="shared" si="81"/>
        <v/>
      </c>
      <c r="CC27" s="31" t="str">
        <f t="shared" si="82"/>
        <v/>
      </c>
      <c r="CD27" s="31" t="str">
        <f>IF(CC27="","",MAX(CD$12:CD26)+1)</f>
        <v/>
      </c>
      <c r="CE27" s="31" t="str">
        <f t="shared" si="22"/>
        <v/>
      </c>
      <c r="CF27" s="31" t="str">
        <f t="shared" si="83"/>
        <v/>
      </c>
      <c r="CG27" s="31" t="str">
        <f>IF(BZ27="","",MAX(CG$12:CG26)+1)</f>
        <v/>
      </c>
      <c r="CH27" s="31" t="str">
        <f t="shared" si="84"/>
        <v/>
      </c>
      <c r="CI27" s="66" t="str">
        <f t="shared" si="85"/>
        <v/>
      </c>
      <c r="CJ27" s="47" t="s">
        <v>0</v>
      </c>
      <c r="CK27" s="73" t="str">
        <f t="shared" si="25"/>
        <v/>
      </c>
      <c r="CL27" s="47"/>
      <c r="CM27" s="19" t="str">
        <f t="shared" si="86"/>
        <v/>
      </c>
      <c r="CN27" s="47" t="s">
        <v>0</v>
      </c>
      <c r="CO27" s="143" t="str">
        <f t="shared" si="87"/>
        <v>OK Vihor</v>
      </c>
      <c r="CP27" s="47" t="s">
        <v>0</v>
      </c>
      <c r="CQ27" s="58" t="str">
        <f t="shared" si="28"/>
        <v>68:39</v>
      </c>
      <c r="CR27" s="73" t="str">
        <f t="shared" si="29"/>
        <v>0</v>
      </c>
      <c r="CS27" s="229" t="str">
        <f t="shared" si="30"/>
        <v/>
      </c>
      <c r="CT27" s="230">
        <f t="shared" si="88"/>
        <v>4119</v>
      </c>
      <c r="CU27" s="163">
        <f t="shared" si="32"/>
        <v>1</v>
      </c>
      <c r="CV27" s="47" t="s">
        <v>0</v>
      </c>
      <c r="CW27" s="222" t="str">
        <f t="shared" si="89"/>
        <v xml:space="preserve">
</v>
      </c>
      <c r="CX27" s="223">
        <f t="shared" si="90"/>
        <v>6</v>
      </c>
      <c r="CY27" s="47" t="s">
        <v>0</v>
      </c>
      <c r="CZ27" s="47"/>
      <c r="DA27" s="47"/>
      <c r="DB27" s="47"/>
      <c r="DC27" s="47" t="s">
        <v>0</v>
      </c>
      <c r="DD27" s="53" t="str">
        <f t="shared" si="103"/>
        <v/>
      </c>
      <c r="DE27" t="s">
        <v>0</v>
      </c>
      <c r="DF27" s="128" t="str">
        <f t="shared" si="104"/>
        <v>M</v>
      </c>
      <c r="DG27" t="s">
        <v>0</v>
      </c>
      <c r="DH27" s="52" t="str">
        <f t="shared" si="105"/>
        <v/>
      </c>
      <c r="DI27" s="66" t="str">
        <f t="shared" si="106"/>
        <v/>
      </c>
      <c r="DJ27" t="s">
        <v>0</v>
      </c>
      <c r="DK27" s="19" t="str">
        <f t="shared" si="107"/>
        <v/>
      </c>
      <c r="DL27" s="47" t="s">
        <v>0</v>
      </c>
      <c r="DM27" s="19" t="str">
        <f t="shared" si="108"/>
        <v/>
      </c>
      <c r="DN27" s="47" t="s">
        <v>0</v>
      </c>
      <c r="DO27" s="52" t="str">
        <f t="shared" si="39"/>
        <v>Mikula – Mazić – OK Vihor – M14</v>
      </c>
      <c r="DP27" s="53">
        <f t="shared" si="40"/>
        <v>799</v>
      </c>
      <c r="DQ27" s="47" t="s">
        <v>0</v>
      </c>
      <c r="DR27" s="52" t="str">
        <f t="shared" si="41"/>
        <v>Mikula – Mazić – OK Vihor</v>
      </c>
      <c r="DS27" s="53">
        <f t="shared" si="42"/>
        <v>799</v>
      </c>
      <c r="DT27" s="47" t="s">
        <v>0</v>
      </c>
      <c r="DU27" s="52" t="str">
        <f t="shared" si="43"/>
        <v>Mikula – Mazić</v>
      </c>
      <c r="DV27" s="53">
        <f t="shared" si="44"/>
        <v>799</v>
      </c>
      <c r="DW27" s="47" t="s">
        <v>0</v>
      </c>
      <c r="DX27" s="58">
        <f t="shared" si="91"/>
        <v>799</v>
      </c>
      <c r="DY27" s="53" cm="1">
        <f t="array" ref="DY27">IF(DX27&lt;&gt;"",INDEX(regNatjecatelj_id,DX27,0),IF(BD27&lt;&gt;"",BD27,""))</f>
        <v>1057</v>
      </c>
      <c r="DZ27" s="47" t="s">
        <v>0</v>
      </c>
      <c r="EA27" s="58" t="str">
        <f t="shared" si="45"/>
        <v>imepre</v>
      </c>
      <c r="EB27" s="73" t="str">
        <f t="shared" si="46"/>
        <v>klu</v>
      </c>
      <c r="EC27" s="73" t="str">
        <f t="shared" si="47"/>
        <v>kat</v>
      </c>
      <c r="ED27" s="73" t="str">
        <f t="shared" si="48"/>
        <v/>
      </c>
      <c r="EE27" s="66" t="str">
        <f t="shared" si="49"/>
        <v>imepre-klu-kat</v>
      </c>
      <c r="EF27" s="47" t="s">
        <v>0</v>
      </c>
      <c r="EG27" s="58">
        <f>IF(AL27="","",MAX(EG$12:EG26)+1)</f>
        <v>205</v>
      </c>
      <c r="EH27" s="73">
        <f t="shared" si="50"/>
        <v>24</v>
      </c>
      <c r="EI27" s="73">
        <f t="shared" si="92"/>
        <v>1057</v>
      </c>
      <c r="EJ27" s="73">
        <f t="shared" si="51"/>
        <v>4119</v>
      </c>
      <c r="EK27" s="73">
        <f t="shared" si="52"/>
        <v>1</v>
      </c>
      <c r="EL27" s="73">
        <f t="shared" si="93"/>
        <v>1</v>
      </c>
      <c r="EM27" s="73">
        <f t="shared" si="94"/>
        <v>1</v>
      </c>
      <c r="EN27" s="73" t="str">
        <f t="shared" si="55"/>
        <v>0</v>
      </c>
      <c r="EO27" s="73" t="str">
        <f t="shared" si="56"/>
        <v/>
      </c>
      <c r="EP27" s="73" t="str">
        <f t="shared" si="57"/>
        <v/>
      </c>
      <c r="EQ27" s="53" t="str">
        <f t="shared" si="58"/>
        <v/>
      </c>
      <c r="ER27" s="47" t="s">
        <v>0</v>
      </c>
      <c r="ES27" s="19" t="str">
        <f t="shared" si="95"/>
        <v>INSERT INTO rezultat(id,stazakategorija_id,imeprezime_id,vrijeme_sec,status_id,registracija,uparivanje_id,originalstatus_id,imeprezimealias_id,klubalias_id,kategorijaalias_id) VALUES (205,24,1057,4119,1,1,1,0,Null,Null,Null);</v>
      </c>
      <c r="ET27" s="47" t="s">
        <v>0</v>
      </c>
      <c r="EU27" s="19" t="str">
        <f t="shared" si="96"/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7" s="47" t="s">
        <v>0</v>
      </c>
      <c r="EW27" s="180" t="str">
        <f t="shared" si="60"/>
        <v xml:space="preserve">
INSERT INTO rezultat(id,stazakategorija_id,imeprezime_id,vrijeme_sec,status_id,registracija,uparivanje_id,originalstatus_id,imeprezimealias_id,klubalias_id,kategorijaalias_id) VALUES (205,24,1057,4119,1,1,1,0,Null,Null,Null);
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7" s="47" t="s">
        <v>0</v>
      </c>
    </row>
    <row r="28" spans="1:166" x14ac:dyDescent="0.25">
      <c r="A28" t="s">
        <v>0</v>
      </c>
      <c r="B28" s="52" t="str">
        <f>IF(csv!F18="","",csv!T18)</f>
        <v>M14</v>
      </c>
      <c r="C28" s="31" t="s">
        <v>0</v>
      </c>
      <c r="D28" s="31" t="str">
        <f>IF(csv!F18="","",csv!F18)</f>
        <v>Adam</v>
      </c>
      <c r="E28" s="31" t="str">
        <f>IF(csv!E18="","",csv!E18)</f>
        <v>Anadolac</v>
      </c>
      <c r="F28" s="31" t="s">
        <v>0</v>
      </c>
      <c r="G28" s="73" t="str">
        <f>IF(csv!M18="","",csv!M18)</f>
        <v>72:05</v>
      </c>
      <c r="H28" s="73" t="str">
        <f>IF(csv!N18="","",csv!N18)</f>
        <v>0</v>
      </c>
      <c r="I28" s="31" t="s">
        <v>0</v>
      </c>
      <c r="J28" s="31" t="str">
        <f>IF(csv!P18="","",csv!P18)</f>
        <v>OK Varaždin</v>
      </c>
      <c r="K28" s="31" t="str">
        <f>IF(csv!Q18="","",csv!Q18)</f>
        <v>OK Varaždin</v>
      </c>
      <c r="L28" s="31" t="s">
        <v>0</v>
      </c>
      <c r="M28" s="66" t="str">
        <f>IF(csv!R18="","",csv!R18)</f>
        <v>CRO</v>
      </c>
      <c r="N28" s="47" t="s">
        <v>0</v>
      </c>
      <c r="O28" s="246" t="str">
        <f t="shared" si="61"/>
        <v>ok</v>
      </c>
      <c r="P28" s="47"/>
      <c r="Q28" s="52" t="str">
        <f t="shared" si="62"/>
        <v>M14</v>
      </c>
      <c r="R28" s="73">
        <f>IF(Q28="","",IF(COUNTIF(Q$12:Q27,Q28)=0,R27+1,R27))</f>
        <v>2</v>
      </c>
      <c r="S28" s="73">
        <f t="shared" si="63"/>
        <v>111</v>
      </c>
      <c r="T28" s="73">
        <f t="shared" si="1"/>
        <v>21</v>
      </c>
      <c r="U28" s="66" t="str">
        <f t="shared" si="2"/>
        <v>M14 – Ž14</v>
      </c>
      <c r="V28" s="47" t="s">
        <v>0</v>
      </c>
      <c r="W28" s="222" t="str">
        <f t="shared" si="3"/>
        <v>M14</v>
      </c>
      <c r="X28" s="223">
        <f t="shared" si="4"/>
        <v>24</v>
      </c>
      <c r="Y28" s="47" t="s">
        <v>0</v>
      </c>
      <c r="Z28" s="52" t="str">
        <f t="shared" si="64"/>
        <v>CRO</v>
      </c>
      <c r="AA28" s="73">
        <f t="shared" si="5"/>
        <v>1</v>
      </c>
      <c r="AB28" s="31" t="str">
        <f t="shared" si="65"/>
        <v/>
      </c>
      <c r="AC28" s="66" t="str">
        <f>IF(AB28="","",MAX(AC$12:AC27)+1)</f>
        <v/>
      </c>
      <c r="AD28" s="47" t="s">
        <v>0</v>
      </c>
      <c r="AE28" s="125"/>
      <c r="AF28" s="47" t="s">
        <v>0</v>
      </c>
      <c r="AG28" s="19" t="str">
        <f t="shared" si="66"/>
        <v/>
      </c>
      <c r="AH28" s="47" t="s">
        <v>0</v>
      </c>
      <c r="AI28" s="143" t="str">
        <f t="shared" si="67"/>
        <v>CRO</v>
      </c>
      <c r="AJ28" s="47"/>
      <c r="AK28" s="52" t="str">
        <f t="shared" si="68"/>
        <v>Adam</v>
      </c>
      <c r="AL28" s="31" t="str">
        <f t="shared" si="69"/>
        <v>Anadolac</v>
      </c>
      <c r="AM28" s="73">
        <f t="shared" si="70"/>
        <v>1050</v>
      </c>
      <c r="AN28" s="73" t="str">
        <f t="shared" si="71"/>
        <v/>
      </c>
      <c r="AO28" s="31" t="str">
        <f t="shared" si="8"/>
        <v>Adam</v>
      </c>
      <c r="AP28" s="66" t="str">
        <f t="shared" si="9"/>
        <v>Anadolac</v>
      </c>
      <c r="AQ28" s="47" t="s">
        <v>0</v>
      </c>
      <c r="AR28" s="82" t="str">
        <f t="shared" si="72"/>
        <v/>
      </c>
      <c r="AS28" s="47" t="s">
        <v>0</v>
      </c>
      <c r="AT28" s="19" t="str">
        <f t="shared" si="73"/>
        <v/>
      </c>
      <c r="AU28" s="47" t="s">
        <v>0</v>
      </c>
      <c r="AV28" s="103"/>
      <c r="AW28" s="105"/>
      <c r="AX28" s="47" t="s">
        <v>0</v>
      </c>
      <c r="AY28" s="259" t="str">
        <f t="shared" si="102"/>
        <v/>
      </c>
      <c r="AZ28" s="47" t="s">
        <v>0</v>
      </c>
      <c r="BA28" s="52" t="str">
        <f t="shared" si="11"/>
        <v/>
      </c>
      <c r="BB28" s="73" t="str">
        <f>IF(AV28&amp;AW28="","",MAX(BB$12:BB27)+1)</f>
        <v/>
      </c>
      <c r="BC28" s="272" t="str">
        <f t="shared" si="12"/>
        <v/>
      </c>
      <c r="BD28" s="53" t="str">
        <f>IF(AND(AM28="NEMA",AN28="NEMA",OR(AV28&amp;AW28="",BC28="NEMA")),MAX(BD$12:BD27)+1,"")</f>
        <v/>
      </c>
      <c r="BE28" s="47" t="s">
        <v>0</v>
      </c>
      <c r="BF28" s="52" t="str">
        <f t="shared" si="74"/>
        <v>Adam</v>
      </c>
      <c r="BG28" s="66" t="str">
        <f t="shared" si="75"/>
        <v>Anadolac</v>
      </c>
      <c r="BH28" s="47" t="s">
        <v>0</v>
      </c>
      <c r="BI28" s="52" t="str">
        <f t="shared" si="15"/>
        <v>OK Varaždin</v>
      </c>
      <c r="BJ28" s="31" t="str">
        <f t="shared" si="16"/>
        <v>OK Varaždin</v>
      </c>
      <c r="BK28" s="73" t="str">
        <f t="shared" si="17"/>
        <v/>
      </c>
      <c r="BL28" s="31" t="str" cm="1">
        <f t="array" ref="BL28">IF(BK28="",""&amp;BJ28,IF(BK28="NEMA",BJ28,INDEX(regKlub_naziv,MATCH(INDEX(regKlub_alias_klubId,BK28),regKlub_id,0))))</f>
        <v>OK Varaždin</v>
      </c>
      <c r="BM28" s="31" t="str" cm="1">
        <f t="array" ref="BM28">IFERROR(""&amp;INDEX(regNatjecatelj_klub,DV28),"")</f>
        <v>OK Varaždin</v>
      </c>
      <c r="BN28" s="73" t="str">
        <f t="shared" si="76"/>
        <v/>
      </c>
      <c r="BO28" s="66" t="str">
        <f t="shared" si="77"/>
        <v>OK Varaždin</v>
      </c>
      <c r="BP28" s="47" t="s">
        <v>0</v>
      </c>
      <c r="BQ28" s="52" t="str">
        <f>IF(X28&lt;&gt;"NEMA","",IF(IFERROR(MATCH(W28,W$12:W27,0),0)&lt;&gt;0,"",W28))</f>
        <v/>
      </c>
      <c r="BR28" s="73" t="str">
        <f t="shared" si="78"/>
        <v/>
      </c>
      <c r="BS28" s="31" t="str">
        <f>IF(OR(BR28="",BR28&lt;&gt;"NEMA"),"",MAX(BS$12:BS27)+1)</f>
        <v/>
      </c>
      <c r="BT28" s="66" t="str">
        <f t="shared" si="79"/>
        <v/>
      </c>
      <c r="BU28" s="47" t="s">
        <v>0</v>
      </c>
      <c r="BV28" s="19" t="str">
        <f t="shared" si="80"/>
        <v/>
      </c>
      <c r="BW28" s="47" t="s">
        <v>0</v>
      </c>
      <c r="BX28" s="82" t="str">
        <f>IF(BK28&lt;&gt;"NEMA","",IF(IFERROR(MATCH(BJ28,BJ$12:BJ27,0),0)&lt;&gt;0,"",BJ28))</f>
        <v/>
      </c>
      <c r="BY28" s="47" t="s">
        <v>0</v>
      </c>
      <c r="BZ28" s="125"/>
      <c r="CA28" s="47" t="s">
        <v>0</v>
      </c>
      <c r="CB28" s="58" t="str">
        <f t="shared" si="81"/>
        <v/>
      </c>
      <c r="CC28" s="31" t="str">
        <f t="shared" si="82"/>
        <v/>
      </c>
      <c r="CD28" s="31" t="str">
        <f>IF(CC28="","",MAX(CD$12:CD27)+1)</f>
        <v/>
      </c>
      <c r="CE28" s="31" t="str">
        <f t="shared" si="22"/>
        <v/>
      </c>
      <c r="CF28" s="31" t="str">
        <f t="shared" si="83"/>
        <v/>
      </c>
      <c r="CG28" s="31" t="str">
        <f>IF(BZ28="","",MAX(CG$12:CG27)+1)</f>
        <v/>
      </c>
      <c r="CH28" s="31" t="str">
        <f t="shared" si="84"/>
        <v/>
      </c>
      <c r="CI28" s="66" t="str">
        <f t="shared" si="85"/>
        <v/>
      </c>
      <c r="CJ28" s="47" t="s">
        <v>0</v>
      </c>
      <c r="CK28" s="73" t="str">
        <f t="shared" si="25"/>
        <v/>
      </c>
      <c r="CL28" s="47"/>
      <c r="CM28" s="19" t="str">
        <f t="shared" si="86"/>
        <v/>
      </c>
      <c r="CN28" s="47" t="s">
        <v>0</v>
      </c>
      <c r="CO28" s="143" t="str">
        <f t="shared" si="87"/>
        <v>OK Varaždin</v>
      </c>
      <c r="CP28" s="47" t="s">
        <v>0</v>
      </c>
      <c r="CQ28" s="58" t="str">
        <f t="shared" si="28"/>
        <v>72:05</v>
      </c>
      <c r="CR28" s="73" t="str">
        <f t="shared" si="29"/>
        <v>0</v>
      </c>
      <c r="CS28" s="229" t="str">
        <f t="shared" si="30"/>
        <v/>
      </c>
      <c r="CT28" s="230">
        <f t="shared" si="88"/>
        <v>4325</v>
      </c>
      <c r="CU28" s="163">
        <f t="shared" si="32"/>
        <v>1</v>
      </c>
      <c r="CV28" s="47" t="s">
        <v>0</v>
      </c>
      <c r="CW28" s="222" t="str">
        <f t="shared" si="89"/>
        <v xml:space="preserve">
</v>
      </c>
      <c r="CX28" s="223">
        <f t="shared" si="90"/>
        <v>6</v>
      </c>
      <c r="CY28" s="47" t="s">
        <v>0</v>
      </c>
      <c r="CZ28" s="47"/>
      <c r="DA28" s="47"/>
      <c r="DB28" s="47"/>
      <c r="DC28" s="47" t="s">
        <v>0</v>
      </c>
      <c r="DD28" s="53" t="str">
        <f t="shared" si="103"/>
        <v/>
      </c>
      <c r="DE28" t="s">
        <v>0</v>
      </c>
      <c r="DF28" s="128" t="str">
        <f t="shared" si="104"/>
        <v>M</v>
      </c>
      <c r="DG28" t="s">
        <v>0</v>
      </c>
      <c r="DH28" s="52" t="str">
        <f t="shared" si="105"/>
        <v/>
      </c>
      <c r="DI28" s="66" t="str">
        <f t="shared" si="106"/>
        <v/>
      </c>
      <c r="DJ28" t="s">
        <v>0</v>
      </c>
      <c r="DK28" s="19" t="str">
        <f t="shared" si="107"/>
        <v/>
      </c>
      <c r="DL28" s="47" t="s">
        <v>0</v>
      </c>
      <c r="DM28" s="19" t="str">
        <f t="shared" si="108"/>
        <v/>
      </c>
      <c r="DN28" s="47" t="s">
        <v>0</v>
      </c>
      <c r="DO28" s="52" t="str">
        <f t="shared" si="39"/>
        <v>Adam – Anadolac – OK Varaždin – M14</v>
      </c>
      <c r="DP28" s="53">
        <f t="shared" si="40"/>
        <v>517</v>
      </c>
      <c r="DQ28" s="47" t="s">
        <v>0</v>
      </c>
      <c r="DR28" s="52" t="str">
        <f t="shared" si="41"/>
        <v>Adam – Anadolac – OK Varaždin</v>
      </c>
      <c r="DS28" s="53">
        <f t="shared" si="42"/>
        <v>517</v>
      </c>
      <c r="DT28" s="47" t="s">
        <v>0</v>
      </c>
      <c r="DU28" s="52" t="str">
        <f t="shared" si="43"/>
        <v>Adam – Anadolac</v>
      </c>
      <c r="DV28" s="53">
        <f t="shared" si="44"/>
        <v>517</v>
      </c>
      <c r="DW28" s="47" t="s">
        <v>0</v>
      </c>
      <c r="DX28" s="58">
        <f t="shared" si="91"/>
        <v>517</v>
      </c>
      <c r="DY28" s="53" cm="1">
        <f t="array" ref="DY28">IF(DX28&lt;&gt;"",INDEX(regNatjecatelj_id,DX28,0),IF(BD28&lt;&gt;"",BD28,""))</f>
        <v>1050</v>
      </c>
      <c r="DZ28" s="47" t="s">
        <v>0</v>
      </c>
      <c r="EA28" s="58" t="str">
        <f t="shared" si="45"/>
        <v>imepre</v>
      </c>
      <c r="EB28" s="73" t="str">
        <f t="shared" si="46"/>
        <v>klu</v>
      </c>
      <c r="EC28" s="73" t="str">
        <f t="shared" si="47"/>
        <v>kat</v>
      </c>
      <c r="ED28" s="73" t="str">
        <f t="shared" si="48"/>
        <v/>
      </c>
      <c r="EE28" s="66" t="str">
        <f t="shared" si="49"/>
        <v>imepre-klu-kat</v>
      </c>
      <c r="EF28" s="47" t="s">
        <v>0</v>
      </c>
      <c r="EG28" s="58">
        <f>IF(AL28="","",MAX(EG$12:EG27)+1)</f>
        <v>206</v>
      </c>
      <c r="EH28" s="73">
        <f t="shared" si="50"/>
        <v>24</v>
      </c>
      <c r="EI28" s="73">
        <f t="shared" si="92"/>
        <v>1050</v>
      </c>
      <c r="EJ28" s="73">
        <f t="shared" si="51"/>
        <v>4325</v>
      </c>
      <c r="EK28" s="73">
        <f t="shared" si="52"/>
        <v>1</v>
      </c>
      <c r="EL28" s="73">
        <f t="shared" si="93"/>
        <v>1</v>
      </c>
      <c r="EM28" s="73">
        <f t="shared" si="94"/>
        <v>1</v>
      </c>
      <c r="EN28" s="73" t="str">
        <f t="shared" si="55"/>
        <v>0</v>
      </c>
      <c r="EO28" s="73" t="str">
        <f t="shared" si="56"/>
        <v/>
      </c>
      <c r="EP28" s="73" t="str">
        <f t="shared" si="57"/>
        <v/>
      </c>
      <c r="EQ28" s="53" t="str">
        <f t="shared" si="58"/>
        <v/>
      </c>
      <c r="ER28" s="47" t="s">
        <v>0</v>
      </c>
      <c r="ES28" s="19" t="str">
        <f t="shared" si="95"/>
        <v>INSERT INTO rezultat(id,stazakategorija_id,imeprezime_id,vrijeme_sec,status_id,registracija,uparivanje_id,originalstatus_id,imeprezimealias_id,klubalias_id,kategorijaalias_id) VALUES (206,24,1050,4325,1,1,1,0,Null,Null,Null);</v>
      </c>
      <c r="ET28" s="47" t="s">
        <v>0</v>
      </c>
      <c r="EU28" s="19" t="str">
        <f t="shared" si="96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8" s="47" t="s">
        <v>0</v>
      </c>
      <c r="EW28" s="180" t="str">
        <f t="shared" si="60"/>
        <v xml:space="preserve">
INSERT INTO rezultat(id,stazakategorija_id,imeprezime_id,vrijeme_sec,status_id,registracija,uparivanje_id,originalstatus_id,imeprezimealias_id,klubalias_id,kategorijaalias_id) VALUES (206,24,1050,4325,1,1,1,0,Null,Null,Null);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8" s="47" t="s">
        <v>0</v>
      </c>
    </row>
    <row r="29" spans="1:166" x14ac:dyDescent="0.25">
      <c r="A29" t="s">
        <v>0</v>
      </c>
      <c r="B29" s="52" t="str">
        <f>IF(csv!F19="","",csv!T19)</f>
        <v>M14</v>
      </c>
      <c r="C29" s="31" t="s">
        <v>0</v>
      </c>
      <c r="D29" s="31" t="str">
        <f>IF(csv!F19="","",csv!F19)</f>
        <v>Matko</v>
      </c>
      <c r="E29" s="31" t="str">
        <f>IF(csv!E19="","",csv!E19)</f>
        <v>Nikolić</v>
      </c>
      <c r="F29" s="31" t="s">
        <v>0</v>
      </c>
      <c r="G29" s="73" t="str">
        <f>IF(csv!M19="","",csv!M19)</f>
        <v>75:06</v>
      </c>
      <c r="H29" s="73" t="str">
        <f>IF(csv!N19="","",csv!N19)</f>
        <v>0</v>
      </c>
      <c r="I29" s="31" t="s">
        <v>0</v>
      </c>
      <c r="J29" s="31" t="str">
        <f>IF(csv!P19="","",csv!P19)</f>
        <v>Vihor</v>
      </c>
      <c r="K29" s="31" t="str">
        <f>IF(csv!Q19="","",csv!Q19)</f>
        <v>OK Vihor</v>
      </c>
      <c r="L29" s="31" t="s">
        <v>0</v>
      </c>
      <c r="M29" s="66" t="str">
        <f>IF(csv!R19="","",csv!R19)</f>
        <v>CRO</v>
      </c>
      <c r="N29" s="47" t="s">
        <v>0</v>
      </c>
      <c r="O29" s="246" t="str">
        <f t="shared" si="61"/>
        <v>ok</v>
      </c>
      <c r="P29" s="47"/>
      <c r="Q29" s="52" t="str">
        <f t="shared" si="62"/>
        <v>M14</v>
      </c>
      <c r="R29" s="73">
        <f>IF(Q29="","",IF(COUNTIF(Q$12:Q28,Q29)=0,R28+1,R28))</f>
        <v>2</v>
      </c>
      <c r="S29" s="73">
        <f t="shared" si="63"/>
        <v>111</v>
      </c>
      <c r="T29" s="73">
        <f t="shared" si="1"/>
        <v>21</v>
      </c>
      <c r="U29" s="66" t="str">
        <f t="shared" si="2"/>
        <v>M14 – Ž14</v>
      </c>
      <c r="V29" s="47" t="s">
        <v>0</v>
      </c>
      <c r="W29" s="222" t="str">
        <f t="shared" si="3"/>
        <v>M14</v>
      </c>
      <c r="X29" s="223">
        <f t="shared" si="4"/>
        <v>24</v>
      </c>
      <c r="Y29" s="47" t="s">
        <v>0</v>
      </c>
      <c r="Z29" s="52" t="str">
        <f t="shared" si="64"/>
        <v>CRO</v>
      </c>
      <c r="AA29" s="73">
        <f t="shared" si="5"/>
        <v>1</v>
      </c>
      <c r="AB29" s="31" t="str">
        <f t="shared" si="65"/>
        <v/>
      </c>
      <c r="AC29" s="66" t="str">
        <f>IF(AB29="","",MAX(AC$12:AC28)+1)</f>
        <v/>
      </c>
      <c r="AD29" s="47" t="s">
        <v>0</v>
      </c>
      <c r="AE29" s="125"/>
      <c r="AF29" s="47" t="s">
        <v>0</v>
      </c>
      <c r="AG29" s="19" t="str">
        <f t="shared" si="66"/>
        <v/>
      </c>
      <c r="AH29" s="47" t="s">
        <v>0</v>
      </c>
      <c r="AI29" s="143" t="str">
        <f t="shared" si="67"/>
        <v>CRO</v>
      </c>
      <c r="AJ29" s="47"/>
      <c r="AK29" s="52" t="str">
        <f t="shared" si="68"/>
        <v>Matko</v>
      </c>
      <c r="AL29" s="31" t="str">
        <f t="shared" si="69"/>
        <v>Nikolić</v>
      </c>
      <c r="AM29" s="73">
        <f t="shared" si="70"/>
        <v>1054</v>
      </c>
      <c r="AN29" s="73" t="str">
        <f t="shared" si="71"/>
        <v/>
      </c>
      <c r="AO29" s="31" t="str">
        <f t="shared" si="8"/>
        <v>Matko</v>
      </c>
      <c r="AP29" s="66" t="str">
        <f t="shared" si="9"/>
        <v>Nikolić</v>
      </c>
      <c r="AQ29" s="47" t="s">
        <v>0</v>
      </c>
      <c r="AR29" s="82" t="str">
        <f t="shared" si="72"/>
        <v/>
      </c>
      <c r="AS29" s="47" t="s">
        <v>0</v>
      </c>
      <c r="AT29" s="19" t="str">
        <f t="shared" si="73"/>
        <v/>
      </c>
      <c r="AU29" s="47" t="s">
        <v>0</v>
      </c>
      <c r="AV29" s="103"/>
      <c r="AW29" s="105"/>
      <c r="AX29" s="47" t="s">
        <v>0</v>
      </c>
      <c r="AY29" s="259" t="str">
        <f t="shared" si="102"/>
        <v/>
      </c>
      <c r="AZ29" s="47" t="s">
        <v>0</v>
      </c>
      <c r="BA29" s="52" t="str">
        <f t="shared" si="11"/>
        <v/>
      </c>
      <c r="BB29" s="73" t="str">
        <f>IF(AV29&amp;AW29="","",MAX(BB$12:BB28)+1)</f>
        <v/>
      </c>
      <c r="BC29" s="272" t="str">
        <f t="shared" si="12"/>
        <v/>
      </c>
      <c r="BD29" s="53" t="str">
        <f>IF(AND(AM29="NEMA",AN29="NEMA",OR(AV29&amp;AW29="",BC29="NEMA")),MAX(BD$12:BD28)+1,"")</f>
        <v/>
      </c>
      <c r="BE29" s="47" t="s">
        <v>0</v>
      </c>
      <c r="BF29" s="52" t="str">
        <f t="shared" si="74"/>
        <v>Matko</v>
      </c>
      <c r="BG29" s="66" t="str">
        <f t="shared" si="75"/>
        <v>Nikolić</v>
      </c>
      <c r="BH29" s="47" t="s">
        <v>0</v>
      </c>
      <c r="BI29" s="52" t="str">
        <f t="shared" si="15"/>
        <v>Vihor</v>
      </c>
      <c r="BJ29" s="31" t="str">
        <f t="shared" si="16"/>
        <v>OK Vihor</v>
      </c>
      <c r="BK29" s="73" t="str">
        <f t="shared" si="17"/>
        <v/>
      </c>
      <c r="BL29" s="31" t="str" cm="1">
        <f t="array" ref="BL29">IF(BK29="",""&amp;BJ29,IF(BK29="NEMA",BJ29,INDEX(regKlub_naziv,MATCH(INDEX(regKlub_alias_klubId,BK29),regKlub_id,0))))</f>
        <v>OK Vihor</v>
      </c>
      <c r="BM29" s="31" t="str" cm="1">
        <f t="array" ref="BM29">IFERROR(""&amp;INDEX(regNatjecatelj_klub,DV29),"")</f>
        <v>OK Vihor</v>
      </c>
      <c r="BN29" s="73" t="str">
        <f t="shared" si="76"/>
        <v/>
      </c>
      <c r="BO29" s="66" t="str">
        <f t="shared" si="77"/>
        <v>OK Vihor</v>
      </c>
      <c r="BP29" s="47" t="s">
        <v>0</v>
      </c>
      <c r="BQ29" s="52" t="str">
        <f>IF(X29&lt;&gt;"NEMA","",IF(IFERROR(MATCH(W29,W$12:W28,0),0)&lt;&gt;0,"",W29))</f>
        <v/>
      </c>
      <c r="BR29" s="73" t="str">
        <f t="shared" si="78"/>
        <v/>
      </c>
      <c r="BS29" s="31" t="str">
        <f>IF(OR(BR29="",BR29&lt;&gt;"NEMA"),"",MAX(BS$12:BS28)+1)</f>
        <v/>
      </c>
      <c r="BT29" s="66" t="str">
        <f t="shared" si="79"/>
        <v/>
      </c>
      <c r="BU29" s="47" t="s">
        <v>0</v>
      </c>
      <c r="BV29" s="19" t="str">
        <f t="shared" si="80"/>
        <v/>
      </c>
      <c r="BW29" s="47" t="s">
        <v>0</v>
      </c>
      <c r="BX29" s="82" t="str">
        <f>IF(BK29&lt;&gt;"NEMA","",IF(IFERROR(MATCH(BJ29,BJ$12:BJ28,0),0)&lt;&gt;0,"",BJ29))</f>
        <v/>
      </c>
      <c r="BY29" s="47" t="s">
        <v>0</v>
      </c>
      <c r="BZ29" s="125"/>
      <c r="CA29" s="47" t="s">
        <v>0</v>
      </c>
      <c r="CB29" s="58" t="str">
        <f t="shared" si="81"/>
        <v/>
      </c>
      <c r="CC29" s="31" t="str">
        <f t="shared" si="82"/>
        <v/>
      </c>
      <c r="CD29" s="31" t="str">
        <f>IF(CC29="","",MAX(CD$12:CD28)+1)</f>
        <v/>
      </c>
      <c r="CE29" s="31" t="str">
        <f t="shared" si="22"/>
        <v/>
      </c>
      <c r="CF29" s="31" t="str">
        <f t="shared" si="83"/>
        <v/>
      </c>
      <c r="CG29" s="31" t="str">
        <f>IF(BZ29="","",MAX(CG$12:CG28)+1)</f>
        <v/>
      </c>
      <c r="CH29" s="31" t="str">
        <f t="shared" si="84"/>
        <v/>
      </c>
      <c r="CI29" s="66" t="str">
        <f t="shared" si="85"/>
        <v/>
      </c>
      <c r="CJ29" s="47" t="s">
        <v>0</v>
      </c>
      <c r="CK29" s="73" t="str">
        <f t="shared" si="25"/>
        <v/>
      </c>
      <c r="CL29" s="47"/>
      <c r="CM29" s="19" t="str">
        <f t="shared" si="86"/>
        <v/>
      </c>
      <c r="CN29" s="47" t="s">
        <v>0</v>
      </c>
      <c r="CO29" s="143" t="str">
        <f t="shared" si="87"/>
        <v>OK Vihor</v>
      </c>
      <c r="CP29" s="47" t="s">
        <v>0</v>
      </c>
      <c r="CQ29" s="58" t="str">
        <f t="shared" si="28"/>
        <v>75:06</v>
      </c>
      <c r="CR29" s="73" t="str">
        <f t="shared" si="29"/>
        <v>0</v>
      </c>
      <c r="CS29" s="229" t="str">
        <f t="shared" si="30"/>
        <v/>
      </c>
      <c r="CT29" s="230">
        <f t="shared" si="88"/>
        <v>4506</v>
      </c>
      <c r="CU29" s="163">
        <f t="shared" si="32"/>
        <v>1</v>
      </c>
      <c r="CV29" s="47" t="s">
        <v>0</v>
      </c>
      <c r="CW29" s="222" t="str">
        <f t="shared" si="89"/>
        <v xml:space="preserve">
</v>
      </c>
      <c r="CX29" s="223">
        <f t="shared" si="90"/>
        <v>6</v>
      </c>
      <c r="CY29" s="47" t="s">
        <v>0</v>
      </c>
      <c r="CZ29" s="47"/>
      <c r="DA29" s="47"/>
      <c r="DB29" s="47"/>
      <c r="DC29" s="47" t="s">
        <v>0</v>
      </c>
      <c r="DD29" s="53" t="str">
        <f t="shared" si="103"/>
        <v/>
      </c>
      <c r="DE29" t="s">
        <v>0</v>
      </c>
      <c r="DF29" s="128" t="str">
        <f t="shared" si="104"/>
        <v>M</v>
      </c>
      <c r="DG29" t="s">
        <v>0</v>
      </c>
      <c r="DH29" s="52" t="str">
        <f t="shared" si="105"/>
        <v/>
      </c>
      <c r="DI29" s="66" t="str">
        <f t="shared" si="106"/>
        <v/>
      </c>
      <c r="DJ29" t="s">
        <v>0</v>
      </c>
      <c r="DK29" s="19" t="str">
        <f t="shared" si="107"/>
        <v/>
      </c>
      <c r="DL29" s="47" t="s">
        <v>0</v>
      </c>
      <c r="DM29" s="19" t="str">
        <f t="shared" si="108"/>
        <v/>
      </c>
      <c r="DN29" s="47" t="s">
        <v>0</v>
      </c>
      <c r="DO29" s="52" t="str">
        <f t="shared" si="39"/>
        <v>Matko – Nikolić – OK Vihor – M14</v>
      </c>
      <c r="DP29" s="53">
        <f t="shared" si="40"/>
        <v>820</v>
      </c>
      <c r="DQ29" s="47" t="s">
        <v>0</v>
      </c>
      <c r="DR29" s="52" t="str">
        <f t="shared" si="41"/>
        <v>Matko – Nikolić – OK Vihor</v>
      </c>
      <c r="DS29" s="53">
        <f t="shared" si="42"/>
        <v>820</v>
      </c>
      <c r="DT29" s="47" t="s">
        <v>0</v>
      </c>
      <c r="DU29" s="52" t="str">
        <f t="shared" si="43"/>
        <v>Matko – Nikolić</v>
      </c>
      <c r="DV29" s="53">
        <f t="shared" si="44"/>
        <v>820</v>
      </c>
      <c r="DW29" s="47" t="s">
        <v>0</v>
      </c>
      <c r="DX29" s="58">
        <f t="shared" si="91"/>
        <v>820</v>
      </c>
      <c r="DY29" s="53" cm="1">
        <f t="array" ref="DY29">IF(DX29&lt;&gt;"",INDEX(regNatjecatelj_id,DX29,0),IF(BD29&lt;&gt;"",BD29,""))</f>
        <v>1054</v>
      </c>
      <c r="DZ29" s="47" t="s">
        <v>0</v>
      </c>
      <c r="EA29" s="58" t="str">
        <f t="shared" si="45"/>
        <v>imepre</v>
      </c>
      <c r="EB29" s="73" t="str">
        <f t="shared" si="46"/>
        <v>klu</v>
      </c>
      <c r="EC29" s="73" t="str">
        <f t="shared" si="47"/>
        <v>kat</v>
      </c>
      <c r="ED29" s="73" t="str">
        <f t="shared" si="48"/>
        <v/>
      </c>
      <c r="EE29" s="66" t="str">
        <f t="shared" si="49"/>
        <v>imepre-klu-kat</v>
      </c>
      <c r="EF29" s="47" t="s">
        <v>0</v>
      </c>
      <c r="EG29" s="58">
        <f>IF(AL29="","",MAX(EG$12:EG28)+1)</f>
        <v>207</v>
      </c>
      <c r="EH29" s="73">
        <f t="shared" si="50"/>
        <v>24</v>
      </c>
      <c r="EI29" s="73">
        <f t="shared" si="92"/>
        <v>1054</v>
      </c>
      <c r="EJ29" s="73">
        <f t="shared" si="51"/>
        <v>4506</v>
      </c>
      <c r="EK29" s="73">
        <f t="shared" si="52"/>
        <v>1</v>
      </c>
      <c r="EL29" s="73">
        <f t="shared" si="93"/>
        <v>1</v>
      </c>
      <c r="EM29" s="73">
        <f t="shared" si="94"/>
        <v>1</v>
      </c>
      <c r="EN29" s="73" t="str">
        <f t="shared" si="55"/>
        <v>0</v>
      </c>
      <c r="EO29" s="73" t="str">
        <f t="shared" si="56"/>
        <v/>
      </c>
      <c r="EP29" s="73" t="str">
        <f t="shared" si="57"/>
        <v/>
      </c>
      <c r="EQ29" s="53" t="str">
        <f t="shared" si="58"/>
        <v/>
      </c>
      <c r="ER29" s="47" t="s">
        <v>0</v>
      </c>
      <c r="ES29" s="19" t="str">
        <f t="shared" si="95"/>
        <v>INSERT INTO rezultat(id,stazakategorija_id,imeprezime_id,vrijeme_sec,status_id,registracija,uparivanje_id,originalstatus_id,imeprezimealias_id,klubalias_id,kategorijaalias_id) VALUES (207,24,1054,4506,1,1,1,0,Null,Null,Null);</v>
      </c>
      <c r="ET29" s="47" t="s">
        <v>0</v>
      </c>
      <c r="EU29" s="19" t="str">
        <f t="shared" si="96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9" s="47" t="s">
        <v>0</v>
      </c>
      <c r="EW29" s="180" t="str">
        <f t="shared" si="60"/>
        <v xml:space="preserve">
INSERT INTO rezultat(id,stazakategorija_id,imeprezime_id,vrijeme_sec,status_id,registracija,uparivanje_id,originalstatus_id,imeprezimealias_id,klubalias_id,kategorijaalias_id) VALUES (207,24,1054,4506,1,1,1,0,Null,Null,Null);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9" s="47" t="s">
        <v>0</v>
      </c>
    </row>
    <row r="30" spans="1:166" x14ac:dyDescent="0.25">
      <c r="A30" t="s">
        <v>0</v>
      </c>
      <c r="B30" s="52" t="str">
        <f>IF(csv!F20="","",csv!T20)</f>
        <v>M14</v>
      </c>
      <c r="C30" s="31" t="s">
        <v>0</v>
      </c>
      <c r="D30" s="31" t="str">
        <f>IF(csv!F20="","",csv!F20)</f>
        <v>Karlo</v>
      </c>
      <c r="E30" s="31" t="str">
        <f>IF(csv!E20="","",csv!E20)</f>
        <v>Lesjak</v>
      </c>
      <c r="F30" s="31" t="s">
        <v>0</v>
      </c>
      <c r="G30" s="73" t="str">
        <f>IF(csv!M20="","",csv!M20)</f>
        <v>80:20</v>
      </c>
      <c r="H30" s="73" t="str">
        <f>IF(csv!N20="","",csv!N20)</f>
        <v>0</v>
      </c>
      <c r="I30" s="31" t="s">
        <v>0</v>
      </c>
      <c r="J30" s="31" t="str">
        <f>IF(csv!P20="","",csv!P20)</f>
        <v>JAP</v>
      </c>
      <c r="K30" s="31" t="str">
        <f>IF(csv!Q20="","",csv!Q20)</f>
        <v>OK Japetic</v>
      </c>
      <c r="L30" s="31" t="s">
        <v>0</v>
      </c>
      <c r="M30" s="66" t="str">
        <f>IF(csv!R20="","",csv!R20)</f>
        <v>CRO</v>
      </c>
      <c r="N30" s="47" t="s">
        <v>0</v>
      </c>
      <c r="O30" s="246" t="str">
        <f t="shared" si="61"/>
        <v>ok</v>
      </c>
      <c r="P30" s="47"/>
      <c r="Q30" s="52" t="str">
        <f t="shared" si="62"/>
        <v>M14</v>
      </c>
      <c r="R30" s="73">
        <f>IF(Q30="","",IF(COUNTIF(Q$12:Q29,Q30)=0,R29+1,R29))</f>
        <v>2</v>
      </c>
      <c r="S30" s="73">
        <f t="shared" si="63"/>
        <v>111</v>
      </c>
      <c r="T30" s="73">
        <f t="shared" si="1"/>
        <v>21</v>
      </c>
      <c r="U30" s="66" t="str">
        <f t="shared" si="2"/>
        <v>M14 – Ž14</v>
      </c>
      <c r="V30" s="47" t="s">
        <v>0</v>
      </c>
      <c r="W30" s="222" t="str">
        <f t="shared" si="3"/>
        <v>M14</v>
      </c>
      <c r="X30" s="223">
        <f t="shared" si="4"/>
        <v>24</v>
      </c>
      <c r="Y30" s="47" t="s">
        <v>0</v>
      </c>
      <c r="Z30" s="52" t="str">
        <f t="shared" si="64"/>
        <v>CRO</v>
      </c>
      <c r="AA30" s="73">
        <f t="shared" si="5"/>
        <v>1</v>
      </c>
      <c r="AB30" s="31" t="str">
        <f t="shared" si="65"/>
        <v/>
      </c>
      <c r="AC30" s="66" t="str">
        <f>IF(AB30="","",MAX(AC$12:AC29)+1)</f>
        <v/>
      </c>
      <c r="AD30" s="47" t="s">
        <v>0</v>
      </c>
      <c r="AE30" s="125"/>
      <c r="AF30" s="47" t="s">
        <v>0</v>
      </c>
      <c r="AG30" s="19" t="str">
        <f t="shared" si="66"/>
        <v/>
      </c>
      <c r="AH30" s="47" t="s">
        <v>0</v>
      </c>
      <c r="AI30" s="143" t="str">
        <f t="shared" si="67"/>
        <v>CRO</v>
      </c>
      <c r="AJ30" s="47"/>
      <c r="AK30" s="52" t="str">
        <f t="shared" si="68"/>
        <v>Karlo</v>
      </c>
      <c r="AL30" s="31" t="str">
        <f t="shared" si="69"/>
        <v>Lesjak</v>
      </c>
      <c r="AM30" s="73">
        <f t="shared" si="70"/>
        <v>1553</v>
      </c>
      <c r="AN30" s="73" t="str">
        <f t="shared" si="71"/>
        <v/>
      </c>
      <c r="AO30" s="31" t="str">
        <f t="shared" si="8"/>
        <v>Karlo</v>
      </c>
      <c r="AP30" s="66" t="str">
        <f t="shared" si="9"/>
        <v>Lesjak</v>
      </c>
      <c r="AQ30" s="47" t="s">
        <v>0</v>
      </c>
      <c r="AR30" s="82" t="str">
        <f t="shared" si="72"/>
        <v/>
      </c>
      <c r="AS30" s="47" t="s">
        <v>0</v>
      </c>
      <c r="AT30" s="19" t="str">
        <f t="shared" si="73"/>
        <v/>
      </c>
      <c r="AU30" s="47" t="s">
        <v>0</v>
      </c>
      <c r="AV30" s="103"/>
      <c r="AW30" s="105"/>
      <c r="AX30" s="47" t="s">
        <v>0</v>
      </c>
      <c r="AY30" s="259" t="str">
        <f t="shared" si="102"/>
        <v/>
      </c>
      <c r="AZ30" s="47" t="s">
        <v>0</v>
      </c>
      <c r="BA30" s="52" t="str">
        <f t="shared" si="11"/>
        <v/>
      </c>
      <c r="BB30" s="73" t="str">
        <f>IF(AV30&amp;AW30="","",MAX(BB$12:BB29)+1)</f>
        <v/>
      </c>
      <c r="BC30" s="272" t="str">
        <f t="shared" si="12"/>
        <v/>
      </c>
      <c r="BD30" s="53" t="str">
        <f>IF(AND(AM30="NEMA",AN30="NEMA",OR(AV30&amp;AW30="",BC30="NEMA")),MAX(BD$12:BD29)+1,"")</f>
        <v/>
      </c>
      <c r="BE30" s="47" t="s">
        <v>0</v>
      </c>
      <c r="BF30" s="52" t="str">
        <f t="shared" si="74"/>
        <v>Karlo</v>
      </c>
      <c r="BG30" s="66" t="str">
        <f t="shared" si="75"/>
        <v>Lesjak</v>
      </c>
      <c r="BH30" s="47" t="s">
        <v>0</v>
      </c>
      <c r="BI30" s="52" t="str">
        <f t="shared" si="15"/>
        <v>JAP</v>
      </c>
      <c r="BJ30" s="31" t="str">
        <f t="shared" si="16"/>
        <v>OK Japetic</v>
      </c>
      <c r="BK30" s="73">
        <f t="shared" si="17"/>
        <v>1</v>
      </c>
      <c r="BL30" s="31" t="str" cm="1">
        <f t="array" ref="BL30">IF(BK30="",""&amp;BJ30,IF(BK30="NEMA",BJ30,INDEX(regKlub_naziv,MATCH(INDEX(regKlub_alias_klubId,BK30),regKlub_id,0))))</f>
        <v>OK Japetić</v>
      </c>
      <c r="BM30" s="31" t="str" cm="1">
        <f t="array" ref="BM30">IFERROR(""&amp;INDEX(regNatjecatelj_klub,DV30),"")</f>
        <v>OK Japetić</v>
      </c>
      <c r="BN30" s="73" t="str">
        <f t="shared" si="76"/>
        <v/>
      </c>
      <c r="BO30" s="66" t="str">
        <f t="shared" si="77"/>
        <v>OK Japetić</v>
      </c>
      <c r="BP30" s="47" t="s">
        <v>0</v>
      </c>
      <c r="BQ30" s="52" t="str">
        <f>IF(X30&lt;&gt;"NEMA","",IF(IFERROR(MATCH(W30,W$12:W29,0),0)&lt;&gt;0,"",W30))</f>
        <v/>
      </c>
      <c r="BR30" s="73" t="str">
        <f t="shared" si="78"/>
        <v/>
      </c>
      <c r="BS30" s="31" t="str">
        <f>IF(OR(BR30="",BR30&lt;&gt;"NEMA"),"",MAX(BS$12:BS29)+1)</f>
        <v/>
      </c>
      <c r="BT30" s="66" t="str">
        <f t="shared" si="79"/>
        <v/>
      </c>
      <c r="BU30" s="47" t="s">
        <v>0</v>
      </c>
      <c r="BV30" s="19" t="str">
        <f t="shared" si="80"/>
        <v/>
      </c>
      <c r="BW30" s="47" t="s">
        <v>0</v>
      </c>
      <c r="BX30" s="82" t="str">
        <f>IF(BK30&lt;&gt;"NEMA","",IF(IFERROR(MATCH(BJ30,BJ$12:BJ29,0),0)&lt;&gt;0,"",BJ30))</f>
        <v/>
      </c>
      <c r="BY30" s="47" t="s">
        <v>0</v>
      </c>
      <c r="BZ30" s="125"/>
      <c r="CA30" s="47" t="s">
        <v>0</v>
      </c>
      <c r="CB30" s="58" t="str">
        <f t="shared" si="81"/>
        <v/>
      </c>
      <c r="CC30" s="31" t="str">
        <f t="shared" si="82"/>
        <v/>
      </c>
      <c r="CD30" s="31" t="str">
        <f>IF(CC30="","",MAX(CD$12:CD29)+1)</f>
        <v/>
      </c>
      <c r="CE30" s="31" t="str">
        <f t="shared" si="22"/>
        <v/>
      </c>
      <c r="CF30" s="31" t="str">
        <f t="shared" si="83"/>
        <v/>
      </c>
      <c r="CG30" s="31" t="str">
        <f>IF(BZ30="","",MAX(CG$12:CG29)+1)</f>
        <v/>
      </c>
      <c r="CH30" s="31" t="str">
        <f t="shared" si="84"/>
        <v/>
      </c>
      <c r="CI30" s="66" t="str">
        <f t="shared" si="85"/>
        <v/>
      </c>
      <c r="CJ30" s="47" t="s">
        <v>0</v>
      </c>
      <c r="CK30" s="73" t="str">
        <f t="shared" si="25"/>
        <v/>
      </c>
      <c r="CL30" s="47"/>
      <c r="CM30" s="19" t="str">
        <f t="shared" si="86"/>
        <v/>
      </c>
      <c r="CN30" s="47" t="s">
        <v>0</v>
      </c>
      <c r="CO30" s="143" t="str">
        <f t="shared" si="87"/>
        <v>OK Japetić</v>
      </c>
      <c r="CP30" s="47" t="s">
        <v>0</v>
      </c>
      <c r="CQ30" s="58" t="str">
        <f t="shared" si="28"/>
        <v>80:20</v>
      </c>
      <c r="CR30" s="73" t="str">
        <f t="shared" si="29"/>
        <v>0</v>
      </c>
      <c r="CS30" s="229" t="str">
        <f t="shared" si="30"/>
        <v/>
      </c>
      <c r="CT30" s="230">
        <f t="shared" si="88"/>
        <v>4820</v>
      </c>
      <c r="CU30" s="163">
        <f t="shared" si="32"/>
        <v>1</v>
      </c>
      <c r="CV30" s="47" t="s">
        <v>0</v>
      </c>
      <c r="CW30" s="222" t="str">
        <f t="shared" si="89"/>
        <v xml:space="preserve">
</v>
      </c>
      <c r="CX30" s="223">
        <f t="shared" si="90"/>
        <v>6</v>
      </c>
      <c r="CY30" s="47" t="s">
        <v>0</v>
      </c>
      <c r="CZ30" s="47"/>
      <c r="DA30" s="47"/>
      <c r="DB30" s="47"/>
      <c r="DC30" s="47" t="s">
        <v>0</v>
      </c>
      <c r="DD30" s="53" t="str">
        <f t="shared" si="103"/>
        <v/>
      </c>
      <c r="DE30" t="s">
        <v>0</v>
      </c>
      <c r="DF30" s="128" t="str">
        <f t="shared" si="104"/>
        <v>M</v>
      </c>
      <c r="DG30" t="s">
        <v>0</v>
      </c>
      <c r="DH30" s="52" t="str">
        <f t="shared" si="105"/>
        <v/>
      </c>
      <c r="DI30" s="66" t="str">
        <f t="shared" si="106"/>
        <v/>
      </c>
      <c r="DJ30" t="s">
        <v>0</v>
      </c>
      <c r="DK30" s="19" t="str">
        <f t="shared" si="107"/>
        <v/>
      </c>
      <c r="DL30" s="47" t="s">
        <v>0</v>
      </c>
      <c r="DM30" s="19" t="str">
        <f t="shared" si="108"/>
        <v/>
      </c>
      <c r="DN30" s="47" t="s">
        <v>0</v>
      </c>
      <c r="DO30" s="52" t="str">
        <f t="shared" si="39"/>
        <v>Karlo – Lesjak – OK Japetić – M14</v>
      </c>
      <c r="DP30" s="53">
        <f t="shared" si="40"/>
        <v>107</v>
      </c>
      <c r="DQ30" s="47" t="s">
        <v>0</v>
      </c>
      <c r="DR30" s="52" t="str">
        <f t="shared" si="41"/>
        <v>Karlo – Lesjak – OK Japetić</v>
      </c>
      <c r="DS30" s="53">
        <f t="shared" si="42"/>
        <v>107</v>
      </c>
      <c r="DT30" s="47" t="s">
        <v>0</v>
      </c>
      <c r="DU30" s="52" t="str">
        <f t="shared" si="43"/>
        <v>Karlo – Lesjak</v>
      </c>
      <c r="DV30" s="53">
        <f t="shared" si="44"/>
        <v>107</v>
      </c>
      <c r="DW30" s="47" t="s">
        <v>0</v>
      </c>
      <c r="DX30" s="58">
        <f t="shared" si="91"/>
        <v>107</v>
      </c>
      <c r="DY30" s="53" cm="1">
        <f t="array" ref="DY30">IF(DX30&lt;&gt;"",INDEX(regNatjecatelj_id,DX30,0),IF(BD30&lt;&gt;"",BD30,""))</f>
        <v>1553</v>
      </c>
      <c r="DZ30" s="47" t="s">
        <v>0</v>
      </c>
      <c r="EA30" s="58" t="str">
        <f t="shared" si="45"/>
        <v>imepre</v>
      </c>
      <c r="EB30" s="73" t="str">
        <f t="shared" si="46"/>
        <v>klu(ali)</v>
      </c>
      <c r="EC30" s="73" t="str">
        <f t="shared" si="47"/>
        <v>kat</v>
      </c>
      <c r="ED30" s="73" t="str">
        <f t="shared" si="48"/>
        <v/>
      </c>
      <c r="EE30" s="66" t="str">
        <f t="shared" si="49"/>
        <v>imepre-klu(ali)-kat</v>
      </c>
      <c r="EF30" s="47" t="s">
        <v>0</v>
      </c>
      <c r="EG30" s="58">
        <f>IF(AL30="","",MAX(EG$12:EG29)+1)</f>
        <v>208</v>
      </c>
      <c r="EH30" s="73">
        <f t="shared" si="50"/>
        <v>24</v>
      </c>
      <c r="EI30" s="73">
        <f t="shared" si="92"/>
        <v>1553</v>
      </c>
      <c r="EJ30" s="73">
        <f t="shared" si="51"/>
        <v>4820</v>
      </c>
      <c r="EK30" s="73">
        <f t="shared" si="52"/>
        <v>1</v>
      </c>
      <c r="EL30" s="73">
        <f t="shared" si="93"/>
        <v>1</v>
      </c>
      <c r="EM30" s="73">
        <f t="shared" si="94"/>
        <v>3</v>
      </c>
      <c r="EN30" s="73" t="str">
        <f t="shared" si="55"/>
        <v>0</v>
      </c>
      <c r="EO30" s="73" t="str">
        <f t="shared" si="56"/>
        <v/>
      </c>
      <c r="EP30" s="73">
        <f t="shared" si="57"/>
        <v>1</v>
      </c>
      <c r="EQ30" s="53" t="str">
        <f t="shared" si="58"/>
        <v/>
      </c>
      <c r="ER30" s="47" t="s">
        <v>0</v>
      </c>
      <c r="ES30" s="19" t="str">
        <f t="shared" si="95"/>
        <v>INSERT INTO rezultat(id,stazakategorija_id,imeprezime_id,vrijeme_sec,status_id,registracija,uparivanje_id,originalstatus_id,imeprezimealias_id,klubalias_id,kategorijaalias_id) VALUES (208,24,1553,4820,1,1,3,0,Null,1,Null);</v>
      </c>
      <c r="ET30" s="47" t="s">
        <v>0</v>
      </c>
      <c r="EU30" s="19" t="str">
        <f t="shared" si="96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0" s="47" t="s">
        <v>0</v>
      </c>
      <c r="EW30" s="180" t="str">
        <f t="shared" si="60"/>
        <v xml:space="preserve">
INSERT INTO rezultat(id,stazakategorija_id,imeprezime_id,vrijeme_sec,status_id,registracija,uparivanje_id,originalstatus_id,imeprezimealias_id,klubalias_id,kategorijaalias_id) VALUES (208,24,1553,4820,1,1,3,0,Null,1,Null);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0" s="47" t="s">
        <v>0</v>
      </c>
    </row>
    <row r="31" spans="1:166" x14ac:dyDescent="0.25">
      <c r="A31" t="s">
        <v>0</v>
      </c>
      <c r="B31" s="52" t="str">
        <f>IF(csv!F21="","",csv!T21)</f>
        <v>M14</v>
      </c>
      <c r="C31" s="31" t="s">
        <v>0</v>
      </c>
      <c r="D31" s="31" t="str">
        <f>IF(csv!F21="","",csv!F21)</f>
        <v>Marko</v>
      </c>
      <c r="E31" s="31" t="str">
        <f>IF(csv!E21="","",csv!E21)</f>
        <v>Tanković</v>
      </c>
      <c r="F31" s="31" t="s">
        <v>0</v>
      </c>
      <c r="G31" s="73" t="str">
        <f>IF(csv!M21="","",csv!M21)</f>
        <v>95:20</v>
      </c>
      <c r="H31" s="73" t="str">
        <f>IF(csv!N21="","",csv!N21)</f>
        <v>0</v>
      </c>
      <c r="I31" s="31" t="s">
        <v>0</v>
      </c>
      <c r="J31" s="31" t="str">
        <f>IF(csv!P21="","",csv!P21)</f>
        <v>OK Jelen</v>
      </c>
      <c r="K31" s="31" t="str">
        <f>IF(csv!Q21="","",csv!Q21)</f>
        <v>OK Jelen</v>
      </c>
      <c r="L31" s="31" t="s">
        <v>0</v>
      </c>
      <c r="M31" s="66" t="str">
        <f>IF(csv!R21="","",csv!R21)</f>
        <v>CRO</v>
      </c>
      <c r="N31" s="47" t="s">
        <v>0</v>
      </c>
      <c r="O31" s="246" t="str">
        <f t="shared" si="61"/>
        <v>ok</v>
      </c>
      <c r="P31" s="47"/>
      <c r="Q31" s="52" t="str">
        <f t="shared" si="62"/>
        <v>M14</v>
      </c>
      <c r="R31" s="73">
        <f>IF(Q31="","",IF(COUNTIF(Q$12:Q30,Q31)=0,R30+1,R30))</f>
        <v>2</v>
      </c>
      <c r="S31" s="73">
        <f t="shared" si="63"/>
        <v>111</v>
      </c>
      <c r="T31" s="73">
        <f t="shared" si="1"/>
        <v>21</v>
      </c>
      <c r="U31" s="66" t="str">
        <f t="shared" si="2"/>
        <v>M14 – Ž14</v>
      </c>
      <c r="V31" s="47" t="s">
        <v>0</v>
      </c>
      <c r="W31" s="222" t="str">
        <f t="shared" si="3"/>
        <v>M14</v>
      </c>
      <c r="X31" s="223">
        <f t="shared" si="4"/>
        <v>24</v>
      </c>
      <c r="Y31" s="47" t="s">
        <v>0</v>
      </c>
      <c r="Z31" s="52" t="str">
        <f t="shared" si="64"/>
        <v>CRO</v>
      </c>
      <c r="AA31" s="73">
        <f t="shared" si="5"/>
        <v>1</v>
      </c>
      <c r="AB31" s="31" t="str">
        <f t="shared" si="65"/>
        <v/>
      </c>
      <c r="AC31" s="66" t="str">
        <f>IF(AB31="","",MAX(AC$12:AC30)+1)</f>
        <v/>
      </c>
      <c r="AD31" s="47" t="s">
        <v>0</v>
      </c>
      <c r="AE31" s="125"/>
      <c r="AF31" s="47" t="s">
        <v>0</v>
      </c>
      <c r="AG31" s="19" t="str">
        <f t="shared" si="66"/>
        <v/>
      </c>
      <c r="AH31" s="47" t="s">
        <v>0</v>
      </c>
      <c r="AI31" s="143" t="str">
        <f t="shared" si="67"/>
        <v>CRO</v>
      </c>
      <c r="AJ31" s="47"/>
      <c r="AK31" s="52" t="str">
        <f t="shared" si="68"/>
        <v>Marko</v>
      </c>
      <c r="AL31" s="31" t="str">
        <f t="shared" si="69"/>
        <v>Tanković</v>
      </c>
      <c r="AM31" s="73">
        <f t="shared" si="70"/>
        <v>1119</v>
      </c>
      <c r="AN31" s="73" t="str">
        <f t="shared" si="71"/>
        <v/>
      </c>
      <c r="AO31" s="31" t="str">
        <f t="shared" si="8"/>
        <v>Marko</v>
      </c>
      <c r="AP31" s="66" t="str">
        <f t="shared" si="9"/>
        <v>Tanković</v>
      </c>
      <c r="AQ31" s="47" t="s">
        <v>0</v>
      </c>
      <c r="AR31" s="82" t="str">
        <f t="shared" si="72"/>
        <v/>
      </c>
      <c r="AS31" s="47" t="s">
        <v>0</v>
      </c>
      <c r="AT31" s="19" t="str">
        <f t="shared" si="73"/>
        <v/>
      </c>
      <c r="AU31" s="47" t="s">
        <v>0</v>
      </c>
      <c r="AV31" s="103"/>
      <c r="AW31" s="105"/>
      <c r="AX31" s="47" t="s">
        <v>0</v>
      </c>
      <c r="AY31" s="259" t="str">
        <f t="shared" si="102"/>
        <v/>
      </c>
      <c r="AZ31" s="47" t="s">
        <v>0</v>
      </c>
      <c r="BA31" s="52" t="str">
        <f t="shared" si="11"/>
        <v/>
      </c>
      <c r="BB31" s="73" t="str">
        <f>IF(AV31&amp;AW31="","",MAX(BB$12:BB30)+1)</f>
        <v/>
      </c>
      <c r="BC31" s="272" t="str">
        <f t="shared" si="12"/>
        <v/>
      </c>
      <c r="BD31" s="53" t="str">
        <f>IF(AND(AM31="NEMA",AN31="NEMA",OR(AV31&amp;AW31="",BC31="NEMA")),MAX(BD$12:BD30)+1,"")</f>
        <v/>
      </c>
      <c r="BE31" s="47" t="s">
        <v>0</v>
      </c>
      <c r="BF31" s="52" t="str">
        <f t="shared" si="74"/>
        <v>Marko</v>
      </c>
      <c r="BG31" s="66" t="str">
        <f t="shared" si="75"/>
        <v>Tanković</v>
      </c>
      <c r="BH31" s="47" t="s">
        <v>0</v>
      </c>
      <c r="BI31" s="52" t="str">
        <f t="shared" si="15"/>
        <v>OK Jelen</v>
      </c>
      <c r="BJ31" s="31" t="str">
        <f t="shared" si="16"/>
        <v>OK Jelen</v>
      </c>
      <c r="BK31" s="73" t="str">
        <f t="shared" si="17"/>
        <v/>
      </c>
      <c r="BL31" s="31" t="str" cm="1">
        <f t="array" ref="BL31">IF(BK31="",""&amp;BJ31,IF(BK31="NEMA",BJ31,INDEX(regKlub_naziv,MATCH(INDEX(regKlub_alias_klubId,BK31),regKlub_id,0))))</f>
        <v>OK Jelen</v>
      </c>
      <c r="BM31" s="31" t="str" cm="1">
        <f t="array" ref="BM31">IFERROR(""&amp;INDEX(regNatjecatelj_klub,DV31),"")</f>
        <v>OK Jelen</v>
      </c>
      <c r="BN31" s="73" t="str">
        <f t="shared" si="76"/>
        <v/>
      </c>
      <c r="BO31" s="66" t="str">
        <f t="shared" si="77"/>
        <v>OK Jelen</v>
      </c>
      <c r="BP31" s="47" t="s">
        <v>0</v>
      </c>
      <c r="BQ31" s="52" t="str">
        <f>IF(X31&lt;&gt;"NEMA","",IF(IFERROR(MATCH(W31,W$12:W30,0),0)&lt;&gt;0,"",W31))</f>
        <v/>
      </c>
      <c r="BR31" s="73" t="str">
        <f t="shared" si="78"/>
        <v/>
      </c>
      <c r="BS31" s="31" t="str">
        <f>IF(OR(BR31="",BR31&lt;&gt;"NEMA"),"",MAX(BS$12:BS30)+1)</f>
        <v/>
      </c>
      <c r="BT31" s="66" t="str">
        <f t="shared" si="79"/>
        <v/>
      </c>
      <c r="BU31" s="47" t="s">
        <v>0</v>
      </c>
      <c r="BV31" s="19" t="str">
        <f t="shared" si="80"/>
        <v/>
      </c>
      <c r="BW31" s="47" t="s">
        <v>0</v>
      </c>
      <c r="BX31" s="82" t="str">
        <f>IF(BK31&lt;&gt;"NEMA","",IF(IFERROR(MATCH(BJ31,BJ$12:BJ30,0),0)&lt;&gt;0,"",BJ31))</f>
        <v/>
      </c>
      <c r="BY31" s="47" t="s">
        <v>0</v>
      </c>
      <c r="BZ31" s="125"/>
      <c r="CA31" s="47" t="s">
        <v>0</v>
      </c>
      <c r="CB31" s="58" t="str">
        <f t="shared" si="81"/>
        <v/>
      </c>
      <c r="CC31" s="31" t="str">
        <f t="shared" si="82"/>
        <v/>
      </c>
      <c r="CD31" s="31" t="str">
        <f>IF(CC31="","",MAX(CD$12:CD30)+1)</f>
        <v/>
      </c>
      <c r="CE31" s="31" t="str">
        <f t="shared" si="22"/>
        <v/>
      </c>
      <c r="CF31" s="31" t="str">
        <f t="shared" si="83"/>
        <v/>
      </c>
      <c r="CG31" s="31" t="str">
        <f>IF(BZ31="","",MAX(CG$12:CG30)+1)</f>
        <v/>
      </c>
      <c r="CH31" s="31" t="str">
        <f t="shared" si="84"/>
        <v/>
      </c>
      <c r="CI31" s="66" t="str">
        <f t="shared" si="85"/>
        <v/>
      </c>
      <c r="CJ31" s="47" t="s">
        <v>0</v>
      </c>
      <c r="CK31" s="73" t="str">
        <f t="shared" si="25"/>
        <v/>
      </c>
      <c r="CL31" s="47"/>
      <c r="CM31" s="19" t="str">
        <f t="shared" si="86"/>
        <v/>
      </c>
      <c r="CN31" s="47" t="s">
        <v>0</v>
      </c>
      <c r="CO31" s="143" t="str">
        <f t="shared" si="87"/>
        <v>OK Jelen</v>
      </c>
      <c r="CP31" s="47" t="s">
        <v>0</v>
      </c>
      <c r="CQ31" s="58" t="str">
        <f t="shared" si="28"/>
        <v>95:20</v>
      </c>
      <c r="CR31" s="73" t="str">
        <f t="shared" si="29"/>
        <v>0</v>
      </c>
      <c r="CS31" s="229" t="str">
        <f t="shared" si="30"/>
        <v/>
      </c>
      <c r="CT31" s="230">
        <f t="shared" si="88"/>
        <v>5720</v>
      </c>
      <c r="CU31" s="163">
        <f t="shared" si="32"/>
        <v>1</v>
      </c>
      <c r="CV31" s="47" t="s">
        <v>0</v>
      </c>
      <c r="CW31" s="222" t="str">
        <f t="shared" si="89"/>
        <v xml:space="preserve">
</v>
      </c>
      <c r="CX31" s="223">
        <f t="shared" si="90"/>
        <v>6</v>
      </c>
      <c r="CY31" s="47" t="s">
        <v>0</v>
      </c>
      <c r="CZ31" s="47"/>
      <c r="DA31" s="47"/>
      <c r="DB31" s="47"/>
      <c r="DC31" s="47" t="s">
        <v>0</v>
      </c>
      <c r="DD31" s="53" t="str">
        <f t="shared" si="103"/>
        <v/>
      </c>
      <c r="DE31" t="s">
        <v>0</v>
      </c>
      <c r="DF31" s="128" t="str">
        <f t="shared" si="104"/>
        <v>M</v>
      </c>
      <c r="DG31" t="s">
        <v>0</v>
      </c>
      <c r="DH31" s="52" t="str">
        <f t="shared" si="105"/>
        <v/>
      </c>
      <c r="DI31" s="66" t="str">
        <f t="shared" si="106"/>
        <v/>
      </c>
      <c r="DJ31" t="s">
        <v>0</v>
      </c>
      <c r="DK31" s="19" t="str">
        <f t="shared" si="107"/>
        <v/>
      </c>
      <c r="DL31" s="47" t="s">
        <v>0</v>
      </c>
      <c r="DM31" s="19" t="str">
        <f t="shared" si="108"/>
        <v/>
      </c>
      <c r="DN31" s="47" t="s">
        <v>0</v>
      </c>
      <c r="DO31" s="52" t="str">
        <f t="shared" si="39"/>
        <v>Marko – Tanković – OK Jelen – M14</v>
      </c>
      <c r="DP31" s="53">
        <f t="shared" si="40"/>
        <v>198</v>
      </c>
      <c r="DQ31" s="47" t="s">
        <v>0</v>
      </c>
      <c r="DR31" s="52" t="str">
        <f t="shared" si="41"/>
        <v>Marko – Tanković – OK Jelen</v>
      </c>
      <c r="DS31" s="53">
        <f t="shared" si="42"/>
        <v>198</v>
      </c>
      <c r="DT31" s="47" t="s">
        <v>0</v>
      </c>
      <c r="DU31" s="52" t="str">
        <f t="shared" si="43"/>
        <v>Marko – Tanković</v>
      </c>
      <c r="DV31" s="53">
        <f t="shared" si="44"/>
        <v>198</v>
      </c>
      <c r="DW31" s="47" t="s">
        <v>0</v>
      </c>
      <c r="DX31" s="58">
        <f t="shared" si="91"/>
        <v>198</v>
      </c>
      <c r="DY31" s="53" cm="1">
        <f t="array" ref="DY31">IF(DX31&lt;&gt;"",INDEX(regNatjecatelj_id,DX31,0),IF(BD31&lt;&gt;"",BD31,""))</f>
        <v>1119</v>
      </c>
      <c r="DZ31" s="47" t="s">
        <v>0</v>
      </c>
      <c r="EA31" s="58" t="str">
        <f t="shared" si="45"/>
        <v>imepre</v>
      </c>
      <c r="EB31" s="73" t="str">
        <f t="shared" si="46"/>
        <v>klu</v>
      </c>
      <c r="EC31" s="73" t="str">
        <f t="shared" si="47"/>
        <v>kat</v>
      </c>
      <c r="ED31" s="73" t="str">
        <f t="shared" si="48"/>
        <v/>
      </c>
      <c r="EE31" s="66" t="str">
        <f t="shared" si="49"/>
        <v>imepre-klu-kat</v>
      </c>
      <c r="EF31" s="47" t="s">
        <v>0</v>
      </c>
      <c r="EG31" s="58">
        <f>IF(AL31="","",MAX(EG$12:EG30)+1)</f>
        <v>209</v>
      </c>
      <c r="EH31" s="73">
        <f t="shared" si="50"/>
        <v>24</v>
      </c>
      <c r="EI31" s="73">
        <f t="shared" si="92"/>
        <v>1119</v>
      </c>
      <c r="EJ31" s="73">
        <f t="shared" si="51"/>
        <v>5720</v>
      </c>
      <c r="EK31" s="73">
        <f t="shared" si="52"/>
        <v>1</v>
      </c>
      <c r="EL31" s="73">
        <f t="shared" si="93"/>
        <v>1</v>
      </c>
      <c r="EM31" s="73">
        <f t="shared" si="94"/>
        <v>1</v>
      </c>
      <c r="EN31" s="73" t="str">
        <f t="shared" si="55"/>
        <v>0</v>
      </c>
      <c r="EO31" s="73" t="str">
        <f t="shared" si="56"/>
        <v/>
      </c>
      <c r="EP31" s="73" t="str">
        <f t="shared" si="57"/>
        <v/>
      </c>
      <c r="EQ31" s="53" t="str">
        <f t="shared" si="58"/>
        <v/>
      </c>
      <c r="ER31" s="47" t="s">
        <v>0</v>
      </c>
      <c r="ES31" s="19" t="str">
        <f t="shared" si="95"/>
        <v>INSERT INTO rezultat(id,stazakategorija_id,imeprezime_id,vrijeme_sec,status_id,registracija,uparivanje_id,originalstatus_id,imeprezimealias_id,klubalias_id,kategorijaalias_id) VALUES (209,24,1119,5720,1,1,1,0,Null,Null,Null);</v>
      </c>
      <c r="ET31" s="47" t="s">
        <v>0</v>
      </c>
      <c r="EU31" s="19" t="str">
        <f t="shared" si="96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1" s="47" t="s">
        <v>0</v>
      </c>
      <c r="EW31" s="180" t="str">
        <f t="shared" si="60"/>
        <v xml:space="preserve">
INSERT INTO rezultat(id,stazakategorija_id,imeprezime_id,vrijeme_sec,status_id,registracija,uparivanje_id,originalstatus_id,imeprezimealias_id,klubalias_id,kategorijaalias_id) VALUES (209,24,1119,5720,1,1,1,0,Null,Null,Null);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1" s="47" t="s">
        <v>0</v>
      </c>
    </row>
    <row r="32" spans="1:166" x14ac:dyDescent="0.25">
      <c r="A32" t="s">
        <v>0</v>
      </c>
      <c r="B32" s="52" t="str">
        <f>IF(csv!F22="","",csv!T22)</f>
        <v>M14</v>
      </c>
      <c r="C32" s="31" t="s">
        <v>0</v>
      </c>
      <c r="D32" s="31" t="str">
        <f>IF(csv!F22="","",csv!F22)</f>
        <v>Luka</v>
      </c>
      <c r="E32" s="31" t="str">
        <f>IF(csv!E22="","",csv!E22)</f>
        <v>Sučić</v>
      </c>
      <c r="F32" s="31" t="s">
        <v>0</v>
      </c>
      <c r="G32" s="73" t="str">
        <f>IF(csv!M22="","",csv!M22)</f>
        <v>102:00</v>
      </c>
      <c r="H32" s="73" t="str">
        <f>IF(csv!N22="","",csv!N22)</f>
        <v>0</v>
      </c>
      <c r="I32" s="31" t="s">
        <v>0</v>
      </c>
      <c r="J32" s="31" t="str">
        <f>IF(csv!P22="","",csv!P22)</f>
        <v>Vihor</v>
      </c>
      <c r="K32" s="31" t="str">
        <f>IF(csv!Q22="","",csv!Q22)</f>
        <v>OK Vihor</v>
      </c>
      <c r="L32" s="31" t="s">
        <v>0</v>
      </c>
      <c r="M32" s="66" t="str">
        <f>IF(csv!R22="","",csv!R22)</f>
        <v>CRO</v>
      </c>
      <c r="N32" s="47" t="s">
        <v>0</v>
      </c>
      <c r="O32" s="246" t="str">
        <f t="shared" si="61"/>
        <v>ok</v>
      </c>
      <c r="P32" s="47"/>
      <c r="Q32" s="52" t="str">
        <f t="shared" si="62"/>
        <v>M14</v>
      </c>
      <c r="R32" s="73">
        <f>IF(Q32="","",IF(COUNTIF(Q$12:Q31,Q32)=0,R31+1,R31))</f>
        <v>2</v>
      </c>
      <c r="S32" s="73">
        <f t="shared" si="63"/>
        <v>111</v>
      </c>
      <c r="T32" s="73">
        <f t="shared" si="1"/>
        <v>21</v>
      </c>
      <c r="U32" s="66" t="str">
        <f t="shared" si="2"/>
        <v>M14 – Ž14</v>
      </c>
      <c r="V32" s="47" t="s">
        <v>0</v>
      </c>
      <c r="W32" s="222" t="str">
        <f t="shared" si="3"/>
        <v>M14</v>
      </c>
      <c r="X32" s="223">
        <f t="shared" si="4"/>
        <v>24</v>
      </c>
      <c r="Y32" s="47" t="s">
        <v>0</v>
      </c>
      <c r="Z32" s="52" t="str">
        <f t="shared" si="64"/>
        <v>CRO</v>
      </c>
      <c r="AA32" s="73">
        <f t="shared" si="5"/>
        <v>1</v>
      </c>
      <c r="AB32" s="31" t="str">
        <f t="shared" si="65"/>
        <v/>
      </c>
      <c r="AC32" s="66" t="str">
        <f>IF(AB32="","",MAX(AC$12:AC31)+1)</f>
        <v/>
      </c>
      <c r="AD32" s="47" t="s">
        <v>0</v>
      </c>
      <c r="AE32" s="125"/>
      <c r="AF32" s="47" t="s">
        <v>0</v>
      </c>
      <c r="AG32" s="19" t="str">
        <f t="shared" si="66"/>
        <v/>
      </c>
      <c r="AH32" s="47" t="s">
        <v>0</v>
      </c>
      <c r="AI32" s="143" t="str">
        <f t="shared" si="67"/>
        <v>CRO</v>
      </c>
      <c r="AJ32" s="47"/>
      <c r="AK32" s="52" t="str">
        <f t="shared" si="68"/>
        <v>Luka</v>
      </c>
      <c r="AL32" s="31" t="str">
        <f t="shared" si="69"/>
        <v>Sučić</v>
      </c>
      <c r="AM32" s="73">
        <f t="shared" si="70"/>
        <v>1304</v>
      </c>
      <c r="AN32" s="73" t="str">
        <f t="shared" si="71"/>
        <v/>
      </c>
      <c r="AO32" s="31" t="str">
        <f t="shared" si="8"/>
        <v>Luka</v>
      </c>
      <c r="AP32" s="66" t="str">
        <f t="shared" si="9"/>
        <v>Sučić</v>
      </c>
      <c r="AQ32" s="47" t="s">
        <v>0</v>
      </c>
      <c r="AR32" s="82" t="str">
        <f t="shared" si="72"/>
        <v/>
      </c>
      <c r="AS32" s="47" t="s">
        <v>0</v>
      </c>
      <c r="AT32" s="19" t="str">
        <f t="shared" si="73"/>
        <v/>
      </c>
      <c r="AU32" s="47" t="s">
        <v>0</v>
      </c>
      <c r="AV32" s="103"/>
      <c r="AW32" s="105"/>
      <c r="AX32" s="47" t="s">
        <v>0</v>
      </c>
      <c r="AY32" s="259" t="str">
        <f t="shared" si="102"/>
        <v/>
      </c>
      <c r="AZ32" s="47" t="s">
        <v>0</v>
      </c>
      <c r="BA32" s="52" t="str">
        <f t="shared" si="11"/>
        <v/>
      </c>
      <c r="BB32" s="73" t="str">
        <f>IF(AV32&amp;AW32="","",MAX(BB$12:BB31)+1)</f>
        <v/>
      </c>
      <c r="BC32" s="272" t="str">
        <f t="shared" si="12"/>
        <v/>
      </c>
      <c r="BD32" s="53" t="str">
        <f>IF(AND(AM32="NEMA",AN32="NEMA",OR(AV32&amp;AW32="",BC32="NEMA")),MAX(BD$12:BD31)+1,"")</f>
        <v/>
      </c>
      <c r="BE32" s="47" t="s">
        <v>0</v>
      </c>
      <c r="BF32" s="52" t="str">
        <f t="shared" si="74"/>
        <v>Luka</v>
      </c>
      <c r="BG32" s="66" t="str">
        <f t="shared" si="75"/>
        <v>Sučić</v>
      </c>
      <c r="BH32" s="47" t="s">
        <v>0</v>
      </c>
      <c r="BI32" s="52" t="str">
        <f t="shared" si="15"/>
        <v>Vihor</v>
      </c>
      <c r="BJ32" s="31" t="str">
        <f t="shared" si="16"/>
        <v>OK Vihor</v>
      </c>
      <c r="BK32" s="73" t="str">
        <f t="shared" si="17"/>
        <v/>
      </c>
      <c r="BL32" s="31" t="str" cm="1">
        <f t="array" ref="BL32">IF(BK32="",""&amp;BJ32,IF(BK32="NEMA",BJ32,INDEX(regKlub_naziv,MATCH(INDEX(regKlub_alias_klubId,BK32),regKlub_id,0))))</f>
        <v>OK Vihor</v>
      </c>
      <c r="BM32" s="31" t="str" cm="1">
        <f t="array" ref="BM32">IFERROR(""&amp;INDEX(regNatjecatelj_klub,DV32),"")</f>
        <v>OK Vihor</v>
      </c>
      <c r="BN32" s="73" t="str">
        <f t="shared" si="76"/>
        <v/>
      </c>
      <c r="BO32" s="66" t="str">
        <f t="shared" si="77"/>
        <v>OK Vihor</v>
      </c>
      <c r="BP32" s="47" t="s">
        <v>0</v>
      </c>
      <c r="BQ32" s="52" t="str">
        <f>IF(X32&lt;&gt;"NEMA","",IF(IFERROR(MATCH(W32,W$12:W31,0),0)&lt;&gt;0,"",W32))</f>
        <v/>
      </c>
      <c r="BR32" s="73" t="str">
        <f t="shared" si="78"/>
        <v/>
      </c>
      <c r="BS32" s="31" t="str">
        <f>IF(OR(BR32="",BR32&lt;&gt;"NEMA"),"",MAX(BS$12:BS31)+1)</f>
        <v/>
      </c>
      <c r="BT32" s="66" t="str">
        <f t="shared" si="79"/>
        <v/>
      </c>
      <c r="BU32" s="47" t="s">
        <v>0</v>
      </c>
      <c r="BV32" s="19" t="str">
        <f t="shared" si="80"/>
        <v/>
      </c>
      <c r="BW32" s="47" t="s">
        <v>0</v>
      </c>
      <c r="BX32" s="82" t="str">
        <f>IF(BK32&lt;&gt;"NEMA","",IF(IFERROR(MATCH(BJ32,BJ$12:BJ31,0),0)&lt;&gt;0,"",BJ32))</f>
        <v/>
      </c>
      <c r="BY32" s="47" t="s">
        <v>0</v>
      </c>
      <c r="BZ32" s="125"/>
      <c r="CA32" s="47" t="s">
        <v>0</v>
      </c>
      <c r="CB32" s="58" t="str">
        <f t="shared" si="81"/>
        <v/>
      </c>
      <c r="CC32" s="31" t="str">
        <f t="shared" si="82"/>
        <v/>
      </c>
      <c r="CD32" s="31" t="str">
        <f>IF(CC32="","",MAX(CD$12:CD31)+1)</f>
        <v/>
      </c>
      <c r="CE32" s="31" t="str">
        <f t="shared" si="22"/>
        <v/>
      </c>
      <c r="CF32" s="31" t="str">
        <f t="shared" si="83"/>
        <v/>
      </c>
      <c r="CG32" s="31" t="str">
        <f>IF(BZ32="","",MAX(CG$12:CG31)+1)</f>
        <v/>
      </c>
      <c r="CH32" s="31" t="str">
        <f t="shared" si="84"/>
        <v/>
      </c>
      <c r="CI32" s="66" t="str">
        <f t="shared" si="85"/>
        <v/>
      </c>
      <c r="CJ32" s="47" t="s">
        <v>0</v>
      </c>
      <c r="CK32" s="73" t="str">
        <f t="shared" si="25"/>
        <v/>
      </c>
      <c r="CL32" s="47"/>
      <c r="CM32" s="19" t="str">
        <f t="shared" si="86"/>
        <v/>
      </c>
      <c r="CN32" s="47" t="s">
        <v>0</v>
      </c>
      <c r="CO32" s="143" t="str">
        <f t="shared" si="87"/>
        <v>OK Vihor</v>
      </c>
      <c r="CP32" s="47" t="s">
        <v>0</v>
      </c>
      <c r="CQ32" s="58" t="str">
        <f t="shared" si="28"/>
        <v>102:00</v>
      </c>
      <c r="CR32" s="73" t="str">
        <f t="shared" si="29"/>
        <v>0</v>
      </c>
      <c r="CS32" s="229" t="str">
        <f t="shared" si="30"/>
        <v/>
      </c>
      <c r="CT32" s="230">
        <f t="shared" si="88"/>
        <v>6120</v>
      </c>
      <c r="CU32" s="163">
        <f t="shared" si="32"/>
        <v>1</v>
      </c>
      <c r="CV32" s="47" t="s">
        <v>0</v>
      </c>
      <c r="CW32" s="222" t="str">
        <f t="shared" si="89"/>
        <v xml:space="preserve">
</v>
      </c>
      <c r="CX32" s="223">
        <f t="shared" si="90"/>
        <v>6</v>
      </c>
      <c r="CY32" s="47" t="s">
        <v>0</v>
      </c>
      <c r="CZ32" s="47"/>
      <c r="DA32" s="47"/>
      <c r="DB32" s="47"/>
      <c r="DC32" s="47" t="s">
        <v>0</v>
      </c>
      <c r="DD32" s="53" t="str">
        <f t="shared" si="103"/>
        <v/>
      </c>
      <c r="DE32" t="s">
        <v>0</v>
      </c>
      <c r="DF32" s="128" t="str">
        <f t="shared" si="104"/>
        <v>M</v>
      </c>
      <c r="DG32" t="s">
        <v>0</v>
      </c>
      <c r="DH32" s="52" t="str">
        <f t="shared" si="105"/>
        <v/>
      </c>
      <c r="DI32" s="66" t="str">
        <f t="shared" si="106"/>
        <v/>
      </c>
      <c r="DJ32" t="s">
        <v>0</v>
      </c>
      <c r="DK32" s="19" t="str">
        <f t="shared" si="107"/>
        <v/>
      </c>
      <c r="DL32" s="47" t="s">
        <v>0</v>
      </c>
      <c r="DM32" s="19" t="str">
        <f t="shared" si="108"/>
        <v/>
      </c>
      <c r="DN32" s="47" t="s">
        <v>0</v>
      </c>
      <c r="DO32" s="52" t="str">
        <f t="shared" si="39"/>
        <v>Luka – Sučić – OK Vihor – M14</v>
      </c>
      <c r="DP32" s="53">
        <f t="shared" si="40"/>
        <v>914</v>
      </c>
      <c r="DQ32" s="47" t="s">
        <v>0</v>
      </c>
      <c r="DR32" s="52" t="str">
        <f t="shared" si="41"/>
        <v>Luka – Sučić – OK Vihor</v>
      </c>
      <c r="DS32" s="53">
        <f t="shared" si="42"/>
        <v>914</v>
      </c>
      <c r="DT32" s="47" t="s">
        <v>0</v>
      </c>
      <c r="DU32" s="52" t="str">
        <f t="shared" si="43"/>
        <v>Luka – Sučić</v>
      </c>
      <c r="DV32" s="53">
        <f t="shared" si="44"/>
        <v>914</v>
      </c>
      <c r="DW32" s="47" t="s">
        <v>0</v>
      </c>
      <c r="DX32" s="58">
        <f t="shared" si="91"/>
        <v>914</v>
      </c>
      <c r="DY32" s="53" cm="1">
        <f t="array" ref="DY32">IF(DX32&lt;&gt;"",INDEX(regNatjecatelj_id,DX32,0),IF(BD32&lt;&gt;"",BD32,""))</f>
        <v>1304</v>
      </c>
      <c r="DZ32" s="47" t="s">
        <v>0</v>
      </c>
      <c r="EA32" s="58" t="str">
        <f t="shared" si="45"/>
        <v>imepre</v>
      </c>
      <c r="EB32" s="73" t="str">
        <f t="shared" si="46"/>
        <v>klu</v>
      </c>
      <c r="EC32" s="73" t="str">
        <f t="shared" si="47"/>
        <v>kat</v>
      </c>
      <c r="ED32" s="73" t="str">
        <f t="shared" si="48"/>
        <v/>
      </c>
      <c r="EE32" s="66" t="str">
        <f t="shared" si="49"/>
        <v>imepre-klu-kat</v>
      </c>
      <c r="EF32" s="47" t="s">
        <v>0</v>
      </c>
      <c r="EG32" s="58">
        <f>IF(AL32="","",MAX(EG$12:EG31)+1)</f>
        <v>210</v>
      </c>
      <c r="EH32" s="73">
        <f t="shared" si="50"/>
        <v>24</v>
      </c>
      <c r="EI32" s="73">
        <f t="shared" si="92"/>
        <v>1304</v>
      </c>
      <c r="EJ32" s="73">
        <f t="shared" si="51"/>
        <v>6120</v>
      </c>
      <c r="EK32" s="73">
        <f t="shared" si="52"/>
        <v>1</v>
      </c>
      <c r="EL32" s="73">
        <f t="shared" si="93"/>
        <v>1</v>
      </c>
      <c r="EM32" s="73">
        <f t="shared" si="94"/>
        <v>1</v>
      </c>
      <c r="EN32" s="73" t="str">
        <f t="shared" si="55"/>
        <v>0</v>
      </c>
      <c r="EO32" s="73" t="str">
        <f t="shared" si="56"/>
        <v/>
      </c>
      <c r="EP32" s="73" t="str">
        <f t="shared" si="57"/>
        <v/>
      </c>
      <c r="EQ32" s="53" t="str">
        <f t="shared" si="58"/>
        <v/>
      </c>
      <c r="ER32" s="47" t="s">
        <v>0</v>
      </c>
      <c r="ES32" s="19" t="str">
        <f t="shared" si="95"/>
        <v>INSERT INTO rezultat(id,stazakategorija_id,imeprezime_id,vrijeme_sec,status_id,registracija,uparivanje_id,originalstatus_id,imeprezimealias_id,klubalias_id,kategorijaalias_id) VALUES (210,24,1304,6120,1,1,1,0,Null,Null,Null);</v>
      </c>
      <c r="ET32" s="47" t="s">
        <v>0</v>
      </c>
      <c r="EU32" s="19" t="str">
        <f t="shared" si="96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2" s="47" t="s">
        <v>0</v>
      </c>
      <c r="EW32" s="180" t="str">
        <f t="shared" si="60"/>
        <v xml:space="preserve">
INSERT INTO rezultat(id,stazakategorija_id,imeprezime_id,vrijeme_sec,status_id,registracija,uparivanje_id,originalstatus_id,imeprezimealias_id,klubalias_id,kategorijaalias_id) VALUES (210,24,1304,6120,1,1,1,0,Null,Null,Null);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2" s="47" t="s">
        <v>0</v>
      </c>
    </row>
    <row r="33" spans="1:154" x14ac:dyDescent="0.25">
      <c r="A33" t="s">
        <v>0</v>
      </c>
      <c r="B33" s="52" t="str">
        <f>IF(csv!F23="","",csv!T23)</f>
        <v>M14</v>
      </c>
      <c r="C33" s="31" t="s">
        <v>0</v>
      </c>
      <c r="D33" s="31" t="str">
        <f>IF(csv!F23="","",csv!F23)</f>
        <v>Tristan</v>
      </c>
      <c r="E33" s="31" t="str">
        <f>IF(csv!E23="","",csv!E23)</f>
        <v>Ilić</v>
      </c>
      <c r="F33" s="31" t="s">
        <v>0</v>
      </c>
      <c r="G33" s="73" t="str">
        <f>IF(csv!M23="","",csv!M23)</f>
        <v/>
      </c>
      <c r="H33" s="73" t="str">
        <f>IF(csv!N23="","",csv!N23)</f>
        <v>1</v>
      </c>
      <c r="I33" s="31" t="s">
        <v>0</v>
      </c>
      <c r="J33" s="31" t="str">
        <f>IF(csv!P23="","",csv!P23)</f>
        <v>Vihor</v>
      </c>
      <c r="K33" s="31" t="str">
        <f>IF(csv!Q23="","",csv!Q23)</f>
        <v>OK Vihor</v>
      </c>
      <c r="L33" s="31" t="s">
        <v>0</v>
      </c>
      <c r="M33" s="66" t="str">
        <f>IF(csv!R23="","",csv!R23)</f>
        <v>CRO</v>
      </c>
      <c r="N33" s="47" t="s">
        <v>0</v>
      </c>
      <c r="O33" s="246" t="str">
        <f t="shared" si="61"/>
        <v>ok</v>
      </c>
      <c r="P33" s="47"/>
      <c r="Q33" s="52" t="str">
        <f t="shared" si="62"/>
        <v>M14</v>
      </c>
      <c r="R33" s="73">
        <f>IF(Q33="","",IF(COUNTIF(Q$12:Q32,Q33)=0,R32+1,R32))</f>
        <v>2</v>
      </c>
      <c r="S33" s="73">
        <f t="shared" si="63"/>
        <v>111</v>
      </c>
      <c r="T33" s="73">
        <f t="shared" si="1"/>
        <v>21</v>
      </c>
      <c r="U33" s="66" t="str">
        <f t="shared" si="2"/>
        <v>M14 – Ž14</v>
      </c>
      <c r="V33" s="47" t="s">
        <v>0</v>
      </c>
      <c r="W33" s="222" t="str">
        <f t="shared" si="3"/>
        <v>M14</v>
      </c>
      <c r="X33" s="223">
        <f t="shared" si="4"/>
        <v>24</v>
      </c>
      <c r="Y33" s="47" t="s">
        <v>0</v>
      </c>
      <c r="Z33" s="52" t="str">
        <f t="shared" si="64"/>
        <v>CRO</v>
      </c>
      <c r="AA33" s="73">
        <f t="shared" si="5"/>
        <v>1</v>
      </c>
      <c r="AB33" s="31" t="str">
        <f t="shared" si="65"/>
        <v/>
      </c>
      <c r="AC33" s="66" t="str">
        <f>IF(AB33="","",MAX(AC$12:AC32)+1)</f>
        <v/>
      </c>
      <c r="AD33" s="47" t="s">
        <v>0</v>
      </c>
      <c r="AE33" s="125"/>
      <c r="AF33" s="47" t="s">
        <v>0</v>
      </c>
      <c r="AG33" s="19" t="str">
        <f t="shared" si="66"/>
        <v/>
      </c>
      <c r="AH33" s="47" t="s">
        <v>0</v>
      </c>
      <c r="AI33" s="143" t="str">
        <f t="shared" si="67"/>
        <v>CRO</v>
      </c>
      <c r="AJ33" s="47"/>
      <c r="AK33" s="52" t="str">
        <f t="shared" si="68"/>
        <v>Tristan</v>
      </c>
      <c r="AL33" s="31" t="str">
        <f t="shared" si="69"/>
        <v>Ilić</v>
      </c>
      <c r="AM33" s="73">
        <f t="shared" si="70"/>
        <v>1887</v>
      </c>
      <c r="AN33" s="73" t="str">
        <f t="shared" si="71"/>
        <v/>
      </c>
      <c r="AO33" s="31" t="str">
        <f t="shared" si="8"/>
        <v>Tristan</v>
      </c>
      <c r="AP33" s="66" t="str">
        <f t="shared" si="9"/>
        <v>Ilić</v>
      </c>
      <c r="AQ33" s="47" t="s">
        <v>0</v>
      </c>
      <c r="AR33" s="82" t="str">
        <f t="shared" si="72"/>
        <v/>
      </c>
      <c r="AS33" s="47" t="s">
        <v>0</v>
      </c>
      <c r="AT33" s="19" t="str">
        <f t="shared" si="73"/>
        <v/>
      </c>
      <c r="AU33" s="47" t="s">
        <v>0</v>
      </c>
      <c r="AV33" s="103"/>
      <c r="AW33" s="105"/>
      <c r="AX33" s="47" t="s">
        <v>0</v>
      </c>
      <c r="AY33" s="259" t="str">
        <f t="shared" si="102"/>
        <v/>
      </c>
      <c r="AZ33" s="47" t="s">
        <v>0</v>
      </c>
      <c r="BA33" s="52" t="str">
        <f t="shared" si="11"/>
        <v/>
      </c>
      <c r="BB33" s="73" t="str">
        <f>IF(AV33&amp;AW33="","",MAX(BB$12:BB32)+1)</f>
        <v/>
      </c>
      <c r="BC33" s="272" t="str">
        <f t="shared" si="12"/>
        <v/>
      </c>
      <c r="BD33" s="53" t="str">
        <f>IF(AND(AM33="NEMA",AN33="NEMA",OR(AV33&amp;AW33="",BC33="NEMA")),MAX(BD$12:BD32)+1,"")</f>
        <v/>
      </c>
      <c r="BE33" s="47" t="s">
        <v>0</v>
      </c>
      <c r="BF33" s="52" t="str">
        <f t="shared" si="74"/>
        <v>Tristan</v>
      </c>
      <c r="BG33" s="66" t="str">
        <f t="shared" si="75"/>
        <v>Ilić</v>
      </c>
      <c r="BH33" s="47" t="s">
        <v>0</v>
      </c>
      <c r="BI33" s="52" t="str">
        <f t="shared" si="15"/>
        <v>Vihor</v>
      </c>
      <c r="BJ33" s="31" t="str">
        <f t="shared" si="16"/>
        <v>OK Vihor</v>
      </c>
      <c r="BK33" s="73" t="str">
        <f t="shared" si="17"/>
        <v/>
      </c>
      <c r="BL33" s="31" t="str" cm="1">
        <f t="array" ref="BL33">IF(BK33="",""&amp;BJ33,IF(BK33="NEMA",BJ33,INDEX(regKlub_naziv,MATCH(INDEX(regKlub_alias_klubId,BK33),regKlub_id,0))))</f>
        <v>OK Vihor</v>
      </c>
      <c r="BM33" s="31" t="str" cm="1">
        <f t="array" ref="BM33">IFERROR(""&amp;INDEX(regNatjecatelj_klub,DV33),"")</f>
        <v>OK Vihor</v>
      </c>
      <c r="BN33" s="73" t="str">
        <f t="shared" si="76"/>
        <v/>
      </c>
      <c r="BO33" s="66" t="str">
        <f t="shared" si="77"/>
        <v>OK Vihor</v>
      </c>
      <c r="BP33" s="47" t="s">
        <v>0</v>
      </c>
      <c r="BQ33" s="52" t="str">
        <f>IF(X33&lt;&gt;"NEMA","",IF(IFERROR(MATCH(W33,W$12:W32,0),0)&lt;&gt;0,"",W33))</f>
        <v/>
      </c>
      <c r="BR33" s="73" t="str">
        <f t="shared" si="78"/>
        <v/>
      </c>
      <c r="BS33" s="31" t="str">
        <f>IF(OR(BR33="",BR33&lt;&gt;"NEMA"),"",MAX(BS$12:BS32)+1)</f>
        <v/>
      </c>
      <c r="BT33" s="66" t="str">
        <f t="shared" si="79"/>
        <v/>
      </c>
      <c r="BU33" s="47" t="s">
        <v>0</v>
      </c>
      <c r="BV33" s="19" t="str">
        <f t="shared" si="80"/>
        <v/>
      </c>
      <c r="BW33" s="47" t="s">
        <v>0</v>
      </c>
      <c r="BX33" s="82" t="str">
        <f>IF(BK33&lt;&gt;"NEMA","",IF(IFERROR(MATCH(BJ33,BJ$12:BJ32,0),0)&lt;&gt;0,"",BJ33))</f>
        <v/>
      </c>
      <c r="BY33" s="47" t="s">
        <v>0</v>
      </c>
      <c r="BZ33" s="125"/>
      <c r="CA33" s="47" t="s">
        <v>0</v>
      </c>
      <c r="CB33" s="58" t="str">
        <f t="shared" si="81"/>
        <v/>
      </c>
      <c r="CC33" s="31" t="str">
        <f t="shared" si="82"/>
        <v/>
      </c>
      <c r="CD33" s="31" t="str">
        <f>IF(CC33="","",MAX(CD$12:CD32)+1)</f>
        <v/>
      </c>
      <c r="CE33" s="31" t="str">
        <f t="shared" si="22"/>
        <v/>
      </c>
      <c r="CF33" s="31" t="str">
        <f t="shared" si="83"/>
        <v/>
      </c>
      <c r="CG33" s="31" t="str">
        <f>IF(BZ33="","",MAX(CG$12:CG32)+1)</f>
        <v/>
      </c>
      <c r="CH33" s="31" t="str">
        <f t="shared" si="84"/>
        <v/>
      </c>
      <c r="CI33" s="66" t="str">
        <f t="shared" si="85"/>
        <v/>
      </c>
      <c r="CJ33" s="47" t="s">
        <v>0</v>
      </c>
      <c r="CK33" s="73" t="str">
        <f t="shared" si="25"/>
        <v/>
      </c>
      <c r="CL33" s="47"/>
      <c r="CM33" s="19" t="str">
        <f t="shared" si="86"/>
        <v/>
      </c>
      <c r="CN33" s="47" t="s">
        <v>0</v>
      </c>
      <c r="CO33" s="143" t="str">
        <f t="shared" si="87"/>
        <v>OK Vihor</v>
      </c>
      <c r="CP33" s="47" t="s">
        <v>0</v>
      </c>
      <c r="CQ33" s="58" t="str">
        <f t="shared" si="28"/>
        <v/>
      </c>
      <c r="CR33" s="73" t="str">
        <f t="shared" si="29"/>
        <v>1</v>
      </c>
      <c r="CS33" s="229" t="str">
        <f t="shared" si="30"/>
        <v/>
      </c>
      <c r="CT33" s="230" t="str">
        <f t="shared" si="88"/>
        <v/>
      </c>
      <c r="CU33" s="163">
        <f t="shared" si="32"/>
        <v>6</v>
      </c>
      <c r="CV33" s="47" t="s">
        <v>0</v>
      </c>
      <c r="CW33" s="222" t="str">
        <f t="shared" si="89"/>
        <v xml:space="preserve">
</v>
      </c>
      <c r="CX33" s="223" t="e">
        <f t="shared" si="90"/>
        <v>#N/A</v>
      </c>
      <c r="CY33" s="47" t="s">
        <v>0</v>
      </c>
      <c r="CZ33" s="47"/>
      <c r="DA33" s="47"/>
      <c r="DB33" s="47"/>
      <c r="DC33" s="47" t="s">
        <v>0</v>
      </c>
      <c r="DD33" s="53" t="str">
        <f t="shared" si="103"/>
        <v/>
      </c>
      <c r="DE33" t="s">
        <v>0</v>
      </c>
      <c r="DF33" s="128" t="str">
        <f t="shared" si="104"/>
        <v>M</v>
      </c>
      <c r="DG33" t="s">
        <v>0</v>
      </c>
      <c r="DH33" s="52" t="str">
        <f t="shared" si="105"/>
        <v/>
      </c>
      <c r="DI33" s="66" t="str">
        <f t="shared" si="106"/>
        <v/>
      </c>
      <c r="DJ33" t="s">
        <v>0</v>
      </c>
      <c r="DK33" s="19" t="str">
        <f t="shared" si="107"/>
        <v/>
      </c>
      <c r="DL33" s="47" t="s">
        <v>0</v>
      </c>
      <c r="DM33" s="19" t="str">
        <f t="shared" si="108"/>
        <v/>
      </c>
      <c r="DN33" s="47" t="s">
        <v>0</v>
      </c>
      <c r="DO33" s="52" t="str">
        <f t="shared" si="39"/>
        <v>Tristan – Ilić – OK Vihor – M14</v>
      </c>
      <c r="DP33" s="53">
        <f t="shared" si="40"/>
        <v>703</v>
      </c>
      <c r="DQ33" s="47" t="s">
        <v>0</v>
      </c>
      <c r="DR33" s="52" t="str">
        <f t="shared" si="41"/>
        <v>Tristan – Ilić – OK Vihor</v>
      </c>
      <c r="DS33" s="53">
        <f t="shared" si="42"/>
        <v>703</v>
      </c>
      <c r="DT33" s="47" t="s">
        <v>0</v>
      </c>
      <c r="DU33" s="52" t="str">
        <f t="shared" si="43"/>
        <v>Tristan – Ilić</v>
      </c>
      <c r="DV33" s="53">
        <f t="shared" si="44"/>
        <v>703</v>
      </c>
      <c r="DW33" s="47" t="s">
        <v>0</v>
      </c>
      <c r="DX33" s="58">
        <f t="shared" si="91"/>
        <v>703</v>
      </c>
      <c r="DY33" s="53" cm="1">
        <f t="array" ref="DY33">IF(DX33&lt;&gt;"",INDEX(regNatjecatelj_id,DX33,0),IF(BD33&lt;&gt;"",BD33,""))</f>
        <v>1887</v>
      </c>
      <c r="DZ33" s="47" t="s">
        <v>0</v>
      </c>
      <c r="EA33" s="58" t="str">
        <f t="shared" si="45"/>
        <v>imepre</v>
      </c>
      <c r="EB33" s="73" t="str">
        <f t="shared" si="46"/>
        <v>klu</v>
      </c>
      <c r="EC33" s="73" t="str">
        <f t="shared" si="47"/>
        <v>kat</v>
      </c>
      <c r="ED33" s="73" t="str">
        <f t="shared" si="48"/>
        <v/>
      </c>
      <c r="EE33" s="66" t="str">
        <f t="shared" si="49"/>
        <v>imepre-klu-kat</v>
      </c>
      <c r="EF33" s="47" t="s">
        <v>0</v>
      </c>
      <c r="EG33" s="58">
        <f>IF(AL33="","",MAX(EG$12:EG32)+1)</f>
        <v>211</v>
      </c>
      <c r="EH33" s="73">
        <f t="shared" si="50"/>
        <v>24</v>
      </c>
      <c r="EI33" s="73">
        <f t="shared" si="92"/>
        <v>1887</v>
      </c>
      <c r="EJ33" s="73" t="str">
        <f t="shared" si="51"/>
        <v/>
      </c>
      <c r="EK33" s="73">
        <f t="shared" si="52"/>
        <v>6</v>
      </c>
      <c r="EL33" s="73">
        <f t="shared" si="93"/>
        <v>1</v>
      </c>
      <c r="EM33" s="73">
        <f t="shared" si="94"/>
        <v>1</v>
      </c>
      <c r="EN33" s="73" t="str">
        <f t="shared" si="55"/>
        <v>1</v>
      </c>
      <c r="EO33" s="73" t="str">
        <f t="shared" si="56"/>
        <v/>
      </c>
      <c r="EP33" s="73" t="str">
        <f t="shared" si="57"/>
        <v/>
      </c>
      <c r="EQ33" s="53" t="str">
        <f t="shared" si="58"/>
        <v/>
      </c>
      <c r="ER33" s="47" t="s">
        <v>0</v>
      </c>
      <c r="ES33" s="19" t="str">
        <f t="shared" si="95"/>
        <v>INSERT INTO rezultat(id,stazakategorija_id,imeprezime_id,vrijeme_sec,status_id,registracija,uparivanje_id,originalstatus_id,imeprezimealias_id,klubalias_id,kategorijaalias_id) VALUES (211,24,1887,Null,6,1,1,1,Null,Null,Null);</v>
      </c>
      <c r="ET33" s="47" t="s">
        <v>0</v>
      </c>
      <c r="EU33" s="19" t="str">
        <f t="shared" si="96"/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3" s="47" t="s">
        <v>0</v>
      </c>
      <c r="EW33" s="180" t="str">
        <f t="shared" si="60"/>
        <v xml:space="preserve">
INSERT INTO rezultat(id,stazakategorija_id,imeprezime_id,vrijeme_sec,status_id,registracija,uparivanje_id,originalstatus_id,imeprezimealias_id,klubalias_id,kategorijaalias_id) VALUES (211,24,1887,Null,6,1,1,1,Null,Null,Null);
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3" s="47" t="s">
        <v>0</v>
      </c>
    </row>
    <row r="34" spans="1:154" x14ac:dyDescent="0.25">
      <c r="A34" t="s">
        <v>0</v>
      </c>
      <c r="B34" s="52" t="str">
        <f>IF(csv!F24="","",csv!T24)</f>
        <v>M14</v>
      </c>
      <c r="C34" s="31" t="s">
        <v>0</v>
      </c>
      <c r="D34" s="31" t="str">
        <f>IF(csv!F24="","",csv!F24)</f>
        <v>Vacant</v>
      </c>
      <c r="E34" s="31" t="str">
        <f>IF(csv!E24="","",csv!E24)</f>
        <v/>
      </c>
      <c r="F34" s="31" t="s">
        <v>0</v>
      </c>
      <c r="G34" s="73" t="str">
        <f>IF(csv!M24="","",csv!M24)</f>
        <v/>
      </c>
      <c r="H34" s="73" t="str">
        <f>IF(csv!N24="","",csv!N24)</f>
        <v>0</v>
      </c>
      <c r="I34" s="31" t="s">
        <v>0</v>
      </c>
      <c r="J34" s="31" t="str">
        <f>IF(csv!P24="","",csv!P24)</f>
        <v/>
      </c>
      <c r="K34" s="31" t="str">
        <f>IF(csv!Q24="","",csv!Q24)</f>
        <v/>
      </c>
      <c r="L34" s="31" t="s">
        <v>0</v>
      </c>
      <c r="M34" s="66" t="str">
        <f>IF(csv!R24="","",csv!R24)</f>
        <v/>
      </c>
      <c r="N34" s="47" t="s">
        <v>0</v>
      </c>
      <c r="O34" s="246" t="str">
        <f t="shared" si="61"/>
        <v/>
      </c>
      <c r="P34" s="47"/>
      <c r="Q34" s="52" t="str">
        <f t="shared" si="62"/>
        <v>M14</v>
      </c>
      <c r="R34" s="73">
        <f>IF(Q34="","",IF(COUNTIF(Q$12:Q33,Q34)=0,R33+1,R33))</f>
        <v>2</v>
      </c>
      <c r="S34" s="73">
        <f t="shared" si="63"/>
        <v>111</v>
      </c>
      <c r="T34" s="73">
        <f t="shared" si="1"/>
        <v>21</v>
      </c>
      <c r="U34" s="66" t="str">
        <f t="shared" si="2"/>
        <v>M14 – Ž14</v>
      </c>
      <c r="V34" s="47" t="s">
        <v>0</v>
      </c>
      <c r="W34" s="222" t="str">
        <f t="shared" si="3"/>
        <v/>
      </c>
      <c r="X34" s="223" t="str">
        <f t="shared" si="4"/>
        <v/>
      </c>
      <c r="Y34" s="47" t="s">
        <v>0</v>
      </c>
      <c r="Z34" s="52" t="str">
        <f t="shared" si="64"/>
        <v/>
      </c>
      <c r="AA34" s="73" t="str">
        <f t="shared" si="5"/>
        <v/>
      </c>
      <c r="AB34" s="31" t="str">
        <f t="shared" si="65"/>
        <v/>
      </c>
      <c r="AC34" s="66" t="str">
        <f>IF(AB34="","",MAX(AC$12:AC33)+1)</f>
        <v/>
      </c>
      <c r="AD34" s="47" t="s">
        <v>0</v>
      </c>
      <c r="AE34" s="125"/>
      <c r="AF34" s="47" t="s">
        <v>0</v>
      </c>
      <c r="AG34" s="19" t="str">
        <f t="shared" si="66"/>
        <v/>
      </c>
      <c r="AH34" s="47" t="s">
        <v>0</v>
      </c>
      <c r="AI34" s="143" t="str">
        <f t="shared" si="67"/>
        <v/>
      </c>
      <c r="AJ34" s="47"/>
      <c r="AK34" s="52" t="str">
        <f t="shared" si="68"/>
        <v/>
      </c>
      <c r="AL34" s="31" t="str">
        <f t="shared" si="69"/>
        <v/>
      </c>
      <c r="AM34" s="73" t="str">
        <f t="shared" si="70"/>
        <v/>
      </c>
      <c r="AN34" s="73" t="str">
        <f t="shared" si="71"/>
        <v/>
      </c>
      <c r="AO34" s="31" t="str">
        <f t="shared" si="8"/>
        <v/>
      </c>
      <c r="AP34" s="66" t="str">
        <f t="shared" si="9"/>
        <v/>
      </c>
      <c r="AQ34" s="47" t="s">
        <v>0</v>
      </c>
      <c r="AR34" s="82" t="str">
        <f t="shared" si="72"/>
        <v/>
      </c>
      <c r="AS34" s="47" t="s">
        <v>0</v>
      </c>
      <c r="AT34" s="19" t="str">
        <f t="shared" si="73"/>
        <v/>
      </c>
      <c r="AU34" s="47" t="s">
        <v>0</v>
      </c>
      <c r="AV34" s="103"/>
      <c r="AW34" s="105"/>
      <c r="AX34" s="47" t="s">
        <v>0</v>
      </c>
      <c r="AY34" s="259" t="str">
        <f t="shared" si="102"/>
        <v/>
      </c>
      <c r="AZ34" s="47" t="s">
        <v>0</v>
      </c>
      <c r="BA34" s="52" t="str">
        <f t="shared" si="11"/>
        <v/>
      </c>
      <c r="BB34" s="73" t="str">
        <f>IF(AV34&amp;AW34="","",MAX(BB$12:BB33)+1)</f>
        <v/>
      </c>
      <c r="BC34" s="272" t="str">
        <f t="shared" si="12"/>
        <v/>
      </c>
      <c r="BD34" s="53" t="str">
        <f>IF(AND(AM34="NEMA",AN34="NEMA",OR(AV34&amp;AW34="",BC34="NEMA")),MAX(BD$12:BD33)+1,"")</f>
        <v/>
      </c>
      <c r="BE34" s="47" t="s">
        <v>0</v>
      </c>
      <c r="BF34" s="52" t="str">
        <f t="shared" si="74"/>
        <v/>
      </c>
      <c r="BG34" s="66" t="str">
        <f t="shared" si="75"/>
        <v/>
      </c>
      <c r="BH34" s="47" t="s">
        <v>0</v>
      </c>
      <c r="BI34" s="52" t="str">
        <f t="shared" si="15"/>
        <v/>
      </c>
      <c r="BJ34" s="31" t="str">
        <f t="shared" si="16"/>
        <v/>
      </c>
      <c r="BK34" s="73" t="str">
        <f t="shared" si="17"/>
        <v/>
      </c>
      <c r="BL34" s="31" t="str" cm="1">
        <f t="array" ref="BL34">IF(BK34="",""&amp;BJ34,IF(BK34="NEMA",BJ34,INDEX(regKlub_naziv,MATCH(INDEX(regKlub_alias_klubId,BK34),regKlub_id,0))))</f>
        <v/>
      </c>
      <c r="BM34" s="31" t="str" cm="1">
        <f t="array" ref="BM34">IFERROR(""&amp;INDEX(regNatjecatelj_klub,DV34),"")</f>
        <v/>
      </c>
      <c r="BN34" s="73" t="str">
        <f t="shared" si="76"/>
        <v/>
      </c>
      <c r="BO34" s="66" t="str">
        <f t="shared" si="77"/>
        <v/>
      </c>
      <c r="BP34" s="47" t="s">
        <v>0</v>
      </c>
      <c r="BQ34" s="52" t="str">
        <f>IF(X34&lt;&gt;"NEMA","",IF(IFERROR(MATCH(W34,W$12:W33,0),0)&lt;&gt;0,"",W34))</f>
        <v/>
      </c>
      <c r="BR34" s="73" t="str">
        <f t="shared" si="78"/>
        <v/>
      </c>
      <c r="BS34" s="31" t="str">
        <f>IF(OR(BR34="",BR34&lt;&gt;"NEMA"),"",MAX(BS$12:BS33)+1)</f>
        <v/>
      </c>
      <c r="BT34" s="66" t="str">
        <f t="shared" si="79"/>
        <v/>
      </c>
      <c r="BU34" s="47" t="s">
        <v>0</v>
      </c>
      <c r="BV34" s="19" t="str">
        <f t="shared" si="80"/>
        <v/>
      </c>
      <c r="BW34" s="47" t="s">
        <v>0</v>
      </c>
      <c r="BX34" s="82" t="str">
        <f>IF(BK34&lt;&gt;"NEMA","",IF(IFERROR(MATCH(BJ34,BJ$12:BJ33,0),0)&lt;&gt;0,"",BJ34))</f>
        <v/>
      </c>
      <c r="BY34" s="47" t="s">
        <v>0</v>
      </c>
      <c r="BZ34" s="125"/>
      <c r="CA34" s="47" t="s">
        <v>0</v>
      </c>
      <c r="CB34" s="58" t="str">
        <f t="shared" si="81"/>
        <v/>
      </c>
      <c r="CC34" s="31" t="str">
        <f t="shared" si="82"/>
        <v/>
      </c>
      <c r="CD34" s="31" t="str">
        <f>IF(CC34="","",MAX(CD$12:CD33)+1)</f>
        <v/>
      </c>
      <c r="CE34" s="31" t="str">
        <f t="shared" si="22"/>
        <v/>
      </c>
      <c r="CF34" s="31" t="str">
        <f t="shared" si="83"/>
        <v/>
      </c>
      <c r="CG34" s="31" t="str">
        <f>IF(BZ34="","",MAX(CG$12:CG33)+1)</f>
        <v/>
      </c>
      <c r="CH34" s="31" t="str">
        <f t="shared" si="84"/>
        <v/>
      </c>
      <c r="CI34" s="66" t="str">
        <f t="shared" si="85"/>
        <v/>
      </c>
      <c r="CJ34" s="47" t="s">
        <v>0</v>
      </c>
      <c r="CK34" s="73" t="str">
        <f t="shared" si="25"/>
        <v/>
      </c>
      <c r="CL34" s="47"/>
      <c r="CM34" s="19" t="str">
        <f t="shared" si="86"/>
        <v/>
      </c>
      <c r="CN34" s="47" t="s">
        <v>0</v>
      </c>
      <c r="CO34" s="143" t="str">
        <f t="shared" si="87"/>
        <v/>
      </c>
      <c r="CP34" s="47" t="s">
        <v>0</v>
      </c>
      <c r="CQ34" s="58" t="str">
        <f t="shared" si="28"/>
        <v/>
      </c>
      <c r="CR34" s="73" t="str">
        <f t="shared" si="29"/>
        <v>0</v>
      </c>
      <c r="CS34" s="229" t="str">
        <f t="shared" si="30"/>
        <v/>
      </c>
      <c r="CT34" s="230" t="str">
        <f t="shared" si="88"/>
        <v/>
      </c>
      <c r="CU34" s="163" t="str">
        <f t="shared" si="32"/>
        <v/>
      </c>
      <c r="CV34" s="47" t="s">
        <v>0</v>
      </c>
      <c r="CW34" s="222" t="str">
        <f t="shared" si="89"/>
        <v xml:space="preserve">
</v>
      </c>
      <c r="CX34" s="223" t="str">
        <f t="shared" si="90"/>
        <v/>
      </c>
      <c r="CY34" s="47" t="s">
        <v>0</v>
      </c>
      <c r="CZ34" s="47"/>
      <c r="DA34" s="47"/>
      <c r="DB34" s="47"/>
      <c r="DC34" s="47" t="s">
        <v>0</v>
      </c>
      <c r="DD34" s="53" t="str">
        <f t="shared" si="103"/>
        <v/>
      </c>
      <c r="DE34" t="s">
        <v>0</v>
      </c>
      <c r="DF34" s="128" t="str">
        <f t="shared" si="104"/>
        <v>M</v>
      </c>
      <c r="DG34" t="s">
        <v>0</v>
      </c>
      <c r="DH34" s="52" t="str">
        <f t="shared" si="105"/>
        <v/>
      </c>
      <c r="DI34" s="66" t="str">
        <f t="shared" si="106"/>
        <v/>
      </c>
      <c r="DJ34" t="s">
        <v>0</v>
      </c>
      <c r="DK34" s="19" t="str">
        <f t="shared" si="107"/>
        <v/>
      </c>
      <c r="DL34" s="47" t="s">
        <v>0</v>
      </c>
      <c r="DM34" s="19" t="str">
        <f t="shared" si="108"/>
        <v/>
      </c>
      <c r="DN34" s="47" t="s">
        <v>0</v>
      </c>
      <c r="DO34" s="52" t="str">
        <f t="shared" si="39"/>
        <v/>
      </c>
      <c r="DP34" s="53" t="str">
        <f t="shared" si="40"/>
        <v/>
      </c>
      <c r="DQ34" s="47" t="s">
        <v>0</v>
      </c>
      <c r="DR34" s="52" t="str">
        <f t="shared" si="41"/>
        <v/>
      </c>
      <c r="DS34" s="53" t="str">
        <f t="shared" si="42"/>
        <v/>
      </c>
      <c r="DT34" s="47" t="s">
        <v>0</v>
      </c>
      <c r="DU34" s="52" t="str">
        <f t="shared" si="43"/>
        <v/>
      </c>
      <c r="DV34" s="53" t="str">
        <f t="shared" si="44"/>
        <v/>
      </c>
      <c r="DW34" s="47" t="s">
        <v>0</v>
      </c>
      <c r="DX34" s="58" t="str">
        <f t="shared" si="91"/>
        <v/>
      </c>
      <c r="DY34" s="53" t="str" cm="1">
        <f t="array" ref="DY34">IF(DX34&lt;&gt;"",INDEX(regNatjecatelj_id,DX34,0),IF(BD34&lt;&gt;"",BD34,""))</f>
        <v/>
      </c>
      <c r="DZ34" s="47" t="s">
        <v>0</v>
      </c>
      <c r="EA34" s="58" t="str">
        <f t="shared" si="45"/>
        <v/>
      </c>
      <c r="EB34" s="73" t="str">
        <f t="shared" si="46"/>
        <v/>
      </c>
      <c r="EC34" s="73" t="str">
        <f t="shared" si="47"/>
        <v/>
      </c>
      <c r="ED34" s="73" t="str">
        <f t="shared" si="48"/>
        <v/>
      </c>
      <c r="EE34" s="66" t="str">
        <f t="shared" si="49"/>
        <v/>
      </c>
      <c r="EF34" s="47" t="s">
        <v>0</v>
      </c>
      <c r="EG34" s="58" t="str">
        <f>IF(AL34="","",MAX(EG$12:EG33)+1)</f>
        <v/>
      </c>
      <c r="EH34" s="73" t="str">
        <f t="shared" si="50"/>
        <v/>
      </c>
      <c r="EI34" s="73" t="str">
        <f t="shared" si="92"/>
        <v/>
      </c>
      <c r="EJ34" s="73" t="str">
        <f t="shared" si="51"/>
        <v/>
      </c>
      <c r="EK34" s="73" t="str">
        <f t="shared" si="52"/>
        <v/>
      </c>
      <c r="EL34" s="73" t="str">
        <f t="shared" si="93"/>
        <v/>
      </c>
      <c r="EM34" s="73" t="str">
        <f t="shared" si="94"/>
        <v/>
      </c>
      <c r="EN34" s="73" t="str">
        <f t="shared" si="55"/>
        <v/>
      </c>
      <c r="EO34" s="73" t="str">
        <f t="shared" si="56"/>
        <v/>
      </c>
      <c r="EP34" s="73" t="str">
        <f t="shared" si="57"/>
        <v/>
      </c>
      <c r="EQ34" s="53" t="str">
        <f t="shared" si="58"/>
        <v/>
      </c>
      <c r="ER34" s="47" t="s">
        <v>0</v>
      </c>
      <c r="ES34" s="19" t="str">
        <f t="shared" si="95"/>
        <v/>
      </c>
      <c r="ET34" s="47" t="s">
        <v>0</v>
      </c>
      <c r="EU34" s="19" t="str">
        <f t="shared" si="96"/>
        <v/>
      </c>
      <c r="EV34" s="47" t="s">
        <v>0</v>
      </c>
      <c r="EW34" s="180" t="str">
        <f t="shared" si="60"/>
        <v/>
      </c>
      <c r="EX34" s="47" t="s">
        <v>0</v>
      </c>
    </row>
    <row r="35" spans="1:154" x14ac:dyDescent="0.25">
      <c r="A35" t="s">
        <v>0</v>
      </c>
      <c r="B35" s="52" t="str">
        <f>IF(csv!F25="","",csv!T25)</f>
        <v>M14</v>
      </c>
      <c r="C35" s="31" t="s">
        <v>0</v>
      </c>
      <c r="D35" s="31" t="str">
        <f>IF(csv!F25="","",csv!F25)</f>
        <v>Vacant</v>
      </c>
      <c r="E35" s="31" t="str">
        <f>IF(csv!E25="","",csv!E25)</f>
        <v/>
      </c>
      <c r="F35" s="31" t="s">
        <v>0</v>
      </c>
      <c r="G35" s="73" t="str">
        <f>IF(csv!M25="","",csv!M25)</f>
        <v/>
      </c>
      <c r="H35" s="73" t="str">
        <f>IF(csv!N25="","",csv!N25)</f>
        <v>0</v>
      </c>
      <c r="I35" s="31" t="s">
        <v>0</v>
      </c>
      <c r="J35" s="31" t="str">
        <f>IF(csv!P25="","",csv!P25)</f>
        <v/>
      </c>
      <c r="K35" s="31" t="str">
        <f>IF(csv!Q25="","",csv!Q25)</f>
        <v/>
      </c>
      <c r="L35" s="31" t="s">
        <v>0</v>
      </c>
      <c r="M35" s="66" t="str">
        <f>IF(csv!R25="","",csv!R25)</f>
        <v/>
      </c>
      <c r="N35" s="47" t="s">
        <v>0</v>
      </c>
      <c r="O35" s="246" t="str">
        <f t="shared" si="61"/>
        <v/>
      </c>
      <c r="P35" s="47"/>
      <c r="Q35" s="52" t="str">
        <f t="shared" si="62"/>
        <v>M14</v>
      </c>
      <c r="R35" s="73">
        <f>IF(Q35="","",IF(COUNTIF(Q$12:Q34,Q35)=0,R34+1,R34))</f>
        <v>2</v>
      </c>
      <c r="S35" s="73">
        <f t="shared" si="63"/>
        <v>111</v>
      </c>
      <c r="T35" s="73">
        <f t="shared" si="1"/>
        <v>21</v>
      </c>
      <c r="U35" s="66" t="str">
        <f t="shared" si="2"/>
        <v>M14 – Ž14</v>
      </c>
      <c r="V35" s="47" t="s">
        <v>0</v>
      </c>
      <c r="W35" s="222" t="str">
        <f t="shared" si="3"/>
        <v/>
      </c>
      <c r="X35" s="223" t="str">
        <f t="shared" si="4"/>
        <v/>
      </c>
      <c r="Y35" s="47" t="s">
        <v>0</v>
      </c>
      <c r="Z35" s="52" t="str">
        <f t="shared" si="64"/>
        <v/>
      </c>
      <c r="AA35" s="73" t="str">
        <f t="shared" si="5"/>
        <v/>
      </c>
      <c r="AB35" s="31" t="str">
        <f t="shared" si="65"/>
        <v/>
      </c>
      <c r="AC35" s="66" t="str">
        <f>IF(AB35="","",MAX(AC$12:AC34)+1)</f>
        <v/>
      </c>
      <c r="AD35" s="47" t="s">
        <v>0</v>
      </c>
      <c r="AE35" s="125"/>
      <c r="AF35" s="47" t="s">
        <v>0</v>
      </c>
      <c r="AG35" s="19" t="str">
        <f t="shared" si="66"/>
        <v/>
      </c>
      <c r="AH35" s="47" t="s">
        <v>0</v>
      </c>
      <c r="AI35" s="143" t="str">
        <f t="shared" si="67"/>
        <v/>
      </c>
      <c r="AJ35" s="47"/>
      <c r="AK35" s="52" t="str">
        <f t="shared" si="68"/>
        <v/>
      </c>
      <c r="AL35" s="31" t="str">
        <f t="shared" si="69"/>
        <v/>
      </c>
      <c r="AM35" s="73" t="str">
        <f t="shared" si="70"/>
        <v/>
      </c>
      <c r="AN35" s="73" t="str">
        <f t="shared" si="71"/>
        <v/>
      </c>
      <c r="AO35" s="31" t="str">
        <f t="shared" si="8"/>
        <v/>
      </c>
      <c r="AP35" s="66" t="str">
        <f t="shared" si="9"/>
        <v/>
      </c>
      <c r="AQ35" s="47" t="s">
        <v>0</v>
      </c>
      <c r="AR35" s="82" t="str">
        <f t="shared" si="72"/>
        <v/>
      </c>
      <c r="AS35" s="47" t="s">
        <v>0</v>
      </c>
      <c r="AT35" s="19" t="str">
        <f t="shared" si="73"/>
        <v/>
      </c>
      <c r="AU35" s="47" t="s">
        <v>0</v>
      </c>
      <c r="AV35" s="103"/>
      <c r="AW35" s="105"/>
      <c r="AX35" s="47" t="s">
        <v>0</v>
      </c>
      <c r="AY35" s="259" t="str">
        <f t="shared" si="102"/>
        <v/>
      </c>
      <c r="AZ35" s="47" t="s">
        <v>0</v>
      </c>
      <c r="BA35" s="52" t="str">
        <f t="shared" si="11"/>
        <v/>
      </c>
      <c r="BB35" s="73" t="str">
        <f>IF(AV35&amp;AW35="","",MAX(BB$12:BB34)+1)</f>
        <v/>
      </c>
      <c r="BC35" s="272" t="str">
        <f t="shared" si="12"/>
        <v/>
      </c>
      <c r="BD35" s="53" t="str">
        <f>IF(AND(AM35="NEMA",AN35="NEMA",OR(AV35&amp;AW35="",BC35="NEMA")),MAX(BD$12:BD34)+1,"")</f>
        <v/>
      </c>
      <c r="BE35" s="47" t="s">
        <v>0</v>
      </c>
      <c r="BF35" s="52" t="str">
        <f t="shared" si="74"/>
        <v/>
      </c>
      <c r="BG35" s="66" t="str">
        <f t="shared" si="75"/>
        <v/>
      </c>
      <c r="BH35" s="47" t="s">
        <v>0</v>
      </c>
      <c r="BI35" s="52" t="str">
        <f t="shared" si="15"/>
        <v/>
      </c>
      <c r="BJ35" s="31" t="str">
        <f t="shared" si="16"/>
        <v/>
      </c>
      <c r="BK35" s="73" t="str">
        <f t="shared" si="17"/>
        <v/>
      </c>
      <c r="BL35" s="31" t="str" cm="1">
        <f t="array" ref="BL35">IF(BK35="",""&amp;BJ35,IF(BK35="NEMA",BJ35,INDEX(regKlub_naziv,MATCH(INDEX(regKlub_alias_klubId,BK35),regKlub_id,0))))</f>
        <v/>
      </c>
      <c r="BM35" s="31" t="str" cm="1">
        <f t="array" ref="BM35">IFERROR(""&amp;INDEX(regNatjecatelj_klub,DV35),"")</f>
        <v/>
      </c>
      <c r="BN35" s="73" t="str">
        <f t="shared" si="76"/>
        <v/>
      </c>
      <c r="BO35" s="66" t="str">
        <f t="shared" si="77"/>
        <v/>
      </c>
      <c r="BP35" s="47" t="s">
        <v>0</v>
      </c>
      <c r="BQ35" s="52" t="str">
        <f>IF(X35&lt;&gt;"NEMA","",IF(IFERROR(MATCH(W35,W$12:W34,0),0)&lt;&gt;0,"",W35))</f>
        <v/>
      </c>
      <c r="BR35" s="73" t="str">
        <f t="shared" si="78"/>
        <v/>
      </c>
      <c r="BS35" s="31" t="str">
        <f>IF(OR(BR35="",BR35&lt;&gt;"NEMA"),"",MAX(BS$12:BS34)+1)</f>
        <v/>
      </c>
      <c r="BT35" s="66" t="str">
        <f t="shared" si="79"/>
        <v/>
      </c>
      <c r="BU35" s="47" t="s">
        <v>0</v>
      </c>
      <c r="BV35" s="19" t="str">
        <f t="shared" si="80"/>
        <v/>
      </c>
      <c r="BW35" s="47" t="s">
        <v>0</v>
      </c>
      <c r="BX35" s="82" t="str">
        <f>IF(BK35&lt;&gt;"NEMA","",IF(IFERROR(MATCH(BJ35,BJ$12:BJ34,0),0)&lt;&gt;0,"",BJ35))</f>
        <v/>
      </c>
      <c r="BY35" s="47" t="s">
        <v>0</v>
      </c>
      <c r="BZ35" s="125"/>
      <c r="CA35" s="47" t="s">
        <v>0</v>
      </c>
      <c r="CB35" s="58" t="str">
        <f t="shared" si="81"/>
        <v/>
      </c>
      <c r="CC35" s="31" t="str">
        <f t="shared" si="82"/>
        <v/>
      </c>
      <c r="CD35" s="31" t="str">
        <f>IF(CC35="","",MAX(CD$12:CD34)+1)</f>
        <v/>
      </c>
      <c r="CE35" s="31" t="str">
        <f t="shared" si="22"/>
        <v/>
      </c>
      <c r="CF35" s="31" t="str">
        <f t="shared" si="83"/>
        <v/>
      </c>
      <c r="CG35" s="31" t="str">
        <f>IF(BZ35="","",MAX(CG$12:CG34)+1)</f>
        <v/>
      </c>
      <c r="CH35" s="31" t="str">
        <f t="shared" si="84"/>
        <v/>
      </c>
      <c r="CI35" s="66" t="str">
        <f t="shared" si="85"/>
        <v/>
      </c>
      <c r="CJ35" s="47" t="s">
        <v>0</v>
      </c>
      <c r="CK35" s="73" t="str">
        <f t="shared" si="25"/>
        <v/>
      </c>
      <c r="CL35" s="47"/>
      <c r="CM35" s="19" t="str">
        <f t="shared" si="86"/>
        <v/>
      </c>
      <c r="CN35" s="47" t="s">
        <v>0</v>
      </c>
      <c r="CO35" s="143" t="str">
        <f t="shared" si="87"/>
        <v/>
      </c>
      <c r="CP35" s="47" t="s">
        <v>0</v>
      </c>
      <c r="CQ35" s="58" t="str">
        <f t="shared" si="28"/>
        <v/>
      </c>
      <c r="CR35" s="73" t="str">
        <f t="shared" si="29"/>
        <v>0</v>
      </c>
      <c r="CS35" s="229" t="str">
        <f t="shared" si="30"/>
        <v/>
      </c>
      <c r="CT35" s="230" t="str">
        <f t="shared" si="88"/>
        <v/>
      </c>
      <c r="CU35" s="163" t="str">
        <f t="shared" si="32"/>
        <v/>
      </c>
      <c r="CV35" s="47" t="s">
        <v>0</v>
      </c>
      <c r="CW35" s="222" t="str">
        <f t="shared" si="89"/>
        <v xml:space="preserve">
</v>
      </c>
      <c r="CX35" s="223" t="str">
        <f t="shared" si="90"/>
        <v/>
      </c>
      <c r="CY35" s="47" t="s">
        <v>0</v>
      </c>
      <c r="CZ35" s="47"/>
      <c r="DA35" s="47"/>
      <c r="DB35" s="47"/>
      <c r="DC35" s="47" t="s">
        <v>0</v>
      </c>
      <c r="DD35" s="53" t="str">
        <f t="shared" si="103"/>
        <v/>
      </c>
      <c r="DE35" t="s">
        <v>0</v>
      </c>
      <c r="DF35" s="128" t="str">
        <f t="shared" si="104"/>
        <v>M</v>
      </c>
      <c r="DG35" t="s">
        <v>0</v>
      </c>
      <c r="DH35" s="52" t="str">
        <f t="shared" si="105"/>
        <v/>
      </c>
      <c r="DI35" s="66" t="str">
        <f t="shared" si="106"/>
        <v/>
      </c>
      <c r="DJ35" t="s">
        <v>0</v>
      </c>
      <c r="DK35" s="19" t="str">
        <f t="shared" si="107"/>
        <v/>
      </c>
      <c r="DL35" s="47" t="s">
        <v>0</v>
      </c>
      <c r="DM35" s="19" t="str">
        <f t="shared" si="108"/>
        <v/>
      </c>
      <c r="DN35" s="47" t="s">
        <v>0</v>
      </c>
      <c r="DO35" s="52" t="str">
        <f t="shared" si="39"/>
        <v/>
      </c>
      <c r="DP35" s="53" t="str">
        <f t="shared" si="40"/>
        <v/>
      </c>
      <c r="DQ35" s="47" t="s">
        <v>0</v>
      </c>
      <c r="DR35" s="52" t="str">
        <f t="shared" si="41"/>
        <v/>
      </c>
      <c r="DS35" s="53" t="str">
        <f t="shared" si="42"/>
        <v/>
      </c>
      <c r="DT35" s="47" t="s">
        <v>0</v>
      </c>
      <c r="DU35" s="52" t="str">
        <f t="shared" si="43"/>
        <v/>
      </c>
      <c r="DV35" s="53" t="str">
        <f t="shared" si="44"/>
        <v/>
      </c>
      <c r="DW35" s="47" t="s">
        <v>0</v>
      </c>
      <c r="DX35" s="58" t="str">
        <f t="shared" si="91"/>
        <v/>
      </c>
      <c r="DY35" s="53" t="str" cm="1">
        <f t="array" ref="DY35">IF(DX35&lt;&gt;"",INDEX(regNatjecatelj_id,DX35,0),IF(BD35&lt;&gt;"",BD35,""))</f>
        <v/>
      </c>
      <c r="DZ35" s="47" t="s">
        <v>0</v>
      </c>
      <c r="EA35" s="58" t="str">
        <f t="shared" si="45"/>
        <v/>
      </c>
      <c r="EB35" s="73" t="str">
        <f t="shared" si="46"/>
        <v/>
      </c>
      <c r="EC35" s="73" t="str">
        <f t="shared" si="47"/>
        <v/>
      </c>
      <c r="ED35" s="73" t="str">
        <f t="shared" si="48"/>
        <v/>
      </c>
      <c r="EE35" s="66" t="str">
        <f t="shared" si="49"/>
        <v/>
      </c>
      <c r="EF35" s="47" t="s">
        <v>0</v>
      </c>
      <c r="EG35" s="58" t="str">
        <f>IF(AL35="","",MAX(EG$12:EG34)+1)</f>
        <v/>
      </c>
      <c r="EH35" s="73" t="str">
        <f t="shared" si="50"/>
        <v/>
      </c>
      <c r="EI35" s="73" t="str">
        <f t="shared" si="92"/>
        <v/>
      </c>
      <c r="EJ35" s="73" t="str">
        <f t="shared" si="51"/>
        <v/>
      </c>
      <c r="EK35" s="73" t="str">
        <f t="shared" si="52"/>
        <v/>
      </c>
      <c r="EL35" s="73" t="str">
        <f t="shared" si="93"/>
        <v/>
      </c>
      <c r="EM35" s="73" t="str">
        <f t="shared" si="94"/>
        <v/>
      </c>
      <c r="EN35" s="73" t="str">
        <f t="shared" si="55"/>
        <v/>
      </c>
      <c r="EO35" s="73" t="str">
        <f t="shared" si="56"/>
        <v/>
      </c>
      <c r="EP35" s="73" t="str">
        <f t="shared" si="57"/>
        <v/>
      </c>
      <c r="EQ35" s="53" t="str">
        <f t="shared" si="58"/>
        <v/>
      </c>
      <c r="ER35" s="47" t="s">
        <v>0</v>
      </c>
      <c r="ES35" s="19" t="str">
        <f t="shared" si="95"/>
        <v/>
      </c>
      <c r="ET35" s="47" t="s">
        <v>0</v>
      </c>
      <c r="EU35" s="19" t="str">
        <f t="shared" si="96"/>
        <v/>
      </c>
      <c r="EV35" s="47" t="s">
        <v>0</v>
      </c>
      <c r="EW35" s="180" t="str">
        <f t="shared" si="60"/>
        <v/>
      </c>
      <c r="EX35" s="47" t="s">
        <v>0</v>
      </c>
    </row>
    <row r="36" spans="1:154" x14ac:dyDescent="0.25">
      <c r="A36" t="s">
        <v>0</v>
      </c>
      <c r="B36" s="52" t="str">
        <f>IF(csv!F26="","",csv!T26)</f>
        <v>M14</v>
      </c>
      <c r="C36" s="31" t="s">
        <v>0</v>
      </c>
      <c r="D36" s="31" t="str">
        <f>IF(csv!F26="","",csv!F26)</f>
        <v>Janko</v>
      </c>
      <c r="E36" s="31" t="str">
        <f>IF(csv!E26="","",csv!E26)</f>
        <v>Hodak</v>
      </c>
      <c r="F36" s="31" t="s">
        <v>0</v>
      </c>
      <c r="G36" s="73" t="str">
        <f>IF(csv!M26="","",csv!M26)</f>
        <v/>
      </c>
      <c r="H36" s="73" t="str">
        <f>IF(csv!N26="","",csv!N26)</f>
        <v>1</v>
      </c>
      <c r="I36" s="31" t="s">
        <v>0</v>
      </c>
      <c r="J36" s="31" t="str">
        <f>IF(csv!P26="","",csv!P26)</f>
        <v>Vihor</v>
      </c>
      <c r="K36" s="31" t="str">
        <f>IF(csv!Q26="","",csv!Q26)</f>
        <v>OK Vihor</v>
      </c>
      <c r="L36" s="31" t="s">
        <v>0</v>
      </c>
      <c r="M36" s="66" t="str">
        <f>IF(csv!R26="","",csv!R26)</f>
        <v>CRO</v>
      </c>
      <c r="N36" s="47" t="s">
        <v>0</v>
      </c>
      <c r="O36" s="246" t="str">
        <f t="shared" si="61"/>
        <v>ok</v>
      </c>
      <c r="P36" s="47"/>
      <c r="Q36" s="52" t="str">
        <f t="shared" si="62"/>
        <v>M14</v>
      </c>
      <c r="R36" s="73">
        <f>IF(Q36="","",IF(COUNTIF(Q$12:Q35,Q36)=0,R35+1,R35))</f>
        <v>2</v>
      </c>
      <c r="S36" s="73">
        <f t="shared" si="63"/>
        <v>111</v>
      </c>
      <c r="T36" s="73">
        <f t="shared" si="1"/>
        <v>21</v>
      </c>
      <c r="U36" s="66" t="str">
        <f t="shared" si="2"/>
        <v>M14 – Ž14</v>
      </c>
      <c r="V36" s="47" t="s">
        <v>0</v>
      </c>
      <c r="W36" s="222" t="str">
        <f t="shared" si="3"/>
        <v>M14</v>
      </c>
      <c r="X36" s="223">
        <f t="shared" si="4"/>
        <v>24</v>
      </c>
      <c r="Y36" s="47" t="s">
        <v>0</v>
      </c>
      <c r="Z36" s="52" t="str">
        <f t="shared" si="64"/>
        <v>CRO</v>
      </c>
      <c r="AA36" s="73">
        <f t="shared" si="5"/>
        <v>1</v>
      </c>
      <c r="AB36" s="31" t="str">
        <f t="shared" si="65"/>
        <v/>
      </c>
      <c r="AC36" s="66" t="str">
        <f>IF(AB36="","",MAX(AC$12:AC35)+1)</f>
        <v/>
      </c>
      <c r="AD36" s="47" t="s">
        <v>0</v>
      </c>
      <c r="AE36" s="125"/>
      <c r="AF36" s="47" t="s">
        <v>0</v>
      </c>
      <c r="AG36" s="19" t="str">
        <f t="shared" si="66"/>
        <v/>
      </c>
      <c r="AH36" s="47" t="s">
        <v>0</v>
      </c>
      <c r="AI36" s="143" t="str">
        <f t="shared" si="67"/>
        <v>CRO</v>
      </c>
      <c r="AJ36" s="47"/>
      <c r="AK36" s="52" t="str">
        <f t="shared" si="68"/>
        <v>Janko</v>
      </c>
      <c r="AL36" s="31" t="str">
        <f t="shared" si="69"/>
        <v>Hodak</v>
      </c>
      <c r="AM36" s="73">
        <f t="shared" si="70"/>
        <v>1557</v>
      </c>
      <c r="AN36" s="73" t="str">
        <f t="shared" si="71"/>
        <v/>
      </c>
      <c r="AO36" s="31" t="str">
        <f t="shared" si="8"/>
        <v>Janko</v>
      </c>
      <c r="AP36" s="66" t="str">
        <f t="shared" si="9"/>
        <v>Hodak</v>
      </c>
      <c r="AQ36" s="47" t="s">
        <v>0</v>
      </c>
      <c r="AR36" s="82" t="str">
        <f t="shared" si="72"/>
        <v/>
      </c>
      <c r="AS36" s="47" t="s">
        <v>0</v>
      </c>
      <c r="AT36" s="19" t="str">
        <f t="shared" si="73"/>
        <v/>
      </c>
      <c r="AU36" s="47" t="s">
        <v>0</v>
      </c>
      <c r="AV36" s="103"/>
      <c r="AW36" s="105"/>
      <c r="AX36" s="47" t="s">
        <v>0</v>
      </c>
      <c r="AY36" s="259" t="str">
        <f t="shared" si="102"/>
        <v/>
      </c>
      <c r="AZ36" s="47" t="s">
        <v>0</v>
      </c>
      <c r="BA36" s="52" t="str">
        <f t="shared" si="11"/>
        <v/>
      </c>
      <c r="BB36" s="73" t="str">
        <f>IF(AV36&amp;AW36="","",MAX(BB$12:BB35)+1)</f>
        <v/>
      </c>
      <c r="BC36" s="272" t="str">
        <f t="shared" si="12"/>
        <v/>
      </c>
      <c r="BD36" s="53" t="str">
        <f>IF(AND(AM36="NEMA",AN36="NEMA",OR(AV36&amp;AW36="",BC36="NEMA")),MAX(BD$12:BD35)+1,"")</f>
        <v/>
      </c>
      <c r="BE36" s="47" t="s">
        <v>0</v>
      </c>
      <c r="BF36" s="52" t="str">
        <f t="shared" si="74"/>
        <v>Janko</v>
      </c>
      <c r="BG36" s="66" t="str">
        <f t="shared" si="75"/>
        <v>Hodak</v>
      </c>
      <c r="BH36" s="47" t="s">
        <v>0</v>
      </c>
      <c r="BI36" s="52" t="str">
        <f t="shared" si="15"/>
        <v>Vihor</v>
      </c>
      <c r="BJ36" s="31" t="str">
        <f t="shared" si="16"/>
        <v>OK Vihor</v>
      </c>
      <c r="BK36" s="73" t="str">
        <f t="shared" si="17"/>
        <v/>
      </c>
      <c r="BL36" s="31" t="str" cm="1">
        <f t="array" ref="BL36">IF(BK36="",""&amp;BJ36,IF(BK36="NEMA",BJ36,INDEX(regKlub_naziv,MATCH(INDEX(regKlub_alias_klubId,BK36),regKlub_id,0))))</f>
        <v>OK Vihor</v>
      </c>
      <c r="BM36" s="31" t="str" cm="1">
        <f t="array" ref="BM36">IFERROR(""&amp;INDEX(regNatjecatelj_klub,DV36),"")</f>
        <v>OK Vihor</v>
      </c>
      <c r="BN36" s="73" t="str">
        <f t="shared" si="76"/>
        <v/>
      </c>
      <c r="BO36" s="66" t="str">
        <f t="shared" si="77"/>
        <v>OK Vihor</v>
      </c>
      <c r="BP36" s="47" t="s">
        <v>0</v>
      </c>
      <c r="BQ36" s="52" t="str">
        <f>IF(X36&lt;&gt;"NEMA","",IF(IFERROR(MATCH(W36,W$12:W35,0),0)&lt;&gt;0,"",W36))</f>
        <v/>
      </c>
      <c r="BR36" s="73" t="str">
        <f t="shared" si="78"/>
        <v/>
      </c>
      <c r="BS36" s="31" t="str">
        <f>IF(OR(BR36="",BR36&lt;&gt;"NEMA"),"",MAX(BS$12:BS35)+1)</f>
        <v/>
      </c>
      <c r="BT36" s="66" t="str">
        <f t="shared" si="79"/>
        <v/>
      </c>
      <c r="BU36" s="47" t="s">
        <v>0</v>
      </c>
      <c r="BV36" s="19" t="str">
        <f t="shared" si="80"/>
        <v/>
      </c>
      <c r="BW36" s="47" t="s">
        <v>0</v>
      </c>
      <c r="BX36" s="82" t="str">
        <f>IF(BK36&lt;&gt;"NEMA","",IF(IFERROR(MATCH(BJ36,BJ$12:BJ35,0),0)&lt;&gt;0,"",BJ36))</f>
        <v/>
      </c>
      <c r="BY36" s="47" t="s">
        <v>0</v>
      </c>
      <c r="BZ36" s="125"/>
      <c r="CA36" s="47" t="s">
        <v>0</v>
      </c>
      <c r="CB36" s="58" t="str">
        <f t="shared" si="81"/>
        <v/>
      </c>
      <c r="CC36" s="31" t="str">
        <f t="shared" si="82"/>
        <v/>
      </c>
      <c r="CD36" s="31" t="str">
        <f>IF(CC36="","",MAX(CD$12:CD35)+1)</f>
        <v/>
      </c>
      <c r="CE36" s="31" t="str">
        <f t="shared" si="22"/>
        <v/>
      </c>
      <c r="CF36" s="31" t="str">
        <f t="shared" si="83"/>
        <v/>
      </c>
      <c r="CG36" s="31" t="str">
        <f>IF(BZ36="","",MAX(CG$12:CG35)+1)</f>
        <v/>
      </c>
      <c r="CH36" s="31" t="str">
        <f t="shared" si="84"/>
        <v/>
      </c>
      <c r="CI36" s="66" t="str">
        <f t="shared" si="85"/>
        <v/>
      </c>
      <c r="CJ36" s="47" t="s">
        <v>0</v>
      </c>
      <c r="CK36" s="73" t="str">
        <f t="shared" si="25"/>
        <v/>
      </c>
      <c r="CL36" s="47"/>
      <c r="CM36" s="19" t="str">
        <f t="shared" si="86"/>
        <v/>
      </c>
      <c r="CN36" s="47" t="s">
        <v>0</v>
      </c>
      <c r="CO36" s="143" t="str">
        <f t="shared" si="87"/>
        <v>OK Vihor</v>
      </c>
      <c r="CP36" s="47" t="s">
        <v>0</v>
      </c>
      <c r="CQ36" s="58" t="str">
        <f t="shared" si="28"/>
        <v/>
      </c>
      <c r="CR36" s="73" t="str">
        <f t="shared" si="29"/>
        <v>1</v>
      </c>
      <c r="CS36" s="229" t="str">
        <f t="shared" si="30"/>
        <v/>
      </c>
      <c r="CT36" s="230" t="str">
        <f t="shared" si="88"/>
        <v/>
      </c>
      <c r="CU36" s="163">
        <f t="shared" si="32"/>
        <v>6</v>
      </c>
      <c r="CV36" s="47" t="s">
        <v>0</v>
      </c>
      <c r="CW36" s="222" t="str">
        <f t="shared" si="89"/>
        <v xml:space="preserve">
</v>
      </c>
      <c r="CX36" s="223" t="e">
        <f t="shared" si="90"/>
        <v>#N/A</v>
      </c>
      <c r="CY36" s="47" t="s">
        <v>0</v>
      </c>
      <c r="CZ36" s="47"/>
      <c r="DA36" s="47"/>
      <c r="DB36" s="47"/>
      <c r="DC36" s="47" t="s">
        <v>0</v>
      </c>
      <c r="DD36" s="53" t="str">
        <f t="shared" si="103"/>
        <v/>
      </c>
      <c r="DE36" t="s">
        <v>0</v>
      </c>
      <c r="DF36" s="128" t="str">
        <f t="shared" si="104"/>
        <v>M</v>
      </c>
      <c r="DG36" t="s">
        <v>0</v>
      </c>
      <c r="DH36" s="52" t="str">
        <f t="shared" si="105"/>
        <v/>
      </c>
      <c r="DI36" s="66" t="str">
        <f t="shared" si="106"/>
        <v/>
      </c>
      <c r="DJ36" t="s">
        <v>0</v>
      </c>
      <c r="DK36" s="19" t="str">
        <f t="shared" si="107"/>
        <v/>
      </c>
      <c r="DL36" s="47" t="s">
        <v>0</v>
      </c>
      <c r="DM36" s="19" t="str">
        <f t="shared" si="108"/>
        <v/>
      </c>
      <c r="DN36" s="47" t="s">
        <v>0</v>
      </c>
      <c r="DO36" s="52" t="str">
        <f t="shared" si="39"/>
        <v>Janko – Hodak – OK Vihor – M14</v>
      </c>
      <c r="DP36" s="53">
        <f t="shared" si="40"/>
        <v>697</v>
      </c>
      <c r="DQ36" s="47" t="s">
        <v>0</v>
      </c>
      <c r="DR36" s="52" t="str">
        <f t="shared" si="41"/>
        <v>Janko – Hodak – OK Vihor</v>
      </c>
      <c r="DS36" s="53">
        <f t="shared" si="42"/>
        <v>697</v>
      </c>
      <c r="DT36" s="47" t="s">
        <v>0</v>
      </c>
      <c r="DU36" s="52" t="str">
        <f t="shared" si="43"/>
        <v>Janko – Hodak</v>
      </c>
      <c r="DV36" s="53">
        <f t="shared" si="44"/>
        <v>697</v>
      </c>
      <c r="DW36" s="47" t="s">
        <v>0</v>
      </c>
      <c r="DX36" s="58">
        <f t="shared" si="91"/>
        <v>697</v>
      </c>
      <c r="DY36" s="53" cm="1">
        <f t="array" ref="DY36">IF(DX36&lt;&gt;"",INDEX(regNatjecatelj_id,DX36,0),IF(BD36&lt;&gt;"",BD36,""))</f>
        <v>1557</v>
      </c>
      <c r="DZ36" s="47" t="s">
        <v>0</v>
      </c>
      <c r="EA36" s="58" t="str">
        <f t="shared" si="45"/>
        <v>imepre</v>
      </c>
      <c r="EB36" s="73" t="str">
        <f t="shared" si="46"/>
        <v>klu</v>
      </c>
      <c r="EC36" s="73" t="str">
        <f t="shared" si="47"/>
        <v>kat</v>
      </c>
      <c r="ED36" s="73" t="str">
        <f t="shared" si="48"/>
        <v/>
      </c>
      <c r="EE36" s="66" t="str">
        <f t="shared" si="49"/>
        <v>imepre-klu-kat</v>
      </c>
      <c r="EF36" s="47" t="s">
        <v>0</v>
      </c>
      <c r="EG36" s="58">
        <f>IF(AL36="","",MAX(EG$12:EG35)+1)</f>
        <v>212</v>
      </c>
      <c r="EH36" s="73">
        <f t="shared" si="50"/>
        <v>24</v>
      </c>
      <c r="EI36" s="73">
        <f t="shared" si="92"/>
        <v>1557</v>
      </c>
      <c r="EJ36" s="73" t="str">
        <f t="shared" si="51"/>
        <v/>
      </c>
      <c r="EK36" s="73">
        <f t="shared" si="52"/>
        <v>6</v>
      </c>
      <c r="EL36" s="73">
        <f t="shared" si="93"/>
        <v>1</v>
      </c>
      <c r="EM36" s="73">
        <f t="shared" si="94"/>
        <v>1</v>
      </c>
      <c r="EN36" s="73" t="str">
        <f t="shared" si="55"/>
        <v>1</v>
      </c>
      <c r="EO36" s="73" t="str">
        <f t="shared" si="56"/>
        <v/>
      </c>
      <c r="EP36" s="73" t="str">
        <f t="shared" si="57"/>
        <v/>
      </c>
      <c r="EQ36" s="53" t="str">
        <f t="shared" si="58"/>
        <v/>
      </c>
      <c r="ER36" s="47" t="s">
        <v>0</v>
      </c>
      <c r="ES36" s="19" t="str">
        <f t="shared" si="95"/>
        <v>INSERT INTO rezultat(id,stazakategorija_id,imeprezime_id,vrijeme_sec,status_id,registracija,uparivanje_id,originalstatus_id,imeprezimealias_id,klubalias_id,kategorijaalias_id) VALUES (212,24,1557,Null,6,1,1,1,Null,Null,Null);</v>
      </c>
      <c r="ET36" s="47" t="s">
        <v>0</v>
      </c>
      <c r="EU36" s="19" t="str">
        <f t="shared" si="96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6" s="47" t="s">
        <v>0</v>
      </c>
      <c r="EW36" s="180" t="str">
        <f t="shared" si="60"/>
        <v xml:space="preserve">
INSERT INTO rezultat(id,stazakategorija_id,imeprezime_id,vrijeme_sec,status_id,registracija,uparivanje_id,originalstatus_id,imeprezimealias_id,klubalias_id,kategorijaalias_id) VALUES (212,24,1557,Null,6,1,1,1,Null,Null,Null);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6" s="47" t="s">
        <v>0</v>
      </c>
    </row>
    <row r="37" spans="1:154" x14ac:dyDescent="0.25">
      <c r="A37" t="s">
        <v>0</v>
      </c>
      <c r="B37" s="52" t="str">
        <f>IF(csv!F27="","",csv!T27)</f>
        <v>M16</v>
      </c>
      <c r="C37" s="31" t="s">
        <v>0</v>
      </c>
      <c r="D37" s="31" t="str">
        <f>IF(csv!F27="","",csv!F27)</f>
        <v>Jakov</v>
      </c>
      <c r="E37" s="31" t="str">
        <f>IF(csv!E27="","",csv!E27)</f>
        <v>Lesjak</v>
      </c>
      <c r="F37" s="31" t="s">
        <v>0</v>
      </c>
      <c r="G37" s="73" t="str">
        <f>IF(csv!M27="","",csv!M27)</f>
        <v>37:06</v>
      </c>
      <c r="H37" s="73" t="str">
        <f>IF(csv!N27="","",csv!N27)</f>
        <v>0</v>
      </c>
      <c r="I37" s="31" t="s">
        <v>0</v>
      </c>
      <c r="J37" s="31" t="str">
        <f>IF(csv!P27="","",csv!P27)</f>
        <v>JAP</v>
      </c>
      <c r="K37" s="31" t="str">
        <f>IF(csv!Q27="","",csv!Q27)</f>
        <v>OK Japetic</v>
      </c>
      <c r="L37" s="31" t="s">
        <v>0</v>
      </c>
      <c r="M37" s="66" t="str">
        <f>IF(csv!R27="","",csv!R27)</f>
        <v>CRO</v>
      </c>
      <c r="N37" s="47" t="s">
        <v>0</v>
      </c>
      <c r="O37" s="246" t="str">
        <f t="shared" si="61"/>
        <v>ok</v>
      </c>
      <c r="P37" s="47"/>
      <c r="Q37" s="52" t="str">
        <f t="shared" si="62"/>
        <v>M16</v>
      </c>
      <c r="R37" s="73">
        <f>IF(Q37="","",IF(COUNTIF(Q$12:Q36,Q37)=0,R36+1,R36))</f>
        <v>3</v>
      </c>
      <c r="S37" s="73">
        <f t="shared" si="63"/>
        <v>110</v>
      </c>
      <c r="T37" s="73">
        <f t="shared" si="1"/>
        <v>19</v>
      </c>
      <c r="U37" s="66" t="str">
        <f t="shared" si="2"/>
        <v>M21B – M16</v>
      </c>
      <c r="V37" s="47" t="s">
        <v>0</v>
      </c>
      <c r="W37" s="222" t="str">
        <f t="shared" si="3"/>
        <v>M16</v>
      </c>
      <c r="X37" s="223">
        <f t="shared" si="4"/>
        <v>25</v>
      </c>
      <c r="Y37" s="47" t="s">
        <v>0</v>
      </c>
      <c r="Z37" s="52" t="str">
        <f t="shared" si="64"/>
        <v>CRO</v>
      </c>
      <c r="AA37" s="73">
        <f t="shared" si="5"/>
        <v>1</v>
      </c>
      <c r="AB37" s="31" t="str">
        <f t="shared" si="65"/>
        <v/>
      </c>
      <c r="AC37" s="66" t="str">
        <f>IF(AB37="","",MAX(AC$12:AC36)+1)</f>
        <v/>
      </c>
      <c r="AD37" s="47" t="s">
        <v>0</v>
      </c>
      <c r="AE37" s="125"/>
      <c r="AF37" s="47" t="s">
        <v>0</v>
      </c>
      <c r="AG37" s="19" t="str">
        <f t="shared" si="66"/>
        <v/>
      </c>
      <c r="AH37" s="47" t="s">
        <v>0</v>
      </c>
      <c r="AI37" s="143" t="str">
        <f t="shared" si="67"/>
        <v>CRO</v>
      </c>
      <c r="AJ37" s="47"/>
      <c r="AK37" s="52" t="str">
        <f t="shared" si="68"/>
        <v>Jakov</v>
      </c>
      <c r="AL37" s="31" t="str">
        <f t="shared" si="69"/>
        <v>Lesjak</v>
      </c>
      <c r="AM37" s="73">
        <f t="shared" si="70"/>
        <v>1434</v>
      </c>
      <c r="AN37" s="73" t="str">
        <f t="shared" si="71"/>
        <v/>
      </c>
      <c r="AO37" s="31" t="str">
        <f t="shared" si="8"/>
        <v>Jakov</v>
      </c>
      <c r="AP37" s="66" t="str">
        <f t="shared" si="9"/>
        <v>Lesjak</v>
      </c>
      <c r="AQ37" s="47" t="s">
        <v>0</v>
      </c>
      <c r="AR37" s="82" t="str">
        <f t="shared" si="72"/>
        <v/>
      </c>
      <c r="AS37" s="47" t="s">
        <v>0</v>
      </c>
      <c r="AT37" s="19" t="str">
        <f t="shared" si="73"/>
        <v/>
      </c>
      <c r="AU37" s="47" t="s">
        <v>0</v>
      </c>
      <c r="AV37" s="103"/>
      <c r="AW37" s="105"/>
      <c r="AX37" s="47" t="s">
        <v>0</v>
      </c>
      <c r="AY37" s="259" t="str">
        <f t="shared" si="102"/>
        <v/>
      </c>
      <c r="AZ37" s="47" t="s">
        <v>0</v>
      </c>
      <c r="BA37" s="52" t="str">
        <f t="shared" si="11"/>
        <v/>
      </c>
      <c r="BB37" s="73" t="str">
        <f>IF(AV37&amp;AW37="","",MAX(BB$12:BB36)+1)</f>
        <v/>
      </c>
      <c r="BC37" s="272" t="str">
        <f t="shared" si="12"/>
        <v/>
      </c>
      <c r="BD37" s="53" t="str">
        <f>IF(AND(AM37="NEMA",AN37="NEMA",OR(AV37&amp;AW37="",BC37="NEMA")),MAX(BD$12:BD36)+1,"")</f>
        <v/>
      </c>
      <c r="BE37" s="47" t="s">
        <v>0</v>
      </c>
      <c r="BF37" s="52" t="str">
        <f t="shared" si="74"/>
        <v>Jakov</v>
      </c>
      <c r="BG37" s="66" t="str">
        <f t="shared" si="75"/>
        <v>Lesjak</v>
      </c>
      <c r="BH37" s="47" t="s">
        <v>0</v>
      </c>
      <c r="BI37" s="52" t="str">
        <f t="shared" si="15"/>
        <v>JAP</v>
      </c>
      <c r="BJ37" s="31" t="str">
        <f t="shared" si="16"/>
        <v>OK Japetic</v>
      </c>
      <c r="BK37" s="73">
        <f t="shared" si="17"/>
        <v>1</v>
      </c>
      <c r="BL37" s="31" t="str" cm="1">
        <f t="array" ref="BL37">IF(BK37="",""&amp;BJ37,IF(BK37="NEMA",BJ37,INDEX(regKlub_naziv,MATCH(INDEX(regKlub_alias_klubId,BK37),regKlub_id,0))))</f>
        <v>OK Japetić</v>
      </c>
      <c r="BM37" s="31" t="str" cm="1">
        <f t="array" ref="BM37">IFERROR(""&amp;INDEX(regNatjecatelj_klub,DV37),"")</f>
        <v>OK Japetić</v>
      </c>
      <c r="BN37" s="73" t="str">
        <f t="shared" si="76"/>
        <v/>
      </c>
      <c r="BO37" s="66" t="str">
        <f t="shared" si="77"/>
        <v>OK Japetić</v>
      </c>
      <c r="BP37" s="47" t="s">
        <v>0</v>
      </c>
      <c r="BQ37" s="52" t="str">
        <f>IF(X37&lt;&gt;"NEMA","",IF(IFERROR(MATCH(W37,W$12:W36,0),0)&lt;&gt;0,"",W37))</f>
        <v/>
      </c>
      <c r="BR37" s="73" t="str">
        <f t="shared" si="78"/>
        <v/>
      </c>
      <c r="BS37" s="31" t="str">
        <f>IF(OR(BR37="",BR37&lt;&gt;"NEMA"),"",MAX(BS$12:BS36)+1)</f>
        <v/>
      </c>
      <c r="BT37" s="66" t="str">
        <f t="shared" si="79"/>
        <v/>
      </c>
      <c r="BU37" s="47" t="s">
        <v>0</v>
      </c>
      <c r="BV37" s="19" t="str">
        <f t="shared" si="80"/>
        <v/>
      </c>
      <c r="BW37" s="47" t="s">
        <v>0</v>
      </c>
      <c r="BX37" s="82" t="str">
        <f>IF(BK37&lt;&gt;"NEMA","",IF(IFERROR(MATCH(BJ37,BJ$12:BJ36,0),0)&lt;&gt;0,"",BJ37))</f>
        <v/>
      </c>
      <c r="BY37" s="47" t="s">
        <v>0</v>
      </c>
      <c r="BZ37" s="125"/>
      <c r="CA37" s="47" t="s">
        <v>0</v>
      </c>
      <c r="CB37" s="58" t="str">
        <f t="shared" si="81"/>
        <v/>
      </c>
      <c r="CC37" s="31" t="str">
        <f t="shared" si="82"/>
        <v/>
      </c>
      <c r="CD37" s="31" t="str">
        <f>IF(CC37="","",MAX(CD$12:CD36)+1)</f>
        <v/>
      </c>
      <c r="CE37" s="31" t="str">
        <f t="shared" si="22"/>
        <v/>
      </c>
      <c r="CF37" s="31" t="str">
        <f t="shared" si="83"/>
        <v/>
      </c>
      <c r="CG37" s="31" t="str">
        <f>IF(BZ37="","",MAX(CG$12:CG36)+1)</f>
        <v/>
      </c>
      <c r="CH37" s="31" t="str">
        <f t="shared" si="84"/>
        <v/>
      </c>
      <c r="CI37" s="66" t="str">
        <f t="shared" si="85"/>
        <v/>
      </c>
      <c r="CJ37" s="47" t="s">
        <v>0</v>
      </c>
      <c r="CK37" s="73" t="str">
        <f t="shared" si="25"/>
        <v/>
      </c>
      <c r="CL37" s="47"/>
      <c r="CM37" s="19" t="str">
        <f t="shared" si="86"/>
        <v/>
      </c>
      <c r="CN37" s="47" t="s">
        <v>0</v>
      </c>
      <c r="CO37" s="143" t="str">
        <f t="shared" si="87"/>
        <v>OK Japetić</v>
      </c>
      <c r="CP37" s="47" t="s">
        <v>0</v>
      </c>
      <c r="CQ37" s="58" t="str">
        <f t="shared" si="28"/>
        <v>37:06</v>
      </c>
      <c r="CR37" s="73" t="str">
        <f t="shared" si="29"/>
        <v>0</v>
      </c>
      <c r="CS37" s="229" t="str">
        <f t="shared" si="30"/>
        <v/>
      </c>
      <c r="CT37" s="230">
        <f t="shared" si="88"/>
        <v>2226</v>
      </c>
      <c r="CU37" s="163">
        <f t="shared" si="32"/>
        <v>1</v>
      </c>
      <c r="CV37" s="47" t="s">
        <v>0</v>
      </c>
      <c r="CW37" s="222" t="str">
        <f t="shared" si="89"/>
        <v xml:space="preserve">
</v>
      </c>
      <c r="CX37" s="223">
        <f t="shared" si="90"/>
        <v>6</v>
      </c>
      <c r="CY37" s="47" t="s">
        <v>0</v>
      </c>
      <c r="CZ37" s="47"/>
      <c r="DA37" s="47"/>
      <c r="DB37" s="47"/>
      <c r="DC37" s="47" t="s">
        <v>0</v>
      </c>
      <c r="DD37" s="53" t="str">
        <f t="shared" si="103"/>
        <v/>
      </c>
      <c r="DE37" t="s">
        <v>0</v>
      </c>
      <c r="DF37" s="128" t="str">
        <f t="shared" si="104"/>
        <v>M</v>
      </c>
      <c r="DG37" t="s">
        <v>0</v>
      </c>
      <c r="DH37" s="52" t="str">
        <f t="shared" si="105"/>
        <v/>
      </c>
      <c r="DI37" s="66" t="str">
        <f t="shared" si="106"/>
        <v/>
      </c>
      <c r="DJ37" t="s">
        <v>0</v>
      </c>
      <c r="DK37" s="19" t="str">
        <f t="shared" si="107"/>
        <v/>
      </c>
      <c r="DL37" s="47" t="s">
        <v>0</v>
      </c>
      <c r="DM37" s="19" t="str">
        <f t="shared" si="108"/>
        <v/>
      </c>
      <c r="DN37" s="47" t="s">
        <v>0</v>
      </c>
      <c r="DO37" s="52" t="str">
        <f t="shared" si="39"/>
        <v>Jakov – Lesjak – OK Japetić – M16</v>
      </c>
      <c r="DP37" s="53">
        <f t="shared" si="40"/>
        <v>105</v>
      </c>
      <c r="DQ37" s="47" t="s">
        <v>0</v>
      </c>
      <c r="DR37" s="52" t="str">
        <f t="shared" si="41"/>
        <v>Jakov – Lesjak – OK Japetić</v>
      </c>
      <c r="DS37" s="53">
        <f t="shared" si="42"/>
        <v>105</v>
      </c>
      <c r="DT37" s="47" t="s">
        <v>0</v>
      </c>
      <c r="DU37" s="52" t="str">
        <f t="shared" si="43"/>
        <v>Jakov – Lesjak</v>
      </c>
      <c r="DV37" s="53">
        <f t="shared" si="44"/>
        <v>105</v>
      </c>
      <c r="DW37" s="47" t="s">
        <v>0</v>
      </c>
      <c r="DX37" s="58">
        <f t="shared" si="91"/>
        <v>105</v>
      </c>
      <c r="DY37" s="53" cm="1">
        <f t="array" ref="DY37">IF(DX37&lt;&gt;"",INDEX(regNatjecatelj_id,DX37,0),IF(BD37&lt;&gt;"",BD37,""))</f>
        <v>1434</v>
      </c>
      <c r="DZ37" s="47" t="s">
        <v>0</v>
      </c>
      <c r="EA37" s="58" t="str">
        <f t="shared" si="45"/>
        <v>imepre</v>
      </c>
      <c r="EB37" s="73" t="str">
        <f t="shared" si="46"/>
        <v>klu(ali)</v>
      </c>
      <c r="EC37" s="73" t="str">
        <f t="shared" si="47"/>
        <v>kat</v>
      </c>
      <c r="ED37" s="73" t="str">
        <f t="shared" si="48"/>
        <v/>
      </c>
      <c r="EE37" s="66" t="str">
        <f t="shared" si="49"/>
        <v>imepre-klu(ali)-kat</v>
      </c>
      <c r="EF37" s="47" t="s">
        <v>0</v>
      </c>
      <c r="EG37" s="58">
        <f>IF(AL37="","",MAX(EG$12:EG36)+1)</f>
        <v>213</v>
      </c>
      <c r="EH37" s="73">
        <f t="shared" si="50"/>
        <v>25</v>
      </c>
      <c r="EI37" s="73">
        <f t="shared" si="92"/>
        <v>1434</v>
      </c>
      <c r="EJ37" s="73">
        <f t="shared" si="51"/>
        <v>2226</v>
      </c>
      <c r="EK37" s="73">
        <f t="shared" si="52"/>
        <v>1</v>
      </c>
      <c r="EL37" s="73">
        <f t="shared" si="93"/>
        <v>1</v>
      </c>
      <c r="EM37" s="73">
        <f t="shared" si="94"/>
        <v>3</v>
      </c>
      <c r="EN37" s="73" t="str">
        <f t="shared" si="55"/>
        <v>0</v>
      </c>
      <c r="EO37" s="73" t="str">
        <f t="shared" si="56"/>
        <v/>
      </c>
      <c r="EP37" s="73">
        <f t="shared" si="57"/>
        <v>1</v>
      </c>
      <c r="EQ37" s="53" t="str">
        <f t="shared" si="58"/>
        <v/>
      </c>
      <c r="ER37" s="47" t="s">
        <v>0</v>
      </c>
      <c r="ES37" s="19" t="str">
        <f t="shared" si="95"/>
        <v>INSERT INTO rezultat(id,stazakategorija_id,imeprezime_id,vrijeme_sec,status_id,registracija,uparivanje_id,originalstatus_id,imeprezimealias_id,klubalias_id,kategorijaalias_id) VALUES (213,25,1434,2226,1,1,3,0,Null,1,Null);</v>
      </c>
      <c r="ET37" s="47" t="s">
        <v>0</v>
      </c>
      <c r="EU37" s="19" t="str">
        <f t="shared" si="96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7" s="47" t="s">
        <v>0</v>
      </c>
      <c r="EW37" s="180" t="str">
        <f t="shared" si="60"/>
        <v xml:space="preserve">
INSERT INTO rezultat(id,stazakategorija_id,imeprezime_id,vrijeme_sec,status_id,registracija,uparivanje_id,originalstatus_id,imeprezimealias_id,klubalias_id,kategorijaalias_id) VALUES (213,25,1434,2226,1,1,3,0,Null,1,Null);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7" s="47" t="s">
        <v>0</v>
      </c>
    </row>
    <row r="38" spans="1:154" x14ac:dyDescent="0.25">
      <c r="A38" t="s">
        <v>0</v>
      </c>
      <c r="B38" s="52" t="str">
        <f>IF(csv!F28="","",csv!T28)</f>
        <v>M16</v>
      </c>
      <c r="C38" s="31" t="s">
        <v>0</v>
      </c>
      <c r="D38" s="31" t="str">
        <f>IF(csv!F28="","",csv!F28)</f>
        <v>Vibor</v>
      </c>
      <c r="E38" s="31" t="str">
        <f>IF(csv!E28="","",csv!E28)</f>
        <v>Strmečki</v>
      </c>
      <c r="F38" s="31" t="s">
        <v>0</v>
      </c>
      <c r="G38" s="73" t="str">
        <f>IF(csv!M28="","",csv!M28)</f>
        <v>40:04</v>
      </c>
      <c r="H38" s="73" t="str">
        <f>IF(csv!N28="","",csv!N28)</f>
        <v>0</v>
      </c>
      <c r="I38" s="31" t="s">
        <v>0<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/v>
      </c>
      <c r="M38" s="66" t="str">
        <f>IF(csv!R28="","",csv!R28)</f>
        <v>CRO</v>
      </c>
      <c r="N38" s="47" t="s">
        <v>0</v>
      </c>
      <c r="O38" s="246" t="str">
        <f t="shared" si="61"/>
        <v>ok</v>
      </c>
      <c r="P38" s="47"/>
      <c r="Q38" s="52" t="str">
        <f t="shared" si="62"/>
        <v>M16</v>
      </c>
      <c r="R38" s="73">
        <f>IF(Q38="","",IF(COUNTIF(Q$12:Q37,Q38)=0,R37+1,R37))</f>
        <v>3</v>
      </c>
      <c r="S38" s="73">
        <f t="shared" si="63"/>
        <v>110</v>
      </c>
      <c r="T38" s="73">
        <f t="shared" si="1"/>
        <v>19</v>
      </c>
      <c r="U38" s="66" t="str">
        <f t="shared" si="2"/>
        <v>M21B – M16</v>
      </c>
      <c r="V38" s="47" t="s">
        <v>0</v>
      </c>
      <c r="W38" s="222" t="str">
        <f t="shared" si="3"/>
        <v>M16</v>
      </c>
      <c r="X38" s="223">
        <f t="shared" si="4"/>
        <v>25</v>
      </c>
      <c r="Y38" s="47" t="s">
        <v>0</v>
      </c>
      <c r="Z38" s="52" t="str">
        <f t="shared" si="64"/>
        <v>CRO</v>
      </c>
      <c r="AA38" s="73">
        <f t="shared" si="5"/>
        <v>1</v>
      </c>
      <c r="AB38" s="31" t="str">
        <f t="shared" si="65"/>
        <v/>
      </c>
      <c r="AC38" s="66" t="str">
        <f>IF(AB38="","",MAX(AC$12:AC37)+1)</f>
        <v/>
      </c>
      <c r="AD38" s="47" t="s">
        <v>0</v>
      </c>
      <c r="AE38" s="125"/>
      <c r="AF38" s="47" t="s">
        <v>0</v>
      </c>
      <c r="AG38" s="19" t="str">
        <f t="shared" si="66"/>
        <v/>
      </c>
      <c r="AH38" s="47" t="s">
        <v>0</v>
      </c>
      <c r="AI38" s="143" t="str">
        <f t="shared" si="67"/>
        <v>CRO</v>
      </c>
      <c r="AJ38" s="47"/>
      <c r="AK38" s="52" t="str">
        <f t="shared" si="68"/>
        <v>Vibor</v>
      </c>
      <c r="AL38" s="31" t="str">
        <f t="shared" si="69"/>
        <v>Strmečki</v>
      </c>
      <c r="AM38" s="73">
        <f t="shared" si="70"/>
        <v>1165</v>
      </c>
      <c r="AN38" s="73" t="str">
        <f t="shared" si="71"/>
        <v/>
      </c>
      <c r="AO38" s="31" t="str">
        <f t="shared" si="8"/>
        <v>Vibor</v>
      </c>
      <c r="AP38" s="66" t="str">
        <f t="shared" si="9"/>
        <v>Strmečki</v>
      </c>
      <c r="AQ38" s="47" t="s">
        <v>0</v>
      </c>
      <c r="AR38" s="82" t="str">
        <f t="shared" si="72"/>
        <v/>
      </c>
      <c r="AS38" s="47" t="s">
        <v>0</v>
      </c>
      <c r="AT38" s="19" t="str">
        <f t="shared" si="73"/>
        <v/>
      </c>
      <c r="AU38" s="47" t="s">
        <v>0</v>
      </c>
      <c r="AV38" s="103"/>
      <c r="AW38" s="105"/>
      <c r="AX38" s="47" t="s">
        <v>0</v>
      </c>
      <c r="AY38" s="259" t="str">
        <f t="shared" si="102"/>
        <v/>
      </c>
      <c r="AZ38" s="47" t="s">
        <v>0</v>
      </c>
      <c r="BA38" s="52" t="str">
        <f t="shared" si="11"/>
        <v/>
      </c>
      <c r="BB38" s="73" t="str">
        <f>IF(AV38&amp;AW38="","",MAX(BB$12:BB37)+1)</f>
        <v/>
      </c>
      <c r="BC38" s="272" t="str">
        <f t="shared" si="12"/>
        <v/>
      </c>
      <c r="BD38" s="53" t="str">
        <f>IF(AND(AM38="NEMA",AN38="NEMA",OR(AV38&amp;AW38="",BC38="NEMA")),MAX(BD$12:BD37)+1,"")</f>
        <v/>
      </c>
      <c r="BE38" s="47" t="s">
        <v>0</v>
      </c>
      <c r="BF38" s="52" t="str">
        <f t="shared" si="74"/>
        <v>Vibor</v>
      </c>
      <c r="BG38" s="66" t="str">
        <f t="shared" si="75"/>
        <v>Strmečki</v>
      </c>
      <c r="BH38" s="47" t="s">
        <v>0</v>
      </c>
      <c r="BI38" s="52" t="str">
        <f t="shared" si="15"/>
        <v>Maksimir</v>
      </c>
      <c r="BJ38" s="31" t="str">
        <f t="shared" si="16"/>
        <v>OK Maksimir</v>
      </c>
      <c r="BK38" s="73" t="str">
        <f t="shared" si="17"/>
        <v/>
      </c>
      <c r="BL38" s="31" t="str" cm="1">
        <f t="array" ref="BL38">IF(BK38="",""&amp;BJ38,IF(BK38="NEMA",BJ38,INDEX(regKlub_naziv,MATCH(INDEX(regKlub_alias_klubId,BK38),regKlub_id,0))))</f>
        <v>OK Maksimir</v>
      </c>
      <c r="BM38" s="31" t="str" cm="1">
        <f t="array" ref="BM38">IFERROR(""&amp;INDEX(regNatjecatelj_klub,DV38),"")</f>
        <v>OK Maksimir</v>
      </c>
      <c r="BN38" s="73" t="str">
        <f t="shared" si="76"/>
        <v/>
      </c>
      <c r="BO38" s="66" t="str">
        <f t="shared" si="77"/>
        <v>OK Maksimir</v>
      </c>
      <c r="BP38" s="47" t="s">
        <v>0</v>
      </c>
      <c r="BQ38" s="52" t="str">
        <f>IF(X38&lt;&gt;"NEMA","",IF(IFERROR(MATCH(W38,W$12:W37,0),0)&lt;&gt;0,"",W38))</f>
        <v/>
      </c>
      <c r="BR38" s="73" t="str">
        <f t="shared" si="78"/>
        <v/>
      </c>
      <c r="BS38" s="31" t="str">
        <f>IF(OR(BR38="",BR38&lt;&gt;"NEMA"),"",MAX(BS$12:BS37)+1)</f>
        <v/>
      </c>
      <c r="BT38" s="66" t="str">
        <f t="shared" si="79"/>
        <v/>
      </c>
      <c r="BU38" s="47" t="s">
        <v>0</v>
      </c>
      <c r="BV38" s="19" t="str">
        <f t="shared" si="80"/>
        <v/>
      </c>
      <c r="BW38" s="47" t="s">
        <v>0</v>
      </c>
      <c r="BX38" s="82" t="str">
        <f>IF(BK38&lt;&gt;"NEMA","",IF(IFERROR(MATCH(BJ38,BJ$12:BJ37,0),0)&lt;&gt;0,"",BJ38))</f>
        <v/>
      </c>
      <c r="BY38" s="47" t="s">
        <v>0</v>
      </c>
      <c r="BZ38" s="125"/>
      <c r="CA38" s="47" t="s">
        <v>0</v>
      </c>
      <c r="CB38" s="58" t="str">
        <f t="shared" si="81"/>
        <v/>
      </c>
      <c r="CC38" s="31" t="str">
        <f t="shared" si="82"/>
        <v/>
      </c>
      <c r="CD38" s="31" t="str">
        <f>IF(CC38="","",MAX(CD$12:CD37)+1)</f>
        <v/>
      </c>
      <c r="CE38" s="31" t="str">
        <f t="shared" si="22"/>
        <v/>
      </c>
      <c r="CF38" s="31" t="str">
        <f t="shared" si="83"/>
        <v/>
      </c>
      <c r="CG38" s="31" t="str">
        <f>IF(BZ38="","",MAX(CG$12:CG37)+1)</f>
        <v/>
      </c>
      <c r="CH38" s="31" t="str">
        <f t="shared" si="84"/>
        <v/>
      </c>
      <c r="CI38" s="66" t="str">
        <f t="shared" si="85"/>
        <v/>
      </c>
      <c r="CJ38" s="47" t="s">
        <v>0</v>
      </c>
      <c r="CK38" s="73" t="str">
        <f t="shared" si="25"/>
        <v/>
      </c>
      <c r="CL38" s="47"/>
      <c r="CM38" s="19" t="str">
        <f t="shared" si="86"/>
        <v/>
      </c>
      <c r="CN38" s="47" t="s">
        <v>0</v>
      </c>
      <c r="CO38" s="143" t="str">
        <f t="shared" si="87"/>
        <v>OK Maksimir</v>
      </c>
      <c r="CP38" s="47" t="s">
        <v>0</v>
      </c>
      <c r="CQ38" s="58" t="str">
        <f t="shared" si="28"/>
        <v>40:04</v>
      </c>
      <c r="CR38" s="73" t="str">
        <f t="shared" si="29"/>
        <v>0</v>
      </c>
      <c r="CS38" s="229" t="str">
        <f t="shared" si="30"/>
        <v/>
      </c>
      <c r="CT38" s="230">
        <f t="shared" si="88"/>
        <v>2404</v>
      </c>
      <c r="CU38" s="163">
        <f t="shared" si="32"/>
        <v>1</v>
      </c>
      <c r="CV38" s="47" t="s">
        <v>0</v>
      </c>
      <c r="CW38" s="222" t="str">
        <f t="shared" si="89"/>
        <v xml:space="preserve">
</v>
      </c>
      <c r="CX38" s="223">
        <f t="shared" si="90"/>
        <v>6</v>
      </c>
      <c r="CY38" s="47" t="s">
        <v>0</v>
      </c>
      <c r="CZ38" s="47"/>
      <c r="DA38" s="47"/>
      <c r="DB38" s="47"/>
      <c r="DC38" s="47" t="s">
        <v>0</v>
      </c>
      <c r="DD38" s="53" t="str">
        <f t="shared" si="103"/>
        <v/>
      </c>
      <c r="DE38" t="s">
        <v>0</v>
      </c>
      <c r="DF38" s="128" t="str">
        <f t="shared" si="104"/>
        <v>M</v>
      </c>
      <c r="DG38" t="s">
        <v>0</v>
      </c>
      <c r="DH38" s="52" t="str">
        <f t="shared" si="105"/>
        <v/>
      </c>
      <c r="DI38" s="66" t="str">
        <f t="shared" si="106"/>
        <v/>
      </c>
      <c r="DJ38" t="s">
        <v>0</v>
      </c>
      <c r="DK38" s="19" t="str">
        <f t="shared" si="107"/>
        <v/>
      </c>
      <c r="DL38" s="47" t="s">
        <v>0</v>
      </c>
      <c r="DM38" s="19" t="str">
        <f t="shared" si="108"/>
        <v/>
      </c>
      <c r="DN38" s="47" t="s">
        <v>0</v>
      </c>
      <c r="DO38" s="52" t="str">
        <f t="shared" si="39"/>
        <v>Vibor – Strmečki – OK Maksimir – M16</v>
      </c>
      <c r="DP38" s="53">
        <f t="shared" si="40"/>
        <v>384</v>
      </c>
      <c r="DQ38" s="47" t="s">
        <v>0</v>
      </c>
      <c r="DR38" s="52" t="str">
        <f t="shared" si="41"/>
        <v>Vibor – Strmečki – OK Maksimir</v>
      </c>
      <c r="DS38" s="53">
        <f t="shared" si="42"/>
        <v>384</v>
      </c>
      <c r="DT38" s="47" t="s">
        <v>0</v>
      </c>
      <c r="DU38" s="52" t="str">
        <f t="shared" si="43"/>
        <v>Vibor – Strmečki</v>
      </c>
      <c r="DV38" s="53">
        <f t="shared" si="44"/>
        <v>384</v>
      </c>
      <c r="DW38" s="47" t="s">
        <v>0</v>
      </c>
      <c r="DX38" s="58">
        <f t="shared" si="91"/>
        <v>384</v>
      </c>
      <c r="DY38" s="53" cm="1">
        <f t="array" ref="DY38">IF(DX38&lt;&gt;"",INDEX(regNatjecatelj_id,DX38,0),IF(BD38&lt;&gt;"",BD38,""))</f>
        <v>1165</v>
      </c>
      <c r="DZ38" s="47" t="s">
        <v>0</v>
      </c>
      <c r="EA38" s="58" t="str">
        <f t="shared" si="45"/>
        <v>imepre</v>
      </c>
      <c r="EB38" s="73" t="str">
        <f t="shared" si="46"/>
        <v>klu</v>
      </c>
      <c r="EC38" s="73" t="str">
        <f t="shared" si="47"/>
        <v>kat</v>
      </c>
      <c r="ED38" s="73" t="str">
        <f t="shared" si="48"/>
        <v/>
      </c>
      <c r="EE38" s="66" t="str">
        <f t="shared" si="49"/>
        <v>imepre-klu-kat</v>
      </c>
      <c r="EF38" s="47" t="s">
        <v>0</v>
      </c>
      <c r="EG38" s="58">
        <f>IF(AL38="","",MAX(EG$12:EG37)+1)</f>
        <v>214</v>
      </c>
      <c r="EH38" s="73">
        <f t="shared" si="50"/>
        <v>25</v>
      </c>
      <c r="EI38" s="73">
        <f t="shared" si="92"/>
        <v>1165</v>
      </c>
      <c r="EJ38" s="73">
        <f t="shared" si="51"/>
        <v>2404</v>
      </c>
      <c r="EK38" s="73">
        <f t="shared" si="52"/>
        <v>1</v>
      </c>
      <c r="EL38" s="73">
        <f t="shared" si="93"/>
        <v>1</v>
      </c>
      <c r="EM38" s="73">
        <f t="shared" si="94"/>
        <v>1</v>
      </c>
      <c r="EN38" s="73" t="str">
        <f t="shared" si="55"/>
        <v>0</v>
      </c>
      <c r="EO38" s="73" t="str">
        <f t="shared" si="56"/>
        <v/>
      </c>
      <c r="EP38" s="73" t="str">
        <f t="shared" si="57"/>
        <v/>
      </c>
      <c r="EQ38" s="53" t="str">
        <f t="shared" si="58"/>
        <v/>
      </c>
      <c r="ER38" s="47" t="s">
        <v>0</v>
      </c>
      <c r="ES38" s="19" t="str">
        <f t="shared" si="95"/>
        <v>INSERT INTO rezultat(id,stazakategorija_id,imeprezime_id,vrijeme_sec,status_id,registracija,uparivanje_id,originalstatus_id,imeprezimealias_id,klubalias_id,kategorijaalias_id) VALUES (214,25,1165,2404,1,1,1,0,Null,Null,Null);</v>
      </c>
      <c r="ET38" s="47" t="s">
        <v>0</v>
      </c>
      <c r="EU38" s="19" t="str">
        <f t="shared" si="96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8" s="47" t="s">
        <v>0</v>
      </c>
      <c r="EW38" s="180" t="str">
        <f t="shared" si="60"/>
        <v xml:space="preserve">
INSERT INTO rezultat(id,stazakategorija_id,imeprezime_id,vrijeme_sec,status_id,registracija,uparivanje_id,originalstatus_id,imeprezimealias_id,klubalias_id,kategorijaalias_id) VALUES (214,25,1165,2404,1,1,1,0,Null,Null,Null);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8" s="47" t="s">
        <v>0</v>
      </c>
    </row>
    <row r="39" spans="1:154" x14ac:dyDescent="0.25">
      <c r="A39" t="s">
        <v>0</v>
      </c>
      <c r="B39" s="52" t="str">
        <f>IF(csv!F29="","",csv!T29)</f>
        <v>M16</v>
      </c>
      <c r="C39" s="31" t="s">
        <v>0</v>
      </c>
      <c r="D39" s="31" t="str">
        <f>IF(csv!F29="","",csv!F29)</f>
        <v>Patrick</v>
      </c>
      <c r="E39" s="31" t="str">
        <f>IF(csv!E29="","",csv!E29)</f>
        <v>Milković</v>
      </c>
      <c r="F39" s="31" t="s">
        <v>0</v>
      </c>
      <c r="G39" s="73" t="str">
        <f>IF(csv!M29="","",csv!M29)</f>
        <v>50:15</v>
      </c>
      <c r="H39" s="73" t="str">
        <f>IF(csv!N29="","",csv!N29)</f>
        <v>0</v>
      </c>
      <c r="I39" s="31" t="s">
        <v>0</v>
      </c>
      <c r="J39" s="31" t="str">
        <f>IF(csv!P29="","",csv!P29)</f>
        <v>JAP</v>
      </c>
      <c r="K39" s="31" t="str">
        <f>IF(csv!Q29="","",csv!Q29)</f>
        <v>OK Japetic</v>
      </c>
      <c r="L39" s="31" t="s">
        <v>0</v>
      </c>
      <c r="M39" s="66" t="str">
        <f>IF(csv!R29="","",csv!R29)</f>
        <v>CRO</v>
      </c>
      <c r="N39" s="47" t="s">
        <v>0</v>
      </c>
      <c r="O39" s="246" t="str">
        <f t="shared" si="61"/>
        <v>ok</v>
      </c>
      <c r="P39" s="47"/>
      <c r="Q39" s="52" t="str">
        <f t="shared" si="62"/>
        <v>M16</v>
      </c>
      <c r="R39" s="73">
        <f>IF(Q39="","",IF(COUNTIF(Q$12:Q38,Q39)=0,R38+1,R38))</f>
        <v>3</v>
      </c>
      <c r="S39" s="73">
        <f t="shared" si="63"/>
        <v>110</v>
      </c>
      <c r="T39" s="73">
        <f t="shared" si="1"/>
        <v>19</v>
      </c>
      <c r="U39" s="66" t="str">
        <f t="shared" si="2"/>
        <v>M21B – M16</v>
      </c>
      <c r="V39" s="47" t="s">
        <v>0</v>
      </c>
      <c r="W39" s="222" t="str">
        <f t="shared" si="3"/>
        <v>M16</v>
      </c>
      <c r="X39" s="223">
        <f t="shared" si="4"/>
        <v>25</v>
      </c>
      <c r="Y39" s="47" t="s">
        <v>0</v>
      </c>
      <c r="Z39" s="52" t="str">
        <f t="shared" si="64"/>
        <v>CRO</v>
      </c>
      <c r="AA39" s="73">
        <f t="shared" si="5"/>
        <v>1</v>
      </c>
      <c r="AB39" s="31" t="str">
        <f t="shared" si="65"/>
        <v/>
      </c>
      <c r="AC39" s="66" t="str">
        <f>IF(AB39="","",MAX(AC$12:AC38)+1)</f>
        <v/>
      </c>
      <c r="AD39" s="47" t="s">
        <v>0</v>
      </c>
      <c r="AE39" s="125"/>
      <c r="AF39" s="47" t="s">
        <v>0</v>
      </c>
      <c r="AG39" s="19" t="str">
        <f t="shared" si="66"/>
        <v/>
      </c>
      <c r="AH39" s="47" t="s">
        <v>0</v>
      </c>
      <c r="AI39" s="143" t="str">
        <f t="shared" si="67"/>
        <v>CRO</v>
      </c>
      <c r="AJ39" s="47"/>
      <c r="AK39" s="52" t="str">
        <f t="shared" si="68"/>
        <v>Patrick</v>
      </c>
      <c r="AL39" s="31" t="str">
        <f t="shared" si="69"/>
        <v>Milković</v>
      </c>
      <c r="AM39" s="73">
        <f t="shared" si="70"/>
        <v>1169</v>
      </c>
      <c r="AN39" s="73" t="str">
        <f t="shared" si="71"/>
        <v/>
      </c>
      <c r="AO39" s="31" t="str">
        <f t="shared" si="8"/>
        <v>Patrick</v>
      </c>
      <c r="AP39" s="66" t="str">
        <f t="shared" si="9"/>
        <v>Milković</v>
      </c>
      <c r="AQ39" s="47" t="s">
        <v>0</v>
      </c>
      <c r="AR39" s="82" t="str">
        <f t="shared" si="72"/>
        <v/>
      </c>
      <c r="AS39" s="47" t="s">
        <v>0</v>
      </c>
      <c r="AT39" s="19" t="str">
        <f t="shared" si="73"/>
        <v/>
      </c>
      <c r="AU39" s="47" t="s">
        <v>0</v>
      </c>
      <c r="AV39" s="103"/>
      <c r="AW39" s="105"/>
      <c r="AX39" s="47" t="s">
        <v>0</v>
      </c>
      <c r="AY39" s="259" t="str">
        <f t="shared" si="102"/>
        <v/>
      </c>
      <c r="AZ39" s="47" t="s">
        <v>0</v>
      </c>
      <c r="BA39" s="52" t="str">
        <f t="shared" si="11"/>
        <v/>
      </c>
      <c r="BB39" s="73" t="str">
        <f>IF(AV39&amp;AW39="","",MAX(BB$12:BB38)+1)</f>
        <v/>
      </c>
      <c r="BC39" s="272" t="str">
        <f t="shared" si="12"/>
        <v/>
      </c>
      <c r="BD39" s="53" t="str">
        <f>IF(AND(AM39="NEMA",AN39="NEMA",OR(AV39&amp;AW39="",BC39="NEMA")),MAX(BD$12:BD38)+1,"")</f>
        <v/>
      </c>
      <c r="BE39" s="47" t="s">
        <v>0</v>
      </c>
      <c r="BF39" s="52" t="str">
        <f t="shared" si="74"/>
        <v>Patrick</v>
      </c>
      <c r="BG39" s="66" t="str">
        <f t="shared" si="75"/>
        <v>Milković</v>
      </c>
      <c r="BH39" s="47" t="s">
        <v>0</v>
      </c>
      <c r="BI39" s="52" t="str">
        <f t="shared" si="15"/>
        <v>JAP</v>
      </c>
      <c r="BJ39" s="31" t="str">
        <f t="shared" si="16"/>
        <v>OK Japetic</v>
      </c>
      <c r="BK39" s="73">
        <f t="shared" si="17"/>
        <v>1</v>
      </c>
      <c r="BL39" s="31" t="str" cm="1">
        <f t="array" ref="BL39">IF(BK39="",""&amp;BJ39,IF(BK39="NEMA",BJ39,INDEX(regKlub_naziv,MATCH(INDEX(regKlub_alias_klubId,BK39),regKlub_id,0))))</f>
        <v>OK Japetić</v>
      </c>
      <c r="BM39" s="31" t="str" cm="1">
        <f t="array" ref="BM39">IFERROR(""&amp;INDEX(regNatjecatelj_klub,DV39),"")</f>
        <v>OK Japetić</v>
      </c>
      <c r="BN39" s="73" t="str">
        <f t="shared" si="76"/>
        <v/>
      </c>
      <c r="BO39" s="66" t="str">
        <f t="shared" si="77"/>
        <v>OK Japetić</v>
      </c>
      <c r="BP39" s="47" t="s">
        <v>0</v>
      </c>
      <c r="BQ39" s="52" t="str">
        <f>IF(X39&lt;&gt;"NEMA","",IF(IFERROR(MATCH(W39,W$12:W38,0),0)&lt;&gt;0,"",W39))</f>
        <v/>
      </c>
      <c r="BR39" s="73" t="str">
        <f t="shared" si="78"/>
        <v/>
      </c>
      <c r="BS39" s="31" t="str">
        <f>IF(OR(BR39="",BR39&lt;&gt;"NEMA"),"",MAX(BS$12:BS38)+1)</f>
        <v/>
      </c>
      <c r="BT39" s="66" t="str">
        <f t="shared" si="79"/>
        <v/>
      </c>
      <c r="BU39" s="47" t="s">
        <v>0</v>
      </c>
      <c r="BV39" s="19" t="str">
        <f t="shared" si="80"/>
        <v/>
      </c>
      <c r="BW39" s="47" t="s">
        <v>0</v>
      </c>
      <c r="BX39" s="82" t="str">
        <f>IF(BK39&lt;&gt;"NEMA","",IF(IFERROR(MATCH(BJ39,BJ$12:BJ38,0),0)&lt;&gt;0,"",BJ39))</f>
        <v/>
      </c>
      <c r="BY39" s="47" t="s">
        <v>0</v>
      </c>
      <c r="BZ39" s="125"/>
      <c r="CA39" s="47" t="s">
        <v>0</v>
      </c>
      <c r="CB39" s="58" t="str">
        <f t="shared" si="81"/>
        <v/>
      </c>
      <c r="CC39" s="31" t="str">
        <f t="shared" si="82"/>
        <v/>
      </c>
      <c r="CD39" s="31" t="str">
        <f>IF(CC39="","",MAX(CD$12:CD38)+1)</f>
        <v/>
      </c>
      <c r="CE39" s="31" t="str">
        <f t="shared" si="22"/>
        <v/>
      </c>
      <c r="CF39" s="31" t="str">
        <f t="shared" si="83"/>
        <v/>
      </c>
      <c r="CG39" s="31" t="str">
        <f>IF(BZ39="","",MAX(CG$12:CG38)+1)</f>
        <v/>
      </c>
      <c r="CH39" s="31" t="str">
        <f t="shared" si="84"/>
        <v/>
      </c>
      <c r="CI39" s="66" t="str">
        <f t="shared" si="85"/>
        <v/>
      </c>
      <c r="CJ39" s="47" t="s">
        <v>0</v>
      </c>
      <c r="CK39" s="73" t="str">
        <f t="shared" si="25"/>
        <v/>
      </c>
      <c r="CL39" s="47"/>
      <c r="CM39" s="19" t="str">
        <f t="shared" si="86"/>
        <v/>
      </c>
      <c r="CN39" s="47" t="s">
        <v>0</v>
      </c>
      <c r="CO39" s="143" t="str">
        <f t="shared" si="87"/>
        <v>OK Japetić</v>
      </c>
      <c r="CP39" s="47" t="s">
        <v>0</v>
      </c>
      <c r="CQ39" s="58" t="str">
        <f t="shared" ref="CQ39:CQ102" si="109">IF(G39="","",G39)</f>
        <v>50:15</v>
      </c>
      <c r="CR39" s="73" t="str">
        <f t="shared" ref="CR39:CR102" si="110">IF(H39="","",H39)</f>
        <v>0</v>
      </c>
      <c r="CS39" s="229" t="str">
        <f t="shared" si="30"/>
        <v/>
      </c>
      <c r="CT39" s="230">
        <f t="shared" si="31"/>
        <v>3015</v>
      </c>
      <c r="CU39" s="163">
        <f t="shared" si="32"/>
        <v>1</v>
      </c>
      <c r="CV39" s="47" t="s">
        <v>0</v>
      </c>
      <c r="CW39" s="222" t="str">
        <f t="shared" si="89"/>
        <v xml:space="preserve">
</v>
      </c>
      <c r="CX39" s="223">
        <f t="shared" si="90"/>
        <v>6</v>
      </c>
      <c r="CY39" s="47" t="s">
        <v>0</v>
      </c>
      <c r="CZ39" s="47"/>
      <c r="DA39" s="47"/>
      <c r="DB39" s="47"/>
      <c r="DC39" s="47" t="s">
        <v>0</v>
      </c>
      <c r="DD39" s="53" t="str">
        <f t="shared" si="103"/>
        <v/>
      </c>
      <c r="DE39" t="s">
        <v>0</v>
      </c>
      <c r="DF39" s="128" t="str">
        <f t="shared" si="104"/>
        <v>M</v>
      </c>
      <c r="DG39" t="s">
        <v>0</v>
      </c>
      <c r="DH39" s="52" t="str">
        <f t="shared" si="105"/>
        <v/>
      </c>
      <c r="DI39" s="66" t="str">
        <f t="shared" si="106"/>
        <v/>
      </c>
      <c r="DJ39" t="s">
        <v>0</v>
      </c>
      <c r="DK39" s="19" t="str">
        <f t="shared" si="107"/>
        <v/>
      </c>
      <c r="DL39" s="47" t="s">
        <v>0</v>
      </c>
      <c r="DM39" s="19" t="str">
        <f t="shared" si="108"/>
        <v/>
      </c>
      <c r="DN39" s="47" t="s">
        <v>0</v>
      </c>
      <c r="DO39" s="52" t="str">
        <f t="shared" si="39"/>
        <v>Patrick – Milković – OK Japetić – M16</v>
      </c>
      <c r="DP39" s="53">
        <f t="shared" si="40"/>
        <v>116</v>
      </c>
      <c r="DQ39" s="47" t="s">
        <v>0</v>
      </c>
      <c r="DR39" s="52" t="str">
        <f t="shared" si="41"/>
        <v>Patrick – Milković – OK Japetić</v>
      </c>
      <c r="DS39" s="53">
        <f t="shared" si="42"/>
        <v>116</v>
      </c>
      <c r="DT39" s="47" t="s">
        <v>0</v>
      </c>
      <c r="DU39" s="52" t="str">
        <f t="shared" si="43"/>
        <v>Patrick – Milković</v>
      </c>
      <c r="DV39" s="53">
        <f t="shared" si="44"/>
        <v>116</v>
      </c>
      <c r="DW39" s="47" t="s">
        <v>0</v>
      </c>
      <c r="DX39" s="58">
        <f t="shared" si="91"/>
        <v>116</v>
      </c>
      <c r="DY39" s="53" cm="1">
        <f t="array" ref="DY39">IF(DX39&lt;&gt;"",INDEX(regNatjecatelj_id,DX39,0),IF(BD39&lt;&gt;"",BD39,""))</f>
        <v>1169</v>
      </c>
      <c r="DZ39" s="47" t="s">
        <v>0</v>
      </c>
      <c r="EA39" s="58" t="str">
        <f t="shared" si="45"/>
        <v>imepre</v>
      </c>
      <c r="EB39" s="73" t="str">
        <f t="shared" si="46"/>
        <v>klu(ali)</v>
      </c>
      <c r="EC39" s="73" t="str">
        <f t="shared" si="47"/>
        <v>kat</v>
      </c>
      <c r="ED39" s="73" t="str">
        <f t="shared" si="48"/>
        <v/>
      </c>
      <c r="EE39" s="66" t="str">
        <f t="shared" si="49"/>
        <v>imepre-klu(ali)-kat</v>
      </c>
      <c r="EF39" s="47" t="s">
        <v>0</v>
      </c>
      <c r="EG39" s="58">
        <f>IF(AL39="","",MAX(EG$12:EG38)+1)</f>
        <v>215</v>
      </c>
      <c r="EH39" s="73">
        <f t="shared" si="50"/>
        <v>25</v>
      </c>
      <c r="EI39" s="73">
        <f t="shared" si="92"/>
        <v>1169</v>
      </c>
      <c r="EJ39" s="73">
        <f t="shared" si="51"/>
        <v>3015</v>
      </c>
      <c r="EK39" s="73">
        <f t="shared" si="52"/>
        <v>1</v>
      </c>
      <c r="EL39" s="73">
        <f t="shared" si="93"/>
        <v>1</v>
      </c>
      <c r="EM39" s="73">
        <f t="shared" si="94"/>
        <v>3</v>
      </c>
      <c r="EN39" s="73" t="str">
        <f t="shared" si="55"/>
        <v>0</v>
      </c>
      <c r="EO39" s="73" t="str">
        <f t="shared" si="56"/>
        <v/>
      </c>
      <c r="EP39" s="73">
        <f t="shared" si="57"/>
        <v>1</v>
      </c>
      <c r="EQ39" s="53" t="str">
        <f t="shared" si="58"/>
        <v/>
      </c>
      <c r="ER39" s="47" t="s">
        <v>0</v>
      </c>
      <c r="ES39" s="19" t="str">
        <f t="shared" si="95"/>
        <v>INSERT INTO rezultat(id,stazakategorija_id,imeprezime_id,vrijeme_sec,status_id,registracija,uparivanje_id,originalstatus_id,imeprezimealias_id,klubalias_id,kategorijaalias_id) VALUES (215,25,1169,3015,1,1,3,0,Null,1,Null);</v>
      </c>
      <c r="ET39" s="47" t="s">
        <v>0</v>
      </c>
      <c r="EU39" s="19" t="str">
        <f t="shared" si="96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9" s="47" t="s">
        <v>0</v>
      </c>
      <c r="EW39" s="180" t="str">
        <f t="shared" si="60"/>
        <v xml:space="preserve">
INSERT INTO rezultat(id,stazakategorija_id,imeprezime_id,vrijeme_sec,status_id,registracija,uparivanje_id,originalstatus_id,imeprezimealias_id,klubalias_id,kategorijaalias_id) VALUES (215,25,1169,3015,1,1,3,0,Null,1,Null);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9" s="47" t="s">
        <v>0</v>
      </c>
    </row>
    <row r="40" spans="1:154" x14ac:dyDescent="0.25">
      <c r="A40" t="s">
        <v>0</v>
      </c>
      <c r="B40" s="52" t="str">
        <f>IF(csv!F30="","",csv!T30)</f>
        <v>M16</v>
      </c>
      <c r="C40" s="31" t="s">
        <v>0</v>
      </c>
      <c r="D40" s="31" t="str">
        <f>IF(csv!F30="","",csv!F30)</f>
        <v>Petar</v>
      </c>
      <c r="E40" s="31" t="str">
        <f>IF(csv!E30="","",csv!E30)</f>
        <v>Jurač</v>
      </c>
      <c r="F40" s="31" t="s">
        <v>0</v>
      </c>
      <c r="G40" s="73" t="str">
        <f>IF(csv!M30="","",csv!M30)</f>
        <v>73:05</v>
      </c>
      <c r="H40" s="73" t="str">
        <f>IF(csv!N30="","",csv!N30)</f>
        <v>0</v>
      </c>
      <c r="I40" s="31" t="s">
        <v>0</v>
      </c>
      <c r="J40" s="31" t="str">
        <f>IF(csv!P30="","",csv!P30)</f>
        <v>Vihor</v>
      </c>
      <c r="K40" s="31" t="str">
        <f>IF(csv!Q30="","",csv!Q30)</f>
        <v>OK Vihor</v>
      </c>
      <c r="L40" s="31" t="s">
        <v>0</v>
      </c>
      <c r="M40" s="66" t="str">
        <f>IF(csv!R30="","",csv!R30)</f>
        <v>CRO</v>
      </c>
      <c r="N40" s="47" t="s">
        <v>0</v>
      </c>
      <c r="O40" s="246" t="str">
        <f t="shared" si="61"/>
        <v>ok</v>
      </c>
      <c r="P40" s="47"/>
      <c r="Q40" s="52" t="str">
        <f t="shared" si="62"/>
        <v>M16</v>
      </c>
      <c r="R40" s="73">
        <f>IF(Q40="","",IF(COUNTIF(Q$12:Q39,Q40)=0,R39+1,R39))</f>
        <v>3</v>
      </c>
      <c r="S40" s="73">
        <f t="shared" si="63"/>
        <v>110</v>
      </c>
      <c r="T40" s="73">
        <f t="shared" si="1"/>
        <v>19</v>
      </c>
      <c r="U40" s="66" t="str">
        <f t="shared" si="2"/>
        <v>M21B – M16</v>
      </c>
      <c r="V40" s="47" t="s">
        <v>0</v>
      </c>
      <c r="W40" s="222" t="str">
        <f t="shared" si="3"/>
        <v>M16</v>
      </c>
      <c r="X40" s="223">
        <f t="shared" si="4"/>
        <v>25</v>
      </c>
      <c r="Y40" s="47" t="s">
        <v>0</v>
      </c>
      <c r="Z40" s="52" t="str">
        <f t="shared" si="64"/>
        <v>CRO</v>
      </c>
      <c r="AA40" s="73">
        <f t="shared" si="5"/>
        <v>1</v>
      </c>
      <c r="AB40" s="31" t="str">
        <f t="shared" si="65"/>
        <v/>
      </c>
      <c r="AC40" s="66" t="str">
        <f>IF(AB40="","",MAX(AC$12:AC39)+1)</f>
        <v/>
      </c>
      <c r="AD40" s="47" t="s">
        <v>0</v>
      </c>
      <c r="AE40" s="125"/>
      <c r="AF40" s="47" t="s">
        <v>0</v>
      </c>
      <c r="AG40" s="19" t="str">
        <f t="shared" si="66"/>
        <v/>
      </c>
      <c r="AH40" s="47" t="s">
        <v>0</v>
      </c>
      <c r="AI40" s="143" t="str">
        <f t="shared" si="67"/>
        <v>CRO</v>
      </c>
      <c r="AJ40" s="47"/>
      <c r="AK40" s="52" t="str">
        <f t="shared" si="68"/>
        <v>Petar</v>
      </c>
      <c r="AL40" s="31" t="str">
        <f t="shared" si="69"/>
        <v>Jurač</v>
      </c>
      <c r="AM40" s="73">
        <f t="shared" si="70"/>
        <v>1283</v>
      </c>
      <c r="AN40" s="73" t="str">
        <f t="shared" si="71"/>
        <v/>
      </c>
      <c r="AO40" s="31" t="str">
        <f t="shared" si="8"/>
        <v>Petar</v>
      </c>
      <c r="AP40" s="66" t="str">
        <f t="shared" si="9"/>
        <v>Jurač</v>
      </c>
      <c r="AQ40" s="47" t="s">
        <v>0</v>
      </c>
      <c r="AR40" s="82" t="str">
        <f t="shared" si="72"/>
        <v/>
      </c>
      <c r="AS40" s="47" t="s">
        <v>0</v>
      </c>
      <c r="AT40" s="19" t="str">
        <f t="shared" si="73"/>
        <v/>
      </c>
      <c r="AU40" s="47" t="s">
        <v>0</v>
      </c>
      <c r="AV40" s="103"/>
      <c r="AW40" s="105"/>
      <c r="AX40" s="47" t="s">
        <v>0</v>
      </c>
      <c r="AY40" s="259" t="str">
        <f t="shared" si="102"/>
        <v/>
      </c>
      <c r="AZ40" s="47" t="s">
        <v>0</v>
      </c>
      <c r="BA40" s="52" t="str">
        <f t="shared" si="11"/>
        <v/>
      </c>
      <c r="BB40" s="73" t="str">
        <f>IF(AV40&amp;AW40="","",MAX(BB$12:BB39)+1)</f>
        <v/>
      </c>
      <c r="BC40" s="272" t="str">
        <f t="shared" si="12"/>
        <v/>
      </c>
      <c r="BD40" s="53" t="str">
        <f>IF(AND(AM40="NEMA",AN40="NEMA",OR(AV40&amp;AW40="",BC40="NEMA")),MAX(BD$12:BD39)+1,"")</f>
        <v/>
      </c>
      <c r="BE40" s="47" t="s">
        <v>0</v>
      </c>
      <c r="BF40" s="52" t="str">
        <f t="shared" si="74"/>
        <v>Petar</v>
      </c>
      <c r="BG40" s="66" t="str">
        <f t="shared" si="75"/>
        <v>Jurač</v>
      </c>
      <c r="BH40" s="47" t="s">
        <v>0</v>
      </c>
      <c r="BI40" s="52" t="str">
        <f t="shared" si="15"/>
        <v>Vihor</v>
      </c>
      <c r="BJ40" s="31" t="str">
        <f t="shared" si="16"/>
        <v>OK Vihor</v>
      </c>
      <c r="BK40" s="73" t="str">
        <f t="shared" si="17"/>
        <v/>
      </c>
      <c r="BL40" s="31" t="str" cm="1">
        <f t="array" ref="BL40">IF(BK40="",""&amp;BJ40,IF(BK40="NEMA",BJ40,INDEX(regKlub_naziv,MATCH(INDEX(regKlub_alias_klubId,BK40),regKlub_id,0))))</f>
        <v>OK Vihor</v>
      </c>
      <c r="BM40" s="31" t="str" cm="1">
        <f t="array" ref="BM40">IFERROR(""&amp;INDEX(regNatjecatelj_klub,DV40),"")</f>
        <v>OK Vihor</v>
      </c>
      <c r="BN40" s="73" t="str">
        <f t="shared" si="76"/>
        <v/>
      </c>
      <c r="BO40" s="66" t="str">
        <f t="shared" si="77"/>
        <v>OK Vihor</v>
      </c>
      <c r="BP40" s="47" t="s">
        <v>0</v>
      </c>
      <c r="BQ40" s="52" t="str">
        <f>IF(X40&lt;&gt;"NEMA","",IF(IFERROR(MATCH(W40,W$12:W39,0),0)&lt;&gt;0,"",W40))</f>
        <v/>
      </c>
      <c r="BR40" s="73" t="str">
        <f t="shared" si="78"/>
        <v/>
      </c>
      <c r="BS40" s="31" t="str">
        <f>IF(OR(BR40="",BR40&lt;&gt;"NEMA"),"",MAX(BS$12:BS39)+1)</f>
        <v/>
      </c>
      <c r="BT40" s="66" t="str">
        <f t="shared" si="79"/>
        <v/>
      </c>
      <c r="BU40" s="47" t="s">
        <v>0</v>
      </c>
      <c r="BV40" s="19" t="str">
        <f t="shared" si="80"/>
        <v/>
      </c>
      <c r="BW40" s="47" t="s">
        <v>0</v>
      </c>
      <c r="BX40" s="82" t="str">
        <f>IF(BK40&lt;&gt;"NEMA","",IF(IFERROR(MATCH(BJ40,BJ$12:BJ39,0),0)&lt;&gt;0,"",BJ40))</f>
        <v/>
      </c>
      <c r="BY40" s="47" t="s">
        <v>0</v>
      </c>
      <c r="BZ40" s="125"/>
      <c r="CA40" s="47" t="s">
        <v>0</v>
      </c>
      <c r="CB40" s="58" t="str">
        <f t="shared" si="81"/>
        <v/>
      </c>
      <c r="CC40" s="31" t="str">
        <f t="shared" si="82"/>
        <v/>
      </c>
      <c r="CD40" s="31" t="str">
        <f>IF(CC40="","",MAX(CD$12:CD39)+1)</f>
        <v/>
      </c>
      <c r="CE40" s="31" t="str">
        <f t="shared" si="22"/>
        <v/>
      </c>
      <c r="CF40" s="31" t="str">
        <f t="shared" si="83"/>
        <v/>
      </c>
      <c r="CG40" s="31" t="str">
        <f>IF(BZ40="","",MAX(CG$12:CG39)+1)</f>
        <v/>
      </c>
      <c r="CH40" s="31" t="str">
        <f t="shared" si="84"/>
        <v/>
      </c>
      <c r="CI40" s="66" t="str">
        <f t="shared" si="85"/>
        <v/>
      </c>
      <c r="CJ40" s="47" t="s">
        <v>0</v>
      </c>
      <c r="CK40" s="73" t="str">
        <f t="shared" si="25"/>
        <v/>
      </c>
      <c r="CL40" s="47"/>
      <c r="CM40" s="19" t="str">
        <f t="shared" si="86"/>
        <v/>
      </c>
      <c r="CN40" s="47" t="s">
        <v>0</v>
      </c>
      <c r="CO40" s="143" t="str">
        <f t="shared" si="87"/>
        <v>OK Vihor</v>
      </c>
      <c r="CP40" s="47" t="s">
        <v>0</v>
      </c>
      <c r="CQ40" s="58" t="str">
        <f t="shared" si="109"/>
        <v>73:05</v>
      </c>
      <c r="CR40" s="73" t="str">
        <f t="shared" si="110"/>
        <v>0</v>
      </c>
      <c r="CS40" s="229" t="str">
        <f t="shared" si="30"/>
        <v/>
      </c>
      <c r="CT40" s="230">
        <f t="shared" si="31"/>
        <v>4385</v>
      </c>
      <c r="CU40" s="163">
        <f t="shared" si="32"/>
        <v>1</v>
      </c>
      <c r="CV40" s="47" t="s">
        <v>0</v>
      </c>
      <c r="CW40" s="222" t="str">
        <f t="shared" si="89"/>
        <v xml:space="preserve">
</v>
      </c>
      <c r="CX40" s="223">
        <f t="shared" si="90"/>
        <v>6</v>
      </c>
      <c r="CY40" s="47" t="s">
        <v>0</v>
      </c>
      <c r="CZ40" s="47"/>
      <c r="DA40" s="47"/>
      <c r="DB40" s="47"/>
      <c r="DC40" s="47" t="s">
        <v>0</v>
      </c>
      <c r="DD40" s="53" t="str">
        <f t="shared" si="103"/>
        <v/>
      </c>
      <c r="DE40" t="s">
        <v>0</v>
      </c>
      <c r="DF40" s="128" t="str">
        <f t="shared" si="104"/>
        <v>M</v>
      </c>
      <c r="DG40" t="s">
        <v>0</v>
      </c>
      <c r="DH40" s="52" t="str">
        <f t="shared" si="105"/>
        <v/>
      </c>
      <c r="DI40" s="66" t="str">
        <f t="shared" si="106"/>
        <v/>
      </c>
      <c r="DJ40" t="s">
        <v>0</v>
      </c>
      <c r="DK40" s="19" t="str">
        <f t="shared" si="107"/>
        <v/>
      </c>
      <c r="DL40" s="47" t="s">
        <v>0</v>
      </c>
      <c r="DM40" s="19" t="str">
        <f t="shared" si="108"/>
        <v/>
      </c>
      <c r="DN40" s="47" t="s">
        <v>0</v>
      </c>
      <c r="DO40" s="52" t="str">
        <f t="shared" si="39"/>
        <v>Petar – Jurač – OK Vihor – M16</v>
      </c>
      <c r="DP40" s="53">
        <f t="shared" si="40"/>
        <v>720</v>
      </c>
      <c r="DQ40" s="47" t="s">
        <v>0</v>
      </c>
      <c r="DR40" s="52" t="str">
        <f t="shared" si="41"/>
        <v>Petar – Jurač – OK Vihor</v>
      </c>
      <c r="DS40" s="53">
        <f t="shared" si="42"/>
        <v>720</v>
      </c>
      <c r="DT40" s="47" t="s">
        <v>0</v>
      </c>
      <c r="DU40" s="52" t="str">
        <f t="shared" si="43"/>
        <v>Petar – Jurač</v>
      </c>
      <c r="DV40" s="53">
        <f t="shared" si="44"/>
        <v>720</v>
      </c>
      <c r="DW40" s="47" t="s">
        <v>0</v>
      </c>
      <c r="DX40" s="58">
        <f t="shared" si="91"/>
        <v>720</v>
      </c>
      <c r="DY40" s="53" cm="1">
        <f t="array" ref="DY40">IF(DX40&lt;&gt;"",INDEX(regNatjecatelj_id,DX40,0),IF(BD40&lt;&gt;"",BD40,""))</f>
        <v>1283</v>
      </c>
      <c r="DZ40" s="47" t="s">
        <v>0</v>
      </c>
      <c r="EA40" s="58" t="str">
        <f t="shared" si="45"/>
        <v>imepre</v>
      </c>
      <c r="EB40" s="73" t="str">
        <f t="shared" si="46"/>
        <v>klu</v>
      </c>
      <c r="EC40" s="73" t="str">
        <f t="shared" si="47"/>
        <v>kat</v>
      </c>
      <c r="ED40" s="73" t="str">
        <f t="shared" si="48"/>
        <v/>
      </c>
      <c r="EE40" s="66" t="str">
        <f t="shared" si="49"/>
        <v>imepre-klu-kat</v>
      </c>
      <c r="EF40" s="47" t="s">
        <v>0</v>
      </c>
      <c r="EG40" s="58">
        <f>IF(AL40="","",MAX(EG$12:EG39)+1)</f>
        <v>216</v>
      </c>
      <c r="EH40" s="73">
        <f t="shared" si="50"/>
        <v>25</v>
      </c>
      <c r="EI40" s="73">
        <f t="shared" si="92"/>
        <v>1283</v>
      </c>
      <c r="EJ40" s="73">
        <f t="shared" si="51"/>
        <v>4385</v>
      </c>
      <c r="EK40" s="73">
        <f t="shared" si="52"/>
        <v>1</v>
      </c>
      <c r="EL40" s="73">
        <f t="shared" si="93"/>
        <v>1</v>
      </c>
      <c r="EM40" s="73">
        <f t="shared" si="94"/>
        <v>1</v>
      </c>
      <c r="EN40" s="73" t="str">
        <f t="shared" si="55"/>
        <v>0</v>
      </c>
      <c r="EO40" s="73" t="str">
        <f t="shared" si="56"/>
        <v/>
      </c>
      <c r="EP40" s="73" t="str">
        <f t="shared" si="57"/>
        <v/>
      </c>
      <c r="EQ40" s="53" t="str">
        <f t="shared" si="58"/>
        <v/>
      </c>
      <c r="ER40" s="47" t="s">
        <v>0</v>
      </c>
      <c r="ES40" s="19" t="str">
        <f t="shared" si="95"/>
        <v>INSERT INTO rezultat(id,stazakategorija_id,imeprezime_id,vrijeme_sec,status_id,registracija,uparivanje_id,originalstatus_id,imeprezimealias_id,klubalias_id,kategorijaalias_id) VALUES (216,25,1283,4385,1,1,1,0,Null,Null,Null);</v>
      </c>
      <c r="ET40" s="47" t="s">
        <v>0</v>
      </c>
      <c r="EU40" s="19" t="str">
        <f t="shared" si="96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0" s="47" t="s">
        <v>0</v>
      </c>
      <c r="EW40" s="180" t="str">
        <f t="shared" si="60"/>
        <v xml:space="preserve">
INSERT INTO rezultat(id,stazakategorija_id,imeprezime_id,vrijeme_sec,status_id,registracija,uparivanje_id,originalstatus_id,imeprezimealias_id,klubalias_id,kategorijaalias_id) VALUES (216,25,1283,4385,1,1,1,0,Null,Null,Null);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0" s="47" t="s">
        <v>0</v>
      </c>
    </row>
    <row r="41" spans="1:154" x14ac:dyDescent="0.25">
      <c r="A41" t="s">
        <v>0</v>
      </c>
      <c r="B41" s="52" t="str">
        <f>IF(csv!F31="","",csv!T31)</f>
        <v>M16</v>
      </c>
      <c r="C41" s="31" t="s">
        <v>0</v>
      </c>
      <c r="D41" s="31" t="str">
        <f>IF(csv!F31="","",csv!F31)</f>
        <v>Borna</v>
      </c>
      <c r="E41" s="31" t="str">
        <f>IF(csv!E31="","",csv!E31)</f>
        <v>Kuzmanić</v>
      </c>
      <c r="F41" s="31" t="s">
        <v>0</v>
      </c>
      <c r="G41" s="73" t="str">
        <f>IF(csv!M31="","",csv!M31)</f>
        <v>75:35</v>
      </c>
      <c r="H41" s="73" t="str">
        <f>IF(csv!N31="","",csv!N31)</f>
        <v>0</v>
      </c>
      <c r="I41" s="31" t="s">
        <v>0</v>
      </c>
      <c r="J41" s="31" t="str">
        <f>IF(csv!P31="","",csv!P31)</f>
        <v>JAP</v>
      </c>
      <c r="K41" s="31" t="str">
        <f>IF(csv!Q31="","",csv!Q31)</f>
        <v>OK Japetic</v>
      </c>
      <c r="L41" s="31" t="s">
        <v>0</v>
      </c>
      <c r="M41" s="66" t="str">
        <f>IF(csv!R31="","",csv!R31)</f>
        <v>CRO</v>
      </c>
      <c r="N41" s="47" t="s">
        <v>0</v>
      </c>
      <c r="O41" s="246" t="str">
        <f t="shared" si="61"/>
        <v>ok</v>
      </c>
      <c r="P41" s="47"/>
      <c r="Q41" s="52" t="str">
        <f t="shared" si="62"/>
        <v>M16</v>
      </c>
      <c r="R41" s="73">
        <f>IF(Q41="","",IF(COUNTIF(Q$12:Q40,Q41)=0,R40+1,R40))</f>
        <v>3</v>
      </c>
      <c r="S41" s="73">
        <f t="shared" si="63"/>
        <v>110</v>
      </c>
      <c r="T41" s="73">
        <f t="shared" si="1"/>
        <v>19</v>
      </c>
      <c r="U41" s="66" t="str">
        <f t="shared" si="2"/>
        <v>M21B – M16</v>
      </c>
      <c r="V41" s="47" t="s">
        <v>0</v>
      </c>
      <c r="W41" s="222" t="str">
        <f t="shared" si="3"/>
        <v>M16</v>
      </c>
      <c r="X41" s="223">
        <f t="shared" si="4"/>
        <v>25</v>
      </c>
      <c r="Y41" s="47" t="s">
        <v>0</v>
      </c>
      <c r="Z41" s="52" t="str">
        <f t="shared" si="64"/>
        <v>CRO</v>
      </c>
      <c r="AA41" s="73">
        <f t="shared" si="5"/>
        <v>1</v>
      </c>
      <c r="AB41" s="31" t="str">
        <f t="shared" si="65"/>
        <v/>
      </c>
      <c r="AC41" s="66" t="str">
        <f>IF(AB41="","",MAX(AC$12:AC40)+1)</f>
        <v/>
      </c>
      <c r="AD41" s="47" t="s">
        <v>0</v>
      </c>
      <c r="AE41" s="125"/>
      <c r="AF41" s="47" t="s">
        <v>0</v>
      </c>
      <c r="AG41" s="19" t="str">
        <f t="shared" si="66"/>
        <v/>
      </c>
      <c r="AH41" s="47" t="s">
        <v>0</v>
      </c>
      <c r="AI41" s="143" t="str">
        <f t="shared" si="67"/>
        <v>CRO</v>
      </c>
      <c r="AJ41" s="47"/>
      <c r="AK41" s="52" t="str">
        <f t="shared" si="68"/>
        <v>Borna</v>
      </c>
      <c r="AL41" s="31" t="str">
        <f t="shared" si="69"/>
        <v>Kuzmanić</v>
      </c>
      <c r="AM41" s="73">
        <f t="shared" si="70"/>
        <v>1451</v>
      </c>
      <c r="AN41" s="73" t="str">
        <f t="shared" si="71"/>
        <v/>
      </c>
      <c r="AO41" s="31" t="str">
        <f t="shared" si="8"/>
        <v>Borna</v>
      </c>
      <c r="AP41" s="66" t="str">
        <f t="shared" si="9"/>
        <v>Kuzmanić</v>
      </c>
      <c r="AQ41" s="47" t="s">
        <v>0</v>
      </c>
      <c r="AR41" s="82" t="str">
        <f t="shared" si="72"/>
        <v/>
      </c>
      <c r="AS41" s="47" t="s">
        <v>0</v>
      </c>
      <c r="AT41" s="19" t="str">
        <f t="shared" si="73"/>
        <v/>
      </c>
      <c r="AU41" s="47" t="s">
        <v>0</v>
      </c>
      <c r="AV41" s="103"/>
      <c r="AW41" s="105"/>
      <c r="AX41" s="47" t="s">
        <v>0</v>
      </c>
      <c r="AY41" s="259" t="str">
        <f t="shared" si="102"/>
        <v/>
      </c>
      <c r="AZ41" s="47" t="s">
        <v>0</v>
      </c>
      <c r="BA41" s="52" t="str">
        <f t="shared" si="11"/>
        <v/>
      </c>
      <c r="BB41" s="73" t="str">
        <f>IF(AV41&amp;AW41="","",MAX(BB$12:BB40)+1)</f>
        <v/>
      </c>
      <c r="BC41" s="272" t="str">
        <f t="shared" si="12"/>
        <v/>
      </c>
      <c r="BD41" s="53" t="str">
        <f>IF(AND(AM41="NEMA",AN41="NEMA",OR(AV41&amp;AW41="",BC41="NEMA")),MAX(BD$12:BD40)+1,"")</f>
        <v/>
      </c>
      <c r="BE41" s="47" t="s">
        <v>0</v>
      </c>
      <c r="BF41" s="52" t="str">
        <f t="shared" si="74"/>
        <v>Borna</v>
      </c>
      <c r="BG41" s="66" t="str">
        <f t="shared" si="75"/>
        <v>Kuzmanić</v>
      </c>
      <c r="BH41" s="47" t="s">
        <v>0</v>
      </c>
      <c r="BI41" s="52" t="str">
        <f t="shared" si="15"/>
        <v>JAP</v>
      </c>
      <c r="BJ41" s="31" t="str">
        <f t="shared" si="16"/>
        <v>OK Japetic</v>
      </c>
      <c r="BK41" s="73">
        <f t="shared" si="17"/>
        <v>1</v>
      </c>
      <c r="BL41" s="31" t="str" cm="1">
        <f t="array" ref="BL41">IF(BK41="",""&amp;BJ41,IF(BK41="NEMA",BJ41,INDEX(regKlub_naziv,MATCH(INDEX(regKlub_alias_klubId,BK41),regKlub_id,0))))</f>
        <v>OK Japetić</v>
      </c>
      <c r="BM41" s="31" t="str" cm="1">
        <f t="array" ref="BM41">IFERROR(""&amp;INDEX(regNatjecatelj_klub,DV41),"")</f>
        <v>OK Japetić</v>
      </c>
      <c r="BN41" s="73" t="str">
        <f t="shared" si="76"/>
        <v/>
      </c>
      <c r="BO41" s="66" t="str">
        <f t="shared" si="77"/>
        <v>OK Japetić</v>
      </c>
      <c r="BP41" s="47" t="s">
        <v>0</v>
      </c>
      <c r="BQ41" s="52" t="str">
        <f>IF(X41&lt;&gt;"NEMA","",IF(IFERROR(MATCH(W41,W$12:W40,0),0)&lt;&gt;0,"",W41))</f>
        <v/>
      </c>
      <c r="BR41" s="73" t="str">
        <f t="shared" si="78"/>
        <v/>
      </c>
      <c r="BS41" s="31" t="str">
        <f>IF(OR(BR41="",BR41&lt;&gt;"NEMA"),"",MAX(BS$12:BS40)+1)</f>
        <v/>
      </c>
      <c r="BT41" s="66" t="str">
        <f t="shared" si="79"/>
        <v/>
      </c>
      <c r="BU41" s="47" t="s">
        <v>0</v>
      </c>
      <c r="BV41" s="19" t="str">
        <f t="shared" si="80"/>
        <v/>
      </c>
      <c r="BW41" s="47" t="s">
        <v>0</v>
      </c>
      <c r="BX41" s="82" t="str">
        <f>IF(BK41&lt;&gt;"NEMA","",IF(IFERROR(MATCH(BJ41,BJ$12:BJ40,0),0)&lt;&gt;0,"",BJ41))</f>
        <v/>
      </c>
      <c r="BY41" s="47" t="s">
        <v>0</v>
      </c>
      <c r="BZ41" s="125"/>
      <c r="CA41" s="47" t="s">
        <v>0</v>
      </c>
      <c r="CB41" s="58" t="str">
        <f t="shared" si="81"/>
        <v/>
      </c>
      <c r="CC41" s="31" t="str">
        <f t="shared" si="82"/>
        <v/>
      </c>
      <c r="CD41" s="31" t="str">
        <f>IF(CC41="","",MAX(CD$12:CD40)+1)</f>
        <v/>
      </c>
      <c r="CE41" s="31" t="str">
        <f t="shared" si="22"/>
        <v/>
      </c>
      <c r="CF41" s="31" t="str">
        <f t="shared" si="83"/>
        <v/>
      </c>
      <c r="CG41" s="31" t="str">
        <f>IF(BZ41="","",MAX(CG$12:CG40)+1)</f>
        <v/>
      </c>
      <c r="CH41" s="31" t="str">
        <f t="shared" si="84"/>
        <v/>
      </c>
      <c r="CI41" s="66" t="str">
        <f t="shared" si="85"/>
        <v/>
      </c>
      <c r="CJ41" s="47" t="s">
        <v>0</v>
      </c>
      <c r="CK41" s="73" t="str">
        <f t="shared" si="25"/>
        <v/>
      </c>
      <c r="CL41" s="47"/>
      <c r="CM41" s="19" t="str">
        <f t="shared" si="86"/>
        <v/>
      </c>
      <c r="CN41" s="47" t="s">
        <v>0</v>
      </c>
      <c r="CO41" s="143" t="str">
        <f t="shared" si="87"/>
        <v>OK Japetić</v>
      </c>
      <c r="CP41" s="47" t="s">
        <v>0</v>
      </c>
      <c r="CQ41" s="58" t="str">
        <f t="shared" si="109"/>
        <v>75:35</v>
      </c>
      <c r="CR41" s="73" t="str">
        <f t="shared" si="110"/>
        <v>0</v>
      </c>
      <c r="CS41" s="229" t="str">
        <f t="shared" si="30"/>
        <v/>
      </c>
      <c r="CT41" s="230">
        <f t="shared" si="31"/>
        <v>4535</v>
      </c>
      <c r="CU41" s="163">
        <f t="shared" si="32"/>
        <v>1</v>
      </c>
      <c r="CV41" s="47" t="s">
        <v>0</v>
      </c>
      <c r="CW41" s="222" t="str">
        <f t="shared" si="89"/>
        <v xml:space="preserve">
</v>
      </c>
      <c r="CX41" s="223">
        <f t="shared" si="90"/>
        <v>6</v>
      </c>
      <c r="CY41" s="47" t="s">
        <v>0</v>
      </c>
      <c r="CZ41" s="47"/>
      <c r="DA41" s="47"/>
      <c r="DB41" s="47"/>
      <c r="DC41" s="47" t="s">
        <v>0</v>
      </c>
      <c r="DD41" s="53" t="str">
        <f t="shared" si="103"/>
        <v/>
      </c>
      <c r="DE41" t="s">
        <v>0</v>
      </c>
      <c r="DF41" s="128" t="str">
        <f t="shared" si="104"/>
        <v>M</v>
      </c>
      <c r="DG41" t="s">
        <v>0</v>
      </c>
      <c r="DH41" s="52" t="str">
        <f t="shared" si="105"/>
        <v/>
      </c>
      <c r="DI41" s="66" t="str">
        <f t="shared" si="106"/>
        <v/>
      </c>
      <c r="DJ41" t="s">
        <v>0</v>
      </c>
      <c r="DK41" s="19" t="str">
        <f t="shared" si="107"/>
        <v/>
      </c>
      <c r="DL41" s="47" t="s">
        <v>0</v>
      </c>
      <c r="DM41" s="19" t="str">
        <f t="shared" si="108"/>
        <v/>
      </c>
      <c r="DN41" s="47" t="s">
        <v>0</v>
      </c>
      <c r="DO41" s="52" t="str">
        <f t="shared" si="39"/>
        <v>Borna – Kuzmanić – OK Japetić – M16</v>
      </c>
      <c r="DP41" s="53">
        <f t="shared" si="40"/>
        <v>101</v>
      </c>
      <c r="DQ41" s="47" t="s">
        <v>0</v>
      </c>
      <c r="DR41" s="52" t="str">
        <f t="shared" si="41"/>
        <v>Borna – Kuzmanić – OK Japetić</v>
      </c>
      <c r="DS41" s="53">
        <f t="shared" si="42"/>
        <v>101</v>
      </c>
      <c r="DT41" s="47" t="s">
        <v>0</v>
      </c>
      <c r="DU41" s="52" t="str">
        <f t="shared" si="43"/>
        <v>Borna – Kuzmanić</v>
      </c>
      <c r="DV41" s="53">
        <f t="shared" si="44"/>
        <v>101</v>
      </c>
      <c r="DW41" s="47" t="s">
        <v>0</v>
      </c>
      <c r="DX41" s="58">
        <f t="shared" si="91"/>
        <v>101</v>
      </c>
      <c r="DY41" s="53" cm="1">
        <f t="array" ref="DY41">IF(DX41&lt;&gt;"",INDEX(regNatjecatelj_id,DX41,0),IF(BD41&lt;&gt;"",BD41,""))</f>
        <v>1451</v>
      </c>
      <c r="DZ41" s="47" t="s">
        <v>0</v>
      </c>
      <c r="EA41" s="58" t="str">
        <f t="shared" si="45"/>
        <v>imepre</v>
      </c>
      <c r="EB41" s="73" t="str">
        <f t="shared" si="46"/>
        <v>klu(ali)</v>
      </c>
      <c r="EC41" s="73" t="str">
        <f t="shared" si="47"/>
        <v>kat</v>
      </c>
      <c r="ED41" s="73" t="str">
        <f t="shared" si="48"/>
        <v/>
      </c>
      <c r="EE41" s="66" t="str">
        <f t="shared" si="49"/>
        <v>imepre-klu(ali)-kat</v>
      </c>
      <c r="EF41" s="47" t="s">
        <v>0</v>
      </c>
      <c r="EG41" s="58">
        <f>IF(AL41="","",MAX(EG$12:EG40)+1)</f>
        <v>217</v>
      </c>
      <c r="EH41" s="73">
        <f t="shared" si="50"/>
        <v>25</v>
      </c>
      <c r="EI41" s="73">
        <f t="shared" si="92"/>
        <v>1451</v>
      </c>
      <c r="EJ41" s="73">
        <f t="shared" si="51"/>
        <v>4535</v>
      </c>
      <c r="EK41" s="73">
        <f t="shared" si="52"/>
        <v>1</v>
      </c>
      <c r="EL41" s="73">
        <f t="shared" si="93"/>
        <v>1</v>
      </c>
      <c r="EM41" s="73">
        <f t="shared" si="94"/>
        <v>3</v>
      </c>
      <c r="EN41" s="73" t="str">
        <f t="shared" si="55"/>
        <v>0</v>
      </c>
      <c r="EO41" s="73" t="str">
        <f t="shared" si="56"/>
        <v/>
      </c>
      <c r="EP41" s="73">
        <f t="shared" si="57"/>
        <v>1</v>
      </c>
      <c r="EQ41" s="53" t="str">
        <f t="shared" si="58"/>
        <v/>
      </c>
      <c r="ER41" s="47" t="s">
        <v>0</v>
      </c>
      <c r="ES41" s="19" t="str">
        <f t="shared" si="95"/>
        <v>INSERT INTO rezultat(id,stazakategorija_id,imeprezime_id,vrijeme_sec,status_id,registracija,uparivanje_id,originalstatus_id,imeprezimealias_id,klubalias_id,kategorijaalias_id) VALUES (217,25,1451,4535,1,1,3,0,Null,1,Null);</v>
      </c>
      <c r="ET41" s="47" t="s">
        <v>0</v>
      </c>
      <c r="EU41" s="19" t="str">
        <f t="shared" si="96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1" s="47" t="s">
        <v>0</v>
      </c>
      <c r="EW41" s="180" t="str">
        <f t="shared" si="60"/>
        <v xml:space="preserve">
INSERT INTO rezultat(id,stazakategorija_id,imeprezime_id,vrijeme_sec,status_id,registracija,uparivanje_id,originalstatus_id,imeprezimealias_id,klubalias_id,kategorijaalias_id) VALUES (217,25,1451,4535,1,1,3,0,Null,1,Null);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1" s="47" t="s">
        <v>0</v>
      </c>
    </row>
    <row r="42" spans="1:154" x14ac:dyDescent="0.25">
      <c r="A42" t="s">
        <v>0</v>
      </c>
      <c r="B42" s="52" t="str">
        <f>IF(csv!F32="","",csv!T32)</f>
        <v>M16</v>
      </c>
      <c r="C42" s="31" t="s">
        <v>0</v>
      </c>
      <c r="D42" s="31" t="str">
        <f>IF(csv!F32="","",csv!F32)</f>
        <v>Juraj</v>
      </c>
      <c r="E42" s="31" t="str">
        <f>IF(csv!E32="","",csv!E32)</f>
        <v>Vukelić</v>
      </c>
      <c r="F42" s="31" t="s">
        <v>0</v>
      </c>
      <c r="G42" s="73" t="str">
        <f>IF(csv!M32="","",csv!M32)</f>
        <v/>
      </c>
      <c r="H42" s="73" t="str">
        <f>IF(csv!N32="","",csv!N32)</f>
        <v>1</v>
      </c>
      <c r="I42" s="31" t="s">
        <v>0</v>
      </c>
      <c r="J42" s="31" t="str">
        <f>IF(csv!P32="","",csv!P32)</f>
        <v>Maksimir</v>
      </c>
      <c r="K42" s="31" t="str">
        <f>IF(csv!Q32="","",csv!Q32)</f>
        <v>OK Maksimir</v>
      </c>
      <c r="L42" s="31" t="s">
        <v>0</v>
      </c>
      <c r="M42" s="66" t="str">
        <f>IF(csv!R32="","",csv!R32)</f>
        <v>CRO</v>
      </c>
      <c r="N42" s="47" t="s">
        <v>0</v>
      </c>
      <c r="O42" s="246" t="str">
        <f t="shared" si="61"/>
        <v>ok</v>
      </c>
      <c r="P42" s="47"/>
      <c r="Q42" s="52" t="str">
        <f t="shared" si="62"/>
        <v>M16</v>
      </c>
      <c r="R42" s="73">
        <f>IF(Q42="","",IF(COUNTIF(Q$12:Q41,Q42)=0,R41+1,R41))</f>
        <v>3</v>
      </c>
      <c r="S42" s="73">
        <f t="shared" si="63"/>
        <v>110</v>
      </c>
      <c r="T42" s="73">
        <f t="shared" si="1"/>
        <v>19</v>
      </c>
      <c r="U42" s="66" t="str">
        <f t="shared" si="2"/>
        <v>M21B – M16</v>
      </c>
      <c r="V42" s="47" t="s">
        <v>0</v>
      </c>
      <c r="W42" s="222" t="str">
        <f t="shared" si="3"/>
        <v>M16</v>
      </c>
      <c r="X42" s="223">
        <f t="shared" si="4"/>
        <v>25</v>
      </c>
      <c r="Y42" s="47" t="s">
        <v>0</v>
      </c>
      <c r="Z42" s="52" t="str">
        <f t="shared" si="64"/>
        <v>CRO</v>
      </c>
      <c r="AA42" s="73">
        <f t="shared" si="5"/>
        <v>1</v>
      </c>
      <c r="AB42" s="31" t="str">
        <f t="shared" si="65"/>
        <v/>
      </c>
      <c r="AC42" s="66" t="str">
        <f>IF(AB42="","",MAX(AC$12:AC41)+1)</f>
        <v/>
      </c>
      <c r="AD42" s="47" t="s">
        <v>0</v>
      </c>
      <c r="AE42" s="125"/>
      <c r="AF42" s="47" t="s">
        <v>0</v>
      </c>
      <c r="AG42" s="19" t="str">
        <f t="shared" si="66"/>
        <v/>
      </c>
      <c r="AH42" s="47" t="s">
        <v>0</v>
      </c>
      <c r="AI42" s="143" t="str">
        <f t="shared" si="67"/>
        <v>CRO</v>
      </c>
      <c r="AJ42" s="47"/>
      <c r="AK42" s="52" t="str">
        <f t="shared" si="68"/>
        <v>Juraj</v>
      </c>
      <c r="AL42" s="31" t="str">
        <f t="shared" si="69"/>
        <v>Vukelić</v>
      </c>
      <c r="AM42" s="73">
        <f t="shared" si="70"/>
        <v>1170</v>
      </c>
      <c r="AN42" s="73" t="str">
        <f t="shared" si="71"/>
        <v/>
      </c>
      <c r="AO42" s="31" t="str">
        <f t="shared" si="8"/>
        <v>Juraj</v>
      </c>
      <c r="AP42" s="66" t="str">
        <f t="shared" si="9"/>
        <v>Vukelić</v>
      </c>
      <c r="AQ42" s="47" t="s">
        <v>0</v>
      </c>
      <c r="AR42" s="82" t="str">
        <f t="shared" si="72"/>
        <v/>
      </c>
      <c r="AS42" s="47" t="s">
        <v>0</v>
      </c>
      <c r="AT42" s="19" t="str">
        <f t="shared" si="73"/>
        <v/>
      </c>
      <c r="AU42" s="47" t="s">
        <v>0</v>
      </c>
      <c r="AV42" s="103"/>
      <c r="AW42" s="105"/>
      <c r="AX42" s="47" t="s">
        <v>0</v>
      </c>
      <c r="AY42" s="259" t="str">
        <f t="shared" si="102"/>
        <v/>
      </c>
      <c r="AZ42" s="47" t="s">
        <v>0</v>
      </c>
      <c r="BA42" s="52" t="str">
        <f t="shared" si="11"/>
        <v/>
      </c>
      <c r="BB42" s="73" t="str">
        <f>IF(AV42&amp;AW42="","",MAX(BB$12:BB41)+1)</f>
        <v/>
      </c>
      <c r="BC42" s="272" t="str">
        <f t="shared" si="12"/>
        <v/>
      </c>
      <c r="BD42" s="53" t="str">
        <f>IF(AND(AM42="NEMA",AN42="NEMA",OR(AV42&amp;AW42="",BC42="NEMA")),MAX(BD$12:BD41)+1,"")</f>
        <v/>
      </c>
      <c r="BE42" s="47" t="s">
        <v>0</v>
      </c>
      <c r="BF42" s="52" t="str">
        <f t="shared" si="74"/>
        <v>Juraj</v>
      </c>
      <c r="BG42" s="66" t="str">
        <f t="shared" si="75"/>
        <v>Vukelić</v>
      </c>
      <c r="BH42" s="47" t="s">
        <v>0</v>
      </c>
      <c r="BI42" s="52" t="str">
        <f t="shared" si="15"/>
        <v>Maksimir</v>
      </c>
      <c r="BJ42" s="31" t="str">
        <f t="shared" si="16"/>
        <v>OK Maksimir</v>
      </c>
      <c r="BK42" s="73" t="str">
        <f t="shared" si="17"/>
        <v/>
      </c>
      <c r="BL42" s="31" t="str" cm="1">
        <f t="array" ref="BL42">IF(BK42="",""&amp;BJ42,IF(BK42="NEMA",BJ42,INDEX(regKlub_naziv,MATCH(INDEX(regKlub_alias_klubId,BK42),regKlub_id,0))))</f>
        <v>OK Maksimir</v>
      </c>
      <c r="BM42" s="31" t="str" cm="1">
        <f t="array" ref="BM42">IFERROR(""&amp;INDEX(regNatjecatelj_klub,DV42),"")</f>
        <v>OK Maksimir</v>
      </c>
      <c r="BN42" s="73" t="str">
        <f t="shared" si="76"/>
        <v/>
      </c>
      <c r="BO42" s="66" t="str">
        <f t="shared" si="77"/>
        <v>OK Maksimir</v>
      </c>
      <c r="BP42" s="47" t="s">
        <v>0</v>
      </c>
      <c r="BQ42" s="52" t="str">
        <f>IF(X42&lt;&gt;"NEMA","",IF(IFERROR(MATCH(W42,W$12:W41,0),0)&lt;&gt;0,"",W42))</f>
        <v/>
      </c>
      <c r="BR42" s="73" t="str">
        <f t="shared" si="78"/>
        <v/>
      </c>
      <c r="BS42" s="31" t="str">
        <f>IF(OR(BR42="",BR42&lt;&gt;"NEMA"),"",MAX(BS$12:BS41)+1)</f>
        <v/>
      </c>
      <c r="BT42" s="66" t="str">
        <f t="shared" si="79"/>
        <v/>
      </c>
      <c r="BU42" s="47" t="s">
        <v>0</v>
      </c>
      <c r="BV42" s="19" t="str">
        <f t="shared" si="80"/>
        <v/>
      </c>
      <c r="BW42" s="47" t="s">
        <v>0</v>
      </c>
      <c r="BX42" s="82" t="str">
        <f>IF(BK42&lt;&gt;"NEMA","",IF(IFERROR(MATCH(BJ42,BJ$12:BJ41,0),0)&lt;&gt;0,"",BJ42))</f>
        <v/>
      </c>
      <c r="BY42" s="47" t="s">
        <v>0</v>
      </c>
      <c r="BZ42" s="125"/>
      <c r="CA42" s="47" t="s">
        <v>0</v>
      </c>
      <c r="CB42" s="58" t="str">
        <f t="shared" si="81"/>
        <v/>
      </c>
      <c r="CC42" s="31" t="str">
        <f t="shared" si="82"/>
        <v/>
      </c>
      <c r="CD42" s="31" t="str">
        <f>IF(CC42="","",MAX(CD$12:CD41)+1)</f>
        <v/>
      </c>
      <c r="CE42" s="31" t="str">
        <f t="shared" si="22"/>
        <v/>
      </c>
      <c r="CF42" s="31" t="str">
        <f t="shared" si="83"/>
        <v/>
      </c>
      <c r="CG42" s="31" t="str">
        <f>IF(BZ42="","",MAX(CG$12:CG41)+1)</f>
        <v/>
      </c>
      <c r="CH42" s="31" t="str">
        <f t="shared" si="84"/>
        <v/>
      </c>
      <c r="CI42" s="66" t="str">
        <f t="shared" si="85"/>
        <v/>
      </c>
      <c r="CJ42" s="47" t="s">
        <v>0</v>
      </c>
      <c r="CK42" s="73" t="str">
        <f t="shared" si="25"/>
        <v/>
      </c>
      <c r="CL42" s="47"/>
      <c r="CM42" s="19" t="str">
        <f t="shared" si="86"/>
        <v/>
      </c>
      <c r="CN42" s="47" t="s">
        <v>0</v>
      </c>
      <c r="CO42" s="143" t="str">
        <f t="shared" si="87"/>
        <v>OK Maksimir</v>
      </c>
      <c r="CP42" s="47" t="s">
        <v>0</v>
      </c>
      <c r="CQ42" s="58" t="str">
        <f t="shared" si="109"/>
        <v/>
      </c>
      <c r="CR42" s="73" t="str">
        <f t="shared" si="110"/>
        <v>1</v>
      </c>
      <c r="CS42" s="229" t="str">
        <f t="shared" si="30"/>
        <v/>
      </c>
      <c r="CT42" s="230" t="str">
        <f t="shared" si="31"/>
        <v/>
      </c>
      <c r="CU42" s="163">
        <f t="shared" si="32"/>
        <v>6</v>
      </c>
      <c r="CV42" s="47" t="s">
        <v>0</v>
      </c>
      <c r="CW42" s="222" t="str">
        <f t="shared" si="89"/>
        <v xml:space="preserve">
</v>
      </c>
      <c r="CX42" s="223" t="e">
        <f t="shared" si="90"/>
        <v>#N/A</v>
      </c>
      <c r="CY42" s="47" t="s">
        <v>0</v>
      </c>
      <c r="CZ42" s="47"/>
      <c r="DA42" s="47"/>
      <c r="DB42" s="47"/>
      <c r="DC42" s="47" t="s">
        <v>0</v>
      </c>
      <c r="DD42" s="53" t="str">
        <f t="shared" si="103"/>
        <v/>
      </c>
      <c r="DE42" t="s">
        <v>0</v>
      </c>
      <c r="DF42" s="128" t="str">
        <f t="shared" si="104"/>
        <v>M</v>
      </c>
      <c r="DG42" t="s">
        <v>0</v>
      </c>
      <c r="DH42" s="52" t="str">
        <f t="shared" si="105"/>
        <v/>
      </c>
      <c r="DI42" s="66" t="str">
        <f t="shared" si="106"/>
        <v/>
      </c>
      <c r="DJ42" t="s">
        <v>0</v>
      </c>
      <c r="DK42" s="19" t="str">
        <f t="shared" si="107"/>
        <v/>
      </c>
      <c r="DL42" s="47" t="s">
        <v>0</v>
      </c>
      <c r="DM42" s="19" t="str">
        <f t="shared" si="108"/>
        <v/>
      </c>
      <c r="DN42" s="47" t="s">
        <v>0</v>
      </c>
      <c r="DO42" s="52" t="str">
        <f t="shared" si="39"/>
        <v>Juraj – Vukelić – OK Maksimir – M16</v>
      </c>
      <c r="DP42" s="53">
        <f t="shared" si="40"/>
        <v>393</v>
      </c>
      <c r="DQ42" s="47" t="s">
        <v>0</v>
      </c>
      <c r="DR42" s="52" t="str">
        <f t="shared" si="41"/>
        <v>Juraj – Vukelić – OK Maksimir</v>
      </c>
      <c r="DS42" s="53">
        <f t="shared" si="42"/>
        <v>393</v>
      </c>
      <c r="DT42" s="47" t="s">
        <v>0</v>
      </c>
      <c r="DU42" s="52" t="str">
        <f t="shared" si="43"/>
        <v>Juraj – Vukelić</v>
      </c>
      <c r="DV42" s="53">
        <f t="shared" si="44"/>
        <v>393</v>
      </c>
      <c r="DW42" s="47" t="s">
        <v>0</v>
      </c>
      <c r="DX42" s="58">
        <f t="shared" si="91"/>
        <v>393</v>
      </c>
      <c r="DY42" s="53" cm="1">
        <f t="array" ref="DY42">IF(DX42&lt;&gt;"",INDEX(regNatjecatelj_id,DX42,0),IF(BD42&lt;&gt;"",BD42,""))</f>
        <v>1170</v>
      </c>
      <c r="DZ42" s="47" t="s">
        <v>0</v>
      </c>
      <c r="EA42" s="58" t="str">
        <f t="shared" si="45"/>
        <v>imepre</v>
      </c>
      <c r="EB42" s="73" t="str">
        <f t="shared" si="46"/>
        <v>klu</v>
      </c>
      <c r="EC42" s="73" t="str">
        <f t="shared" si="47"/>
        <v>kat</v>
      </c>
      <c r="ED42" s="73" t="str">
        <f t="shared" si="48"/>
        <v/>
      </c>
      <c r="EE42" s="66" t="str">
        <f t="shared" si="49"/>
        <v>imepre-klu-kat</v>
      </c>
      <c r="EF42" s="47" t="s">
        <v>0</v>
      </c>
      <c r="EG42" s="58">
        <f>IF(AL42="","",MAX(EG$12:EG41)+1)</f>
        <v>218</v>
      </c>
      <c r="EH42" s="73">
        <f t="shared" si="50"/>
        <v>25</v>
      </c>
      <c r="EI42" s="73">
        <f t="shared" si="92"/>
        <v>1170</v>
      </c>
      <c r="EJ42" s="73" t="str">
        <f t="shared" si="51"/>
        <v/>
      </c>
      <c r="EK42" s="73">
        <f t="shared" si="52"/>
        <v>6</v>
      </c>
      <c r="EL42" s="73">
        <f t="shared" si="93"/>
        <v>1</v>
      </c>
      <c r="EM42" s="73">
        <f t="shared" si="94"/>
        <v>1</v>
      </c>
      <c r="EN42" s="73" t="str">
        <f t="shared" si="55"/>
        <v>1</v>
      </c>
      <c r="EO42" s="73" t="str">
        <f t="shared" si="56"/>
        <v/>
      </c>
      <c r="EP42" s="73" t="str">
        <f t="shared" si="57"/>
        <v/>
      </c>
      <c r="EQ42" s="53" t="str">
        <f t="shared" si="58"/>
        <v/>
      </c>
      <c r="ER42" s="47" t="s">
        <v>0</v>
      </c>
      <c r="ES42" s="19" t="str">
        <f t="shared" si="95"/>
        <v>INSERT INTO rezultat(id,stazakategorija_id,imeprezime_id,vrijeme_sec,status_id,registracija,uparivanje_id,originalstatus_id,imeprezimealias_id,klubalias_id,kategorijaalias_id) VALUES (218,25,1170,Null,6,1,1,1,Null,Null,Null);</v>
      </c>
      <c r="ET42" s="47" t="s">
        <v>0</v>
      </c>
      <c r="EU42" s="19" t="str">
        <f t="shared" si="96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2" s="47" t="s">
        <v>0</v>
      </c>
      <c r="EW42" s="180" t="str">
        <f t="shared" si="60"/>
        <v xml:space="preserve">
INSERT INTO rezultat(id,stazakategorija_id,imeprezime_id,vrijeme_sec,status_id,registracija,uparivanje_id,originalstatus_id,imeprezimealias_id,klubalias_id,kategorijaalias_id) VALUES (218,25,1170,Null,6,1,1,1,Null,Null,Null);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2" s="47" t="s">
        <v>0</v>
      </c>
    </row>
    <row r="43" spans="1:154" x14ac:dyDescent="0.25">
      <c r="A43" t="s">
        <v>0</v>
      </c>
      <c r="B43" s="52" t="str">
        <f>IF(csv!F33="","",csv!T33)</f>
        <v>M16</v>
      </c>
      <c r="C43" s="31" t="s">
        <v>0</v>
      </c>
      <c r="D43" s="31" t="str">
        <f>IF(csv!F33="","",csv!F33)</f>
        <v>Mark</v>
      </c>
      <c r="E43" s="31" t="str">
        <f>IF(csv!E33="","",csv!E33)</f>
        <v>Jelinić</v>
      </c>
      <c r="F43" s="31" t="s">
        <v>0</v>
      </c>
      <c r="G43" s="73" t="str">
        <f>IF(csv!M33="","",csv!M33)</f>
        <v/>
      </c>
      <c r="H43" s="73" t="str">
        <f>IF(csv!N33="","",csv!N33)</f>
        <v>1</v>
      </c>
      <c r="I43" s="31" t="s">
        <v>0</v>
      </c>
      <c r="J43" s="31" t="str">
        <f>IF(csv!P33="","",csv!P33)</f>
        <v>JAP</v>
      </c>
      <c r="K43" s="31" t="str">
        <f>IF(csv!Q33="","",csv!Q33)</f>
        <v>OK Japetic</v>
      </c>
      <c r="L43" s="31" t="s">
        <v>0</v>
      </c>
      <c r="M43" s="66" t="str">
        <f>IF(csv!R33="","",csv!R33)</f>
        <v>CRO</v>
      </c>
      <c r="N43" s="47" t="s">
        <v>0</v>
      </c>
      <c r="O43" s="246" t="str">
        <f t="shared" si="61"/>
        <v>ok</v>
      </c>
      <c r="P43" s="47"/>
      <c r="Q43" s="52" t="str">
        <f t="shared" si="62"/>
        <v>M16</v>
      </c>
      <c r="R43" s="73">
        <f>IF(Q43="","",IF(COUNTIF(Q$12:Q42,Q43)=0,R42+1,R42))</f>
        <v>3</v>
      </c>
      <c r="S43" s="73">
        <f t="shared" si="63"/>
        <v>110</v>
      </c>
      <c r="T43" s="73">
        <f t="shared" si="1"/>
        <v>19</v>
      </c>
      <c r="U43" s="66" t="str">
        <f t="shared" si="2"/>
        <v>M21B – M16</v>
      </c>
      <c r="V43" s="47" t="s">
        <v>0</v>
      </c>
      <c r="W43" s="222" t="str">
        <f t="shared" si="3"/>
        <v>M16</v>
      </c>
      <c r="X43" s="223">
        <f t="shared" si="4"/>
        <v>25</v>
      </c>
      <c r="Y43" s="47" t="s">
        <v>0</v>
      </c>
      <c r="Z43" s="52" t="str">
        <f t="shared" si="64"/>
        <v>CRO</v>
      </c>
      <c r="AA43" s="73">
        <f t="shared" si="5"/>
        <v>1</v>
      </c>
      <c r="AB43" s="31" t="str">
        <f t="shared" si="65"/>
        <v/>
      </c>
      <c r="AC43" s="66" t="str">
        <f>IF(AB43="","",MAX(AC$12:AC42)+1)</f>
        <v/>
      </c>
      <c r="AD43" s="47" t="s">
        <v>0</v>
      </c>
      <c r="AE43" s="125"/>
      <c r="AF43" s="47" t="s">
        <v>0</v>
      </c>
      <c r="AG43" s="19" t="str">
        <f t="shared" si="66"/>
        <v/>
      </c>
      <c r="AH43" s="47" t="s">
        <v>0</v>
      </c>
      <c r="AI43" s="143" t="str">
        <f t="shared" si="67"/>
        <v>CRO</v>
      </c>
      <c r="AJ43" s="47"/>
      <c r="AK43" s="52" t="str">
        <f t="shared" si="68"/>
        <v>Mark</v>
      </c>
      <c r="AL43" s="31" t="str">
        <f t="shared" si="69"/>
        <v>Jelinić</v>
      </c>
      <c r="AM43" s="73">
        <f t="shared" si="70"/>
        <v>1665</v>
      </c>
      <c r="AN43" s="73" t="str">
        <f t="shared" si="71"/>
        <v/>
      </c>
      <c r="AO43" s="31" t="str">
        <f t="shared" si="8"/>
        <v>Mark</v>
      </c>
      <c r="AP43" s="66" t="str">
        <f t="shared" si="9"/>
        <v>Jelinić</v>
      </c>
      <c r="AQ43" s="47" t="s">
        <v>0</v>
      </c>
      <c r="AR43" s="82" t="str">
        <f t="shared" si="72"/>
        <v/>
      </c>
      <c r="AS43" s="47" t="s">
        <v>0</v>
      </c>
      <c r="AT43" s="19" t="str">
        <f t="shared" si="73"/>
        <v/>
      </c>
      <c r="AU43" s="47" t="s">
        <v>0</v>
      </c>
      <c r="AV43" s="103"/>
      <c r="AW43" s="105"/>
      <c r="AX43" s="47" t="s">
        <v>0</v>
      </c>
      <c r="AY43" s="259" t="str">
        <f t="shared" si="102"/>
        <v/>
      </c>
      <c r="AZ43" s="47" t="s">
        <v>0</v>
      </c>
      <c r="BA43" s="52" t="str">
        <f t="shared" si="11"/>
        <v/>
      </c>
      <c r="BB43" s="73" t="str">
        <f>IF(AV43&amp;AW43="","",MAX(BB$12:BB42)+1)</f>
        <v/>
      </c>
      <c r="BC43" s="272" t="str">
        <f t="shared" si="12"/>
        <v/>
      </c>
      <c r="BD43" s="53" t="str">
        <f>IF(AND(AM43="NEMA",AN43="NEMA",OR(AV43&amp;AW43="",BC43="NEMA")),MAX(BD$12:BD42)+1,"")</f>
        <v/>
      </c>
      <c r="BE43" s="47" t="s">
        <v>0</v>
      </c>
      <c r="BF43" s="52" t="str">
        <f t="shared" si="74"/>
        <v>Mark</v>
      </c>
      <c r="BG43" s="66" t="str">
        <f t="shared" si="75"/>
        <v>Jelinić</v>
      </c>
      <c r="BH43" s="47" t="s">
        <v>0</v>
      </c>
      <c r="BI43" s="52" t="str">
        <f t="shared" si="15"/>
        <v>JAP</v>
      </c>
      <c r="BJ43" s="31" t="str">
        <f t="shared" si="16"/>
        <v>OK Japetic</v>
      </c>
      <c r="BK43" s="73">
        <f t="shared" si="17"/>
        <v>1</v>
      </c>
      <c r="BL43" s="31" t="str" cm="1">
        <f t="array" ref="BL43">IF(BK43="",""&amp;BJ43,IF(BK43="NEMA",BJ43,INDEX(regKlub_naziv,MATCH(INDEX(regKlub_alias_klubId,BK43),regKlub_id,0))))</f>
        <v>OK Japetić</v>
      </c>
      <c r="BM43" s="31" t="str" cm="1">
        <f t="array" ref="BM43">IFERROR(""&amp;INDEX(regNatjecatelj_klub,DV43),"")</f>
        <v>OK Japetić</v>
      </c>
      <c r="BN43" s="73" t="str">
        <f t="shared" si="76"/>
        <v/>
      </c>
      <c r="BO43" s="66" t="str">
        <f t="shared" si="77"/>
        <v>OK Japetić</v>
      </c>
      <c r="BP43" s="47" t="s">
        <v>0</v>
      </c>
      <c r="BQ43" s="52" t="str">
        <f>IF(X43&lt;&gt;"NEMA","",IF(IFERROR(MATCH(W43,W$12:W42,0),0)&lt;&gt;0,"",W43))</f>
        <v/>
      </c>
      <c r="BR43" s="73" t="str">
        <f t="shared" si="78"/>
        <v/>
      </c>
      <c r="BS43" s="31" t="str">
        <f>IF(OR(BR43="",BR43&lt;&gt;"NEMA"),"",MAX(BS$12:BS42)+1)</f>
        <v/>
      </c>
      <c r="BT43" s="66" t="str">
        <f t="shared" si="79"/>
        <v/>
      </c>
      <c r="BU43" s="47" t="s">
        <v>0</v>
      </c>
      <c r="BV43" s="19" t="str">
        <f t="shared" si="80"/>
        <v/>
      </c>
      <c r="BW43" s="47" t="s">
        <v>0</v>
      </c>
      <c r="BX43" s="82" t="str">
        <f>IF(BK43&lt;&gt;"NEMA","",IF(IFERROR(MATCH(BJ43,BJ$12:BJ42,0),0)&lt;&gt;0,"",BJ43))</f>
        <v/>
      </c>
      <c r="BY43" s="47" t="s">
        <v>0</v>
      </c>
      <c r="BZ43" s="125"/>
      <c r="CA43" s="47" t="s">
        <v>0</v>
      </c>
      <c r="CB43" s="58" t="str">
        <f t="shared" si="81"/>
        <v/>
      </c>
      <c r="CC43" s="31" t="str">
        <f t="shared" si="82"/>
        <v/>
      </c>
      <c r="CD43" s="31" t="str">
        <f>IF(CC43="","",MAX(CD$12:CD42)+1)</f>
        <v/>
      </c>
      <c r="CE43" s="31" t="str">
        <f t="shared" si="22"/>
        <v/>
      </c>
      <c r="CF43" s="31" t="str">
        <f t="shared" si="83"/>
        <v/>
      </c>
      <c r="CG43" s="31" t="str">
        <f>IF(BZ43="","",MAX(CG$12:CG42)+1)</f>
        <v/>
      </c>
      <c r="CH43" s="31" t="str">
        <f t="shared" si="84"/>
        <v/>
      </c>
      <c r="CI43" s="66" t="str">
        <f t="shared" si="85"/>
        <v/>
      </c>
      <c r="CJ43" s="47" t="s">
        <v>0</v>
      </c>
      <c r="CK43" s="73" t="str">
        <f t="shared" si="25"/>
        <v/>
      </c>
      <c r="CL43" s="47"/>
      <c r="CM43" s="19" t="str">
        <f t="shared" si="86"/>
        <v/>
      </c>
      <c r="CN43" s="47" t="s">
        <v>0</v>
      </c>
      <c r="CO43" s="143" t="str">
        <f t="shared" si="87"/>
        <v>OK Japetić</v>
      </c>
      <c r="CP43" s="47" t="s">
        <v>0</v>
      </c>
      <c r="CQ43" s="58" t="str">
        <f t="shared" si="109"/>
        <v/>
      </c>
      <c r="CR43" s="73" t="str">
        <f t="shared" si="110"/>
        <v>1</v>
      </c>
      <c r="CS43" s="229" t="str">
        <f t="shared" si="30"/>
        <v/>
      </c>
      <c r="CT43" s="230" t="str">
        <f t="shared" si="31"/>
        <v/>
      </c>
      <c r="CU43" s="163">
        <f t="shared" si="32"/>
        <v>6</v>
      </c>
      <c r="CV43" s="47" t="s">
        <v>0</v>
      </c>
      <c r="CW43" s="222" t="str">
        <f t="shared" si="89"/>
        <v xml:space="preserve">
</v>
      </c>
      <c r="CX43" s="223" t="e">
        <f t="shared" si="90"/>
        <v>#N/A</v>
      </c>
      <c r="CY43" s="47" t="s">
        <v>0</v>
      </c>
      <c r="CZ43" s="47"/>
      <c r="DA43" s="47"/>
      <c r="DB43" s="47"/>
      <c r="DC43" s="47" t="s">
        <v>0</v>
      </c>
      <c r="DD43" s="53" t="str">
        <f t="shared" si="103"/>
        <v/>
      </c>
      <c r="DE43" t="s">
        <v>0</v>
      </c>
      <c r="DF43" s="128" t="str">
        <f t="shared" si="104"/>
        <v>M</v>
      </c>
      <c r="DG43" t="s">
        <v>0</v>
      </c>
      <c r="DH43" s="52" t="str">
        <f t="shared" si="105"/>
        <v/>
      </c>
      <c r="DI43" s="66" t="str">
        <f t="shared" si="106"/>
        <v/>
      </c>
      <c r="DJ43" t="s">
        <v>0</v>
      </c>
      <c r="DK43" s="19" t="str">
        <f t="shared" si="107"/>
        <v/>
      </c>
      <c r="DL43" s="47" t="s">
        <v>0</v>
      </c>
      <c r="DM43" s="19" t="str">
        <f t="shared" si="108"/>
        <v/>
      </c>
      <c r="DN43" s="47" t="s">
        <v>0</v>
      </c>
      <c r="DO43" s="52" t="str">
        <f t="shared" si="39"/>
        <v>Mark – Jelinić – OK Japetić – M16</v>
      </c>
      <c r="DP43" s="53">
        <f t="shared" si="40"/>
        <v>97</v>
      </c>
      <c r="DQ43" s="47" t="s">
        <v>0</v>
      </c>
      <c r="DR43" s="52" t="str">
        <f t="shared" si="41"/>
        <v>Mark – Jelinić – OK Japetić</v>
      </c>
      <c r="DS43" s="53">
        <f t="shared" si="42"/>
        <v>97</v>
      </c>
      <c r="DT43" s="47" t="s">
        <v>0</v>
      </c>
      <c r="DU43" s="52" t="str">
        <f t="shared" si="43"/>
        <v>Mark – Jelinić</v>
      </c>
      <c r="DV43" s="53">
        <f t="shared" si="44"/>
        <v>97</v>
      </c>
      <c r="DW43" s="47" t="s">
        <v>0</v>
      </c>
      <c r="DX43" s="58">
        <f t="shared" si="91"/>
        <v>97</v>
      </c>
      <c r="DY43" s="53" cm="1">
        <f t="array" ref="DY43">IF(DX43&lt;&gt;"",INDEX(regNatjecatelj_id,DX43,0),IF(BD43&lt;&gt;"",BD43,""))</f>
        <v>1665</v>
      </c>
      <c r="DZ43" s="47" t="s">
        <v>0</v>
      </c>
      <c r="EA43" s="58" t="str">
        <f t="shared" si="45"/>
        <v>imepre</v>
      </c>
      <c r="EB43" s="73" t="str">
        <f t="shared" si="46"/>
        <v>klu(ali)</v>
      </c>
      <c r="EC43" s="73" t="str">
        <f t="shared" si="47"/>
        <v>kat</v>
      </c>
      <c r="ED43" s="73" t="str">
        <f t="shared" si="48"/>
        <v/>
      </c>
      <c r="EE43" s="66" t="str">
        <f t="shared" si="49"/>
        <v>imepre-klu(ali)-kat</v>
      </c>
      <c r="EF43" s="47" t="s">
        <v>0</v>
      </c>
      <c r="EG43" s="58">
        <f>IF(AL43="","",MAX(EG$12:EG42)+1)</f>
        <v>219</v>
      </c>
      <c r="EH43" s="73">
        <f t="shared" si="50"/>
        <v>25</v>
      </c>
      <c r="EI43" s="73">
        <f t="shared" si="92"/>
        <v>1665</v>
      </c>
      <c r="EJ43" s="73" t="str">
        <f t="shared" si="51"/>
        <v/>
      </c>
      <c r="EK43" s="73">
        <f t="shared" si="52"/>
        <v>6</v>
      </c>
      <c r="EL43" s="73">
        <f t="shared" si="93"/>
        <v>1</v>
      </c>
      <c r="EM43" s="73">
        <f t="shared" si="94"/>
        <v>3</v>
      </c>
      <c r="EN43" s="73" t="str">
        <f t="shared" si="55"/>
        <v>1</v>
      </c>
      <c r="EO43" s="73" t="str">
        <f t="shared" si="56"/>
        <v/>
      </c>
      <c r="EP43" s="73">
        <f t="shared" si="57"/>
        <v>1</v>
      </c>
      <c r="EQ43" s="53" t="str">
        <f t="shared" si="58"/>
        <v/>
      </c>
      <c r="ER43" s="47" t="s">
        <v>0</v>
      </c>
      <c r="ES43" s="19" t="str">
        <f t="shared" si="95"/>
        <v>INSERT INTO rezultat(id,stazakategorija_id,imeprezime_id,vrijeme_sec,status_id,registracija,uparivanje_id,originalstatus_id,imeprezimealias_id,klubalias_id,kategorijaalias_id) VALUES (219,25,1665,Null,6,1,3,1,Null,1,Null);</v>
      </c>
      <c r="ET43" s="47" t="s">
        <v>0</v>
      </c>
      <c r="EU43" s="19" t="str">
        <f t="shared" si="96"/>
        <v>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3" s="47" t="s">
        <v>0</v>
      </c>
      <c r="EW43" s="180" t="str">
        <f t="shared" si="60"/>
        <v xml:space="preserve">
INSERT INTO rezultat(id,stazakategorija_id,imeprezime_id,vrijeme_sec,status_id,registracija,uparivanje_id,originalstatus_id,imeprezimealias_id,klubalias_id,kategorijaalias_id) VALUES (219,25,1665,Null,6,1,3,1,Null,1,Null);
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3" s="47" t="s">
        <v>0</v>
      </c>
    </row>
    <row r="44" spans="1:154" x14ac:dyDescent="0.25">
      <c r="A44" t="s">
        <v>0</v>
      </c>
      <c r="B44" s="52" t="str">
        <f>IF(csv!F34="","",csv!T34)</f>
        <v>M16</v>
      </c>
      <c r="C44" s="31" t="s">
        <v>0</v>
      </c>
      <c r="D44" s="31" t="str">
        <f>IF(csv!F34="","",csv!F34)</f>
        <v>Vacant</v>
      </c>
      <c r="E44" s="31" t="str">
        <f>IF(csv!E34="","",csv!E34)</f>
        <v/>
      </c>
      <c r="F44" s="31" t="s">
        <v>0</v>
      </c>
      <c r="G44" s="73" t="str">
        <f>IF(csv!M34="","",csv!M34)</f>
        <v/>
      </c>
      <c r="H44" s="73" t="str">
        <f>IF(csv!N34="","",csv!N34)</f>
        <v>0</v>
      </c>
      <c r="I44" s="31" t="s">
        <v>0</v>
      </c>
      <c r="J44" s="31" t="str">
        <f>IF(csv!P34="","",csv!P34)</f>
        <v/>
      </c>
      <c r="K44" s="31" t="str">
        <f>IF(csv!Q34="","",csv!Q34)</f>
        <v/>
      </c>
      <c r="L44" s="31" t="s">
        <v>0</v>
      </c>
      <c r="M44" s="66" t="str">
        <f>IF(csv!R34="","",csv!R34)</f>
        <v/>
      </c>
      <c r="N44" s="47" t="s">
        <v>0</v>
      </c>
      <c r="O44" s="246" t="str">
        <f t="shared" si="61"/>
        <v/>
      </c>
      <c r="P44" s="47"/>
      <c r="Q44" s="52" t="str">
        <f t="shared" si="62"/>
        <v>M16</v>
      </c>
      <c r="R44" s="73">
        <f>IF(Q44="","",IF(COUNTIF(Q$12:Q43,Q44)=0,R43+1,R43))</f>
        <v>3</v>
      </c>
      <c r="S44" s="73">
        <f t="shared" si="63"/>
        <v>110</v>
      </c>
      <c r="T44" s="73">
        <f t="shared" si="1"/>
        <v>19</v>
      </c>
      <c r="U44" s="66" t="str">
        <f t="shared" si="2"/>
        <v>M21B – M16</v>
      </c>
      <c r="V44" s="47" t="s">
        <v>0</v>
      </c>
      <c r="W44" s="222" t="str">
        <f t="shared" si="3"/>
        <v/>
      </c>
      <c r="X44" s="223" t="str">
        <f t="shared" si="4"/>
        <v/>
      </c>
      <c r="Y44" s="47" t="s">
        <v>0</v>
      </c>
      <c r="Z44" s="52" t="str">
        <f t="shared" si="64"/>
        <v/>
      </c>
      <c r="AA44" s="73" t="str">
        <f t="shared" si="5"/>
        <v/>
      </c>
      <c r="AB44" s="31" t="str">
        <f t="shared" si="65"/>
        <v/>
      </c>
      <c r="AC44" s="66" t="str">
        <f>IF(AB44="","",MAX(AC$12:AC43)+1)</f>
        <v/>
      </c>
      <c r="AD44" s="47" t="s">
        <v>0</v>
      </c>
      <c r="AE44" s="125"/>
      <c r="AF44" s="47" t="s">
        <v>0</v>
      </c>
      <c r="AG44" s="19" t="str">
        <f t="shared" si="66"/>
        <v/>
      </c>
      <c r="AH44" s="47" t="s">
        <v>0</v>
      </c>
      <c r="AI44" s="143" t="str">
        <f t="shared" si="67"/>
        <v/>
      </c>
      <c r="AJ44" s="47"/>
      <c r="AK44" s="52" t="str">
        <f t="shared" si="68"/>
        <v/>
      </c>
      <c r="AL44" s="31" t="str">
        <f t="shared" si="69"/>
        <v/>
      </c>
      <c r="AM44" s="73" t="str">
        <f t="shared" si="70"/>
        <v/>
      </c>
      <c r="AN44" s="73" t="str">
        <f t="shared" si="71"/>
        <v/>
      </c>
      <c r="AO44" s="31" t="str">
        <f t="shared" si="8"/>
        <v/>
      </c>
      <c r="AP44" s="66" t="str">
        <f t="shared" si="9"/>
        <v/>
      </c>
      <c r="AQ44" s="47" t="s">
        <v>0</v>
      </c>
      <c r="AR44" s="82" t="str">
        <f t="shared" si="72"/>
        <v/>
      </c>
      <c r="AS44" s="47" t="s">
        <v>0</v>
      </c>
      <c r="AT44" s="19" t="str">
        <f t="shared" si="73"/>
        <v/>
      </c>
      <c r="AU44" s="47" t="s">
        <v>0</v>
      </c>
      <c r="AV44" s="103"/>
      <c r="AW44" s="105"/>
      <c r="AX44" s="47" t="s">
        <v>0</v>
      </c>
      <c r="AY44" s="259" t="str">
        <f t="shared" si="102"/>
        <v/>
      </c>
      <c r="AZ44" s="47" t="s">
        <v>0</v>
      </c>
      <c r="BA44" s="52" t="str">
        <f t="shared" si="11"/>
        <v/>
      </c>
      <c r="BB44" s="73" t="str">
        <f>IF(AV44&amp;AW44="","",MAX(BB$12:BB43)+1)</f>
        <v/>
      </c>
      <c r="BC44" s="272" t="str">
        <f t="shared" si="12"/>
        <v/>
      </c>
      <c r="BD44" s="53" t="str">
        <f>IF(AND(AM44="NEMA",AN44="NEMA",OR(AV44&amp;AW44="",BC44="NEMA")),MAX(BD$12:BD43)+1,"")</f>
        <v/>
      </c>
      <c r="BE44" s="47" t="s">
        <v>0</v>
      </c>
      <c r="BF44" s="52" t="str">
        <f t="shared" si="74"/>
        <v/>
      </c>
      <c r="BG44" s="66" t="str">
        <f t="shared" si="75"/>
        <v/>
      </c>
      <c r="BH44" s="47" t="s">
        <v>0</v>
      </c>
      <c r="BI44" s="52" t="str">
        <f t="shared" si="15"/>
        <v/>
      </c>
      <c r="BJ44" s="31" t="str">
        <f t="shared" si="16"/>
        <v/>
      </c>
      <c r="BK44" s="73" t="str">
        <f t="shared" si="17"/>
        <v/>
      </c>
      <c r="BL44" s="31" t="str" cm="1">
        <f t="array" ref="BL44">IF(BK44="",""&amp;BJ44,IF(BK44="NEMA",BJ44,INDEX(regKlub_naziv,MATCH(INDEX(regKlub_alias_klubId,BK44),regKlub_id,0))))</f>
        <v/>
      </c>
      <c r="BM44" s="31" t="str" cm="1">
        <f t="array" ref="BM44">IFERROR(""&amp;INDEX(regNatjecatelj_klub,DV44),"")</f>
        <v/>
      </c>
      <c r="BN44" s="73" t="str">
        <f t="shared" si="76"/>
        <v/>
      </c>
      <c r="BO44" s="66" t="str">
        <f t="shared" si="77"/>
        <v/>
      </c>
      <c r="BP44" s="47" t="s">
        <v>0</v>
      </c>
      <c r="BQ44" s="52" t="str">
        <f>IF(X44&lt;&gt;"NEMA","",IF(IFERROR(MATCH(W44,W$12:W43,0),0)&lt;&gt;0,"",W44))</f>
        <v/>
      </c>
      <c r="BR44" s="73" t="str">
        <f t="shared" si="78"/>
        <v/>
      </c>
      <c r="BS44" s="31" t="str">
        <f>IF(OR(BR44="",BR44&lt;&gt;"NEMA"),"",MAX(BS$12:BS43)+1)</f>
        <v/>
      </c>
      <c r="BT44" s="66" t="str">
        <f t="shared" si="79"/>
        <v/>
      </c>
      <c r="BU44" s="47" t="s">
        <v>0</v>
      </c>
      <c r="BV44" s="19" t="str">
        <f t="shared" si="80"/>
        <v/>
      </c>
      <c r="BW44" s="47" t="s">
        <v>0</v>
      </c>
      <c r="BX44" s="82" t="str">
        <f>IF(BK44&lt;&gt;"NEMA","",IF(IFERROR(MATCH(BJ44,BJ$12:BJ43,0),0)&lt;&gt;0,"",BJ44))</f>
        <v/>
      </c>
      <c r="BY44" s="47" t="s">
        <v>0</v>
      </c>
      <c r="BZ44" s="125"/>
      <c r="CA44" s="47" t="s">
        <v>0</v>
      </c>
      <c r="CB44" s="58" t="str">
        <f t="shared" si="81"/>
        <v/>
      </c>
      <c r="CC44" s="31" t="str">
        <f t="shared" si="82"/>
        <v/>
      </c>
      <c r="CD44" s="31" t="str">
        <f>IF(CC44="","",MAX(CD$12:CD43)+1)</f>
        <v/>
      </c>
      <c r="CE44" s="31" t="str">
        <f t="shared" si="22"/>
        <v/>
      </c>
      <c r="CF44" s="31" t="str">
        <f t="shared" si="83"/>
        <v/>
      </c>
      <c r="CG44" s="31" t="str">
        <f>IF(BZ44="","",MAX(CG$12:CG43)+1)</f>
        <v/>
      </c>
      <c r="CH44" s="31" t="str">
        <f t="shared" si="84"/>
        <v/>
      </c>
      <c r="CI44" s="66" t="str">
        <f t="shared" si="85"/>
        <v/>
      </c>
      <c r="CJ44" s="47" t="s">
        <v>0</v>
      </c>
      <c r="CK44" s="73" t="str">
        <f t="shared" si="25"/>
        <v/>
      </c>
      <c r="CL44" s="47"/>
      <c r="CM44" s="19" t="str">
        <f t="shared" si="86"/>
        <v/>
      </c>
      <c r="CN44" s="47" t="s">
        <v>0</v>
      </c>
      <c r="CO44" s="143" t="str">
        <f t="shared" si="87"/>
        <v/>
      </c>
      <c r="CP44" s="47" t="s">
        <v>0</v>
      </c>
      <c r="CQ44" s="58" t="str">
        <f t="shared" si="109"/>
        <v/>
      </c>
      <c r="CR44" s="73" t="str">
        <f t="shared" si="110"/>
        <v>0</v>
      </c>
      <c r="CS44" s="229" t="str">
        <f t="shared" si="30"/>
        <v/>
      </c>
      <c r="CT44" s="230" t="str">
        <f t="shared" si="31"/>
        <v/>
      </c>
      <c r="CU44" s="163" t="str">
        <f t="shared" si="32"/>
        <v/>
      </c>
      <c r="CV44" s="47" t="s">
        <v>0</v>
      </c>
      <c r="CW44" s="222" t="str">
        <f t="shared" si="89"/>
        <v xml:space="preserve">
</v>
      </c>
      <c r="CX44" s="223" t="str">
        <f t="shared" si="90"/>
        <v/>
      </c>
      <c r="CY44" s="47" t="s">
        <v>0</v>
      </c>
      <c r="CZ44" s="47"/>
      <c r="DA44" s="47"/>
      <c r="DB44" s="47"/>
      <c r="DC44" s="47" t="s">
        <v>0</v>
      </c>
      <c r="DD44" s="53" t="str">
        <f t="shared" si="103"/>
        <v/>
      </c>
      <c r="DE44" t="s">
        <v>0</v>
      </c>
      <c r="DF44" s="128" t="str">
        <f t="shared" si="104"/>
        <v>M</v>
      </c>
      <c r="DG44" t="s">
        <v>0</v>
      </c>
      <c r="DH44" s="52" t="str">
        <f t="shared" si="105"/>
        <v/>
      </c>
      <c r="DI44" s="66" t="str">
        <f t="shared" si="106"/>
        <v/>
      </c>
      <c r="DJ44" t="s">
        <v>0</v>
      </c>
      <c r="DK44" s="19" t="str">
        <f t="shared" si="107"/>
        <v/>
      </c>
      <c r="DL44" s="47" t="s">
        <v>0</v>
      </c>
      <c r="DM44" s="19" t="str">
        <f t="shared" si="108"/>
        <v/>
      </c>
      <c r="DN44" s="47" t="s">
        <v>0</v>
      </c>
      <c r="DO44" s="52" t="str">
        <f t="shared" si="39"/>
        <v/>
      </c>
      <c r="DP44" s="53" t="str">
        <f t="shared" si="40"/>
        <v/>
      </c>
      <c r="DQ44" s="47" t="s">
        <v>0</v>
      </c>
      <c r="DR44" s="52" t="str">
        <f t="shared" si="41"/>
        <v/>
      </c>
      <c r="DS44" s="53" t="str">
        <f t="shared" si="42"/>
        <v/>
      </c>
      <c r="DT44" s="47" t="s">
        <v>0</v>
      </c>
      <c r="DU44" s="52" t="str">
        <f t="shared" si="43"/>
        <v/>
      </c>
      <c r="DV44" s="53" t="str">
        <f t="shared" si="44"/>
        <v/>
      </c>
      <c r="DW44" s="47" t="s">
        <v>0</v>
      </c>
      <c r="DX44" s="58" t="str">
        <f t="shared" si="91"/>
        <v/>
      </c>
      <c r="DY44" s="53" t="str" cm="1">
        <f t="array" ref="DY44">IF(DX44&lt;&gt;"",INDEX(regNatjecatelj_id,DX44,0),IF(BD44&lt;&gt;"",BD44,""))</f>
        <v/>
      </c>
      <c r="DZ44" s="47" t="s">
        <v>0</v>
      </c>
      <c r="EA44" s="58" t="str">
        <f t="shared" si="45"/>
        <v/>
      </c>
      <c r="EB44" s="73" t="str">
        <f t="shared" si="46"/>
        <v/>
      </c>
      <c r="EC44" s="73" t="str">
        <f t="shared" si="47"/>
        <v/>
      </c>
      <c r="ED44" s="73" t="str">
        <f t="shared" si="48"/>
        <v/>
      </c>
      <c r="EE44" s="66" t="str">
        <f t="shared" si="49"/>
        <v/>
      </c>
      <c r="EF44" s="47" t="s">
        <v>0</v>
      </c>
      <c r="EG44" s="58" t="str">
        <f>IF(AL44="","",MAX(EG$12:EG43)+1)</f>
        <v/>
      </c>
      <c r="EH44" s="73" t="str">
        <f t="shared" si="50"/>
        <v/>
      </c>
      <c r="EI44" s="73" t="str">
        <f t="shared" si="92"/>
        <v/>
      </c>
      <c r="EJ44" s="73" t="str">
        <f t="shared" si="51"/>
        <v/>
      </c>
      <c r="EK44" s="73" t="str">
        <f t="shared" si="52"/>
        <v/>
      </c>
      <c r="EL44" s="73" t="str">
        <f t="shared" si="93"/>
        <v/>
      </c>
      <c r="EM44" s="73" t="str">
        <f t="shared" si="94"/>
        <v/>
      </c>
      <c r="EN44" s="73" t="str">
        <f t="shared" si="55"/>
        <v/>
      </c>
      <c r="EO44" s="73" t="str">
        <f t="shared" si="56"/>
        <v/>
      </c>
      <c r="EP44" s="73" t="str">
        <f t="shared" si="57"/>
        <v/>
      </c>
      <c r="EQ44" s="53" t="str">
        <f t="shared" si="58"/>
        <v/>
      </c>
      <c r="ER44" s="47" t="s">
        <v>0</v>
      </c>
      <c r="ES44" s="19" t="str">
        <f t="shared" si="95"/>
        <v/>
      </c>
      <c r="ET44" s="47" t="s">
        <v>0</v>
      </c>
      <c r="EU44" s="19" t="str">
        <f t="shared" si="96"/>
        <v/>
      </c>
      <c r="EV44" s="47" t="s">
        <v>0</v>
      </c>
      <c r="EW44" s="180" t="str">
        <f t="shared" si="60"/>
        <v/>
      </c>
      <c r="EX44" s="47" t="s">
        <v>0</v>
      </c>
    </row>
    <row r="45" spans="1:154" x14ac:dyDescent="0.25">
      <c r="A45" t="s">
        <v>0</v>
      </c>
      <c r="B45" s="52" t="str">
        <f>IF(csv!F35="","",csv!T35)</f>
        <v>M16</v>
      </c>
      <c r="C45" s="31" t="s">
        <v>0</v>
      </c>
      <c r="D45" s="31" t="str">
        <f>IF(csv!F35="","",csv!F35)</f>
        <v>Goran</v>
      </c>
      <c r="E45" s="31" t="str">
        <f>IF(csv!E35="","",csv!E35)</f>
        <v>Jandras</v>
      </c>
      <c r="F45" s="31" t="s">
        <v>0</v>
      </c>
      <c r="G45" s="73" t="str">
        <f>IF(csv!M35="","",csv!M35)</f>
        <v>51:32</v>
      </c>
      <c r="H45" s="73" t="str">
        <f>IF(csv!N35="","",csv!N35)</f>
        <v>3</v>
      </c>
      <c r="I45" s="31" t="s">
        <v>0</v>
      </c>
      <c r="J45" s="31" t="str">
        <f>IF(csv!P35="","",csv!P35)</f>
        <v>Vihor</v>
      </c>
      <c r="K45" s="31" t="str">
        <f>IF(csv!Q35="","",csv!Q35)</f>
        <v>OK Vihor</v>
      </c>
      <c r="L45" s="31" t="s">
        <v>0</v>
      </c>
      <c r="M45" s="66" t="str">
        <f>IF(csv!R35="","",csv!R35)</f>
        <v>CRO</v>
      </c>
      <c r="N45" s="47" t="s">
        <v>0</v>
      </c>
      <c r="O45" s="246" t="str">
        <f t="shared" si="61"/>
        <v>ok</v>
      </c>
      <c r="P45" s="47"/>
      <c r="Q45" s="52" t="str">
        <f t="shared" si="62"/>
        <v>M16</v>
      </c>
      <c r="R45" s="73">
        <f>IF(Q45="","",IF(COUNTIF(Q$12:Q44,Q45)=0,R44+1,R44))</f>
        <v>3</v>
      </c>
      <c r="S45" s="73">
        <f t="shared" si="63"/>
        <v>110</v>
      </c>
      <c r="T45" s="73">
        <f t="shared" si="1"/>
        <v>19</v>
      </c>
      <c r="U45" s="66" t="str">
        <f t="shared" si="2"/>
        <v>M21B – M16</v>
      </c>
      <c r="V45" s="47" t="s">
        <v>0</v>
      </c>
      <c r="W45" s="222" t="str">
        <f t="shared" si="3"/>
        <v>M16</v>
      </c>
      <c r="X45" s="223">
        <f t="shared" si="4"/>
        <v>25</v>
      </c>
      <c r="Y45" s="47" t="s">
        <v>0</v>
      </c>
      <c r="Z45" s="52" t="str">
        <f t="shared" si="64"/>
        <v>CRO</v>
      </c>
      <c r="AA45" s="73">
        <f t="shared" si="5"/>
        <v>1</v>
      </c>
      <c r="AB45" s="31" t="str">
        <f t="shared" si="65"/>
        <v/>
      </c>
      <c r="AC45" s="66" t="str">
        <f>IF(AB45="","",MAX(AC$12:AC44)+1)</f>
        <v/>
      </c>
      <c r="AD45" s="47" t="s">
        <v>0</v>
      </c>
      <c r="AE45" s="125"/>
      <c r="AF45" s="47" t="s">
        <v>0</v>
      </c>
      <c r="AG45" s="19" t="str">
        <f t="shared" si="66"/>
        <v/>
      </c>
      <c r="AH45" s="47" t="s">
        <v>0</v>
      </c>
      <c r="AI45" s="143" t="str">
        <f t="shared" si="67"/>
        <v>CRO</v>
      </c>
      <c r="AJ45" s="47"/>
      <c r="AK45" s="52" t="str">
        <f t="shared" si="68"/>
        <v>Goran</v>
      </c>
      <c r="AL45" s="31" t="str">
        <f t="shared" si="69"/>
        <v>Jandras</v>
      </c>
      <c r="AM45" s="73">
        <f t="shared" si="70"/>
        <v>1889</v>
      </c>
      <c r="AN45" s="73" t="str">
        <f t="shared" si="71"/>
        <v/>
      </c>
      <c r="AO45" s="31" t="str">
        <f t="shared" si="8"/>
        <v>Goran</v>
      </c>
      <c r="AP45" s="66" t="str">
        <f t="shared" si="9"/>
        <v>Jandras</v>
      </c>
      <c r="AQ45" s="47" t="s">
        <v>0</v>
      </c>
      <c r="AR45" s="82" t="str">
        <f t="shared" si="72"/>
        <v/>
      </c>
      <c r="AS45" s="47" t="s">
        <v>0</v>
      </c>
      <c r="AT45" s="19" t="str">
        <f t="shared" si="73"/>
        <v/>
      </c>
      <c r="AU45" s="47" t="s">
        <v>0</v>
      </c>
      <c r="AV45" s="103"/>
      <c r="AW45" s="105"/>
      <c r="AX45" s="47" t="s">
        <v>0</v>
      </c>
      <c r="AY45" s="259" t="str">
        <f t="shared" si="102"/>
        <v/>
      </c>
      <c r="AZ45" s="47" t="s">
        <v>0</v>
      </c>
      <c r="BA45" s="52" t="str">
        <f t="shared" si="11"/>
        <v/>
      </c>
      <c r="BB45" s="73" t="str">
        <f>IF(AV45&amp;AW45="","",MAX(BB$12:BB44)+1)</f>
        <v/>
      </c>
      <c r="BC45" s="272" t="str">
        <f t="shared" si="12"/>
        <v/>
      </c>
      <c r="BD45" s="53" t="str">
        <f>IF(AND(AM45="NEMA",AN45="NEMA",OR(AV45&amp;AW45="",BC45="NEMA")),MAX(BD$12:BD44)+1,"")</f>
        <v/>
      </c>
      <c r="BE45" s="47" t="s">
        <v>0</v>
      </c>
      <c r="BF45" s="52" t="str">
        <f t="shared" si="74"/>
        <v>Goran</v>
      </c>
      <c r="BG45" s="66" t="str">
        <f t="shared" si="75"/>
        <v>Jandras</v>
      </c>
      <c r="BH45" s="47" t="s">
        <v>0</v>
      </c>
      <c r="BI45" s="52" t="str">
        <f t="shared" si="15"/>
        <v>Vihor</v>
      </c>
      <c r="BJ45" s="31" t="str">
        <f t="shared" si="16"/>
        <v>OK Vihor</v>
      </c>
      <c r="BK45" s="73" t="str">
        <f t="shared" si="17"/>
        <v/>
      </c>
      <c r="BL45" s="31" t="str" cm="1">
        <f t="array" ref="BL45">IF(BK45="",""&amp;BJ45,IF(BK45="NEMA",BJ45,INDEX(regKlub_naziv,MATCH(INDEX(regKlub_alias_klubId,BK45),regKlub_id,0))))</f>
        <v>OK Vihor</v>
      </c>
      <c r="BM45" s="31" t="str" cm="1">
        <f t="array" ref="BM45">IFERROR(""&amp;INDEX(regNatjecatelj_klub,DV45),"")</f>
        <v>OK Vihor</v>
      </c>
      <c r="BN45" s="73" t="str">
        <f t="shared" si="76"/>
        <v/>
      </c>
      <c r="BO45" s="66" t="str">
        <f t="shared" si="77"/>
        <v>OK Vihor</v>
      </c>
      <c r="BP45" s="47" t="s">
        <v>0</v>
      </c>
      <c r="BQ45" s="52" t="str">
        <f>IF(X45&lt;&gt;"NEMA","",IF(IFERROR(MATCH(W45,W$12:W44,0),0)&lt;&gt;0,"",W45))</f>
        <v/>
      </c>
      <c r="BR45" s="73" t="str">
        <f t="shared" si="78"/>
        <v/>
      </c>
      <c r="BS45" s="31" t="str">
        <f>IF(OR(BR45="",BR45&lt;&gt;"NEMA"),"",MAX(BS$12:BS44)+1)</f>
        <v/>
      </c>
      <c r="BT45" s="66" t="str">
        <f t="shared" si="79"/>
        <v/>
      </c>
      <c r="BU45" s="47" t="s">
        <v>0</v>
      </c>
      <c r="BV45" s="19" t="str">
        <f t="shared" si="80"/>
        <v/>
      </c>
      <c r="BW45" s="47" t="s">
        <v>0</v>
      </c>
      <c r="BX45" s="82" t="str">
        <f>IF(BK45&lt;&gt;"NEMA","",IF(IFERROR(MATCH(BJ45,BJ$12:BJ44,0),0)&lt;&gt;0,"",BJ45))</f>
        <v/>
      </c>
      <c r="BY45" s="47" t="s">
        <v>0</v>
      </c>
      <c r="BZ45" s="125"/>
      <c r="CA45" s="47" t="s">
        <v>0</v>
      </c>
      <c r="CB45" s="58" t="str">
        <f t="shared" si="81"/>
        <v/>
      </c>
      <c r="CC45" s="31" t="str">
        <f t="shared" si="82"/>
        <v/>
      </c>
      <c r="CD45" s="31" t="str">
        <f>IF(CC45="","",MAX(CD$12:CD44)+1)</f>
        <v/>
      </c>
      <c r="CE45" s="31" t="str">
        <f t="shared" si="22"/>
        <v/>
      </c>
      <c r="CF45" s="31" t="str">
        <f t="shared" si="83"/>
        <v/>
      </c>
      <c r="CG45" s="31" t="str">
        <f>IF(BZ45="","",MAX(CG$12:CG44)+1)</f>
        <v/>
      </c>
      <c r="CH45" s="31" t="str">
        <f t="shared" si="84"/>
        <v/>
      </c>
      <c r="CI45" s="66" t="str">
        <f t="shared" si="85"/>
        <v/>
      </c>
      <c r="CJ45" s="47" t="s">
        <v>0</v>
      </c>
      <c r="CK45" s="73" t="str">
        <f t="shared" si="25"/>
        <v/>
      </c>
      <c r="CL45" s="47"/>
      <c r="CM45" s="19" t="str">
        <f t="shared" si="86"/>
        <v/>
      </c>
      <c r="CN45" s="47" t="s">
        <v>0</v>
      </c>
      <c r="CO45" s="143" t="str">
        <f t="shared" si="87"/>
        <v>OK Vihor</v>
      </c>
      <c r="CP45" s="47" t="s">
        <v>0</v>
      </c>
      <c r="CQ45" s="58" t="str">
        <f t="shared" si="109"/>
        <v>51:32</v>
      </c>
      <c r="CR45" s="73" t="str">
        <f t="shared" si="110"/>
        <v>3</v>
      </c>
      <c r="CS45" s="229" t="str">
        <f t="shared" si="30"/>
        <v/>
      </c>
      <c r="CT45" s="230">
        <f t="shared" si="31"/>
        <v>3092</v>
      </c>
      <c r="CU45" s="163">
        <f t="shared" si="32"/>
        <v>3</v>
      </c>
      <c r="CV45" s="47" t="s">
        <v>0</v>
      </c>
      <c r="CW45" s="222" t="str">
        <f t="shared" si="89"/>
        <v xml:space="preserve">
</v>
      </c>
      <c r="CX45" s="223">
        <f t="shared" si="90"/>
        <v>3</v>
      </c>
      <c r="CY45" s="47" t="s">
        <v>0</v>
      </c>
      <c r="CZ45" s="47"/>
      <c r="DA45" s="47"/>
      <c r="DB45" s="47"/>
      <c r="DC45" s="47" t="s">
        <v>0</v>
      </c>
      <c r="DD45" s="53" t="str">
        <f t="shared" si="103"/>
        <v/>
      </c>
      <c r="DE45" t="s">
        <v>0</v>
      </c>
      <c r="DF45" s="128" t="str">
        <f t="shared" si="104"/>
        <v>M</v>
      </c>
      <c r="DG45" t="s">
        <v>0</v>
      </c>
      <c r="DH45" s="52" t="str">
        <f t="shared" si="105"/>
        <v/>
      </c>
      <c r="DI45" s="66" t="str">
        <f t="shared" si="106"/>
        <v/>
      </c>
      <c r="DJ45" t="s">
        <v>0</v>
      </c>
      <c r="DK45" s="19" t="str">
        <f t="shared" si="107"/>
        <v/>
      </c>
      <c r="DL45" s="47" t="s">
        <v>0</v>
      </c>
      <c r="DM45" s="19" t="str">
        <f t="shared" si="108"/>
        <v/>
      </c>
      <c r="DN45" s="47" t="s">
        <v>0</v>
      </c>
      <c r="DO45" s="52" t="str">
        <f t="shared" si="39"/>
        <v>Goran – Jandras – OK Vihor – M16</v>
      </c>
      <c r="DP45" s="53">
        <f t="shared" si="40"/>
        <v>710</v>
      </c>
      <c r="DQ45" s="47" t="s">
        <v>0</v>
      </c>
      <c r="DR45" s="52" t="str">
        <f t="shared" si="41"/>
        <v>Goran – Jandras – OK Vihor</v>
      </c>
      <c r="DS45" s="53">
        <f t="shared" si="42"/>
        <v>710</v>
      </c>
      <c r="DT45" s="47" t="s">
        <v>0</v>
      </c>
      <c r="DU45" s="52" t="str">
        <f t="shared" si="43"/>
        <v>Goran – Jandras</v>
      </c>
      <c r="DV45" s="53">
        <f t="shared" si="44"/>
        <v>710</v>
      </c>
      <c r="DW45" s="47" t="s">
        <v>0</v>
      </c>
      <c r="DX45" s="58">
        <f t="shared" si="91"/>
        <v>710</v>
      </c>
      <c r="DY45" s="53" cm="1">
        <f t="array" ref="DY45">IF(DX45&lt;&gt;"",INDEX(regNatjecatelj_id,DX45,0),IF(BD45&lt;&gt;"",BD45,""))</f>
        <v>1889</v>
      </c>
      <c r="DZ45" s="47" t="s">
        <v>0</v>
      </c>
      <c r="EA45" s="58" t="str">
        <f t="shared" si="45"/>
        <v>imepre</v>
      </c>
      <c r="EB45" s="73" t="str">
        <f t="shared" si="46"/>
        <v>klu</v>
      </c>
      <c r="EC45" s="73" t="str">
        <f t="shared" si="47"/>
        <v>kat</v>
      </c>
      <c r="ED45" s="73" t="str">
        <f t="shared" si="48"/>
        <v/>
      </c>
      <c r="EE45" s="66" t="str">
        <f t="shared" si="49"/>
        <v>imepre-klu-kat</v>
      </c>
      <c r="EF45" s="47" t="s">
        <v>0</v>
      </c>
      <c r="EG45" s="58">
        <f>IF(AL45="","",MAX(EG$12:EG44)+1)</f>
        <v>220</v>
      </c>
      <c r="EH45" s="73">
        <f t="shared" si="50"/>
        <v>25</v>
      </c>
      <c r="EI45" s="73">
        <f t="shared" si="92"/>
        <v>1889</v>
      </c>
      <c r="EJ45" s="73">
        <f t="shared" si="51"/>
        <v>3092</v>
      </c>
      <c r="EK45" s="73">
        <f t="shared" si="52"/>
        <v>3</v>
      </c>
      <c r="EL45" s="73">
        <f t="shared" si="93"/>
        <v>1</v>
      </c>
      <c r="EM45" s="73">
        <f t="shared" si="94"/>
        <v>1</v>
      </c>
      <c r="EN45" s="73" t="str">
        <f t="shared" si="55"/>
        <v>3</v>
      </c>
      <c r="EO45" s="73" t="str">
        <f t="shared" si="56"/>
        <v/>
      </c>
      <c r="EP45" s="73" t="str">
        <f t="shared" si="57"/>
        <v/>
      </c>
      <c r="EQ45" s="53" t="str">
        <f t="shared" si="58"/>
        <v/>
      </c>
      <c r="ER45" s="47" t="s">
        <v>0</v>
      </c>
      <c r="ES45" s="19" t="str">
        <f t="shared" si="95"/>
        <v>INSERT INTO rezultat(id,stazakategorija_id,imeprezime_id,vrijeme_sec,status_id,registracija,uparivanje_id,originalstatus_id,imeprezimealias_id,klubalias_id,kategorijaalias_id) VALUES (220,25,1889,3092,3,1,1,3,Null,Null,Null);</v>
      </c>
      <c r="ET45" s="47" t="s">
        <v>0</v>
      </c>
      <c r="EU45" s="19" t="str">
        <f t="shared" si="96"/>
        <v>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5" s="47" t="s">
        <v>0</v>
      </c>
      <c r="EW45" s="180" t="str">
        <f t="shared" si="60"/>
        <v xml:space="preserve">
INSERT INTO rezultat(id,stazakategorija_id,imeprezime_id,vrijeme_sec,status_id,registracija,uparivanje_id,originalstatus_id,imeprezimealias_id,klubalias_id,kategorijaalias_id) VALUES (220,25,1889,3092,3,1,1,3,Null,Null,Null);
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5" s="47" t="s">
        <v>0</v>
      </c>
    </row>
    <row r="46" spans="1:154" x14ac:dyDescent="0.25">
      <c r="A46" t="s">
        <v>0</v>
      </c>
      <c r="B46" s="52" t="str">
        <f>IF(csv!F36="","",csv!T36)</f>
        <v>M16</v>
      </c>
      <c r="C46" s="31" t="s">
        <v>0</v>
      </c>
      <c r="D46" s="31" t="str">
        <f>IF(csv!F36="","",csv!F36)</f>
        <v>Kaan</v>
      </c>
      <c r="E46" s="31" t="str">
        <f>IF(csv!E36="","",csv!E36)</f>
        <v>Yelen</v>
      </c>
      <c r="F46" s="31" t="s">
        <v>0</v>
      </c>
      <c r="G46" s="73" t="str">
        <f>IF(csv!M36="","",csv!M36)</f>
        <v>115:18</v>
      </c>
      <c r="H46" s="73" t="str">
        <f>IF(csv!N36="","",csv!N36)</f>
        <v>3</v>
      </c>
      <c r="I46" s="31" t="s">
        <v>0</v>
      </c>
      <c r="J46" s="31" t="str">
        <f>IF(csv!P36="","",csv!P36)</f>
        <v>Vihor</v>
      </c>
      <c r="K46" s="31" t="str">
        <f>IF(csv!Q36="","",csv!Q36)</f>
        <v>OK Vihor</v>
      </c>
      <c r="L46" s="31" t="s">
        <v>0</v>
      </c>
      <c r="M46" s="66" t="str">
        <f>IF(csv!R36="","",csv!R36)</f>
        <v>CRO</v>
      </c>
      <c r="N46" s="47" t="s">
        <v>0</v>
      </c>
      <c r="O46" s="246" t="str">
        <f t="shared" si="61"/>
        <v>ok</v>
      </c>
      <c r="P46" s="47"/>
      <c r="Q46" s="52" t="str">
        <f t="shared" si="62"/>
        <v>M16</v>
      </c>
      <c r="R46" s="73">
        <f>IF(Q46="","",IF(COUNTIF(Q$12:Q45,Q46)=0,R45+1,R45))</f>
        <v>3</v>
      </c>
      <c r="S46" s="73">
        <f t="shared" si="63"/>
        <v>110</v>
      </c>
      <c r="T46" s="73">
        <f t="shared" si="1"/>
        <v>19</v>
      </c>
      <c r="U46" s="66" t="str">
        <f t="shared" si="2"/>
        <v>M21B – M16</v>
      </c>
      <c r="V46" s="47" t="s">
        <v>0</v>
      </c>
      <c r="W46" s="222" t="str">
        <f t="shared" si="3"/>
        <v>M16</v>
      </c>
      <c r="X46" s="223">
        <f t="shared" si="4"/>
        <v>25</v>
      </c>
      <c r="Y46" s="47" t="s">
        <v>0</v>
      </c>
      <c r="Z46" s="52" t="str">
        <f t="shared" si="64"/>
        <v>CRO</v>
      </c>
      <c r="AA46" s="73">
        <f t="shared" si="5"/>
        <v>1</v>
      </c>
      <c r="AB46" s="31" t="str">
        <f t="shared" si="65"/>
        <v/>
      </c>
      <c r="AC46" s="66" t="str">
        <f>IF(AB46="","",MAX(AC$12:AC45)+1)</f>
        <v/>
      </c>
      <c r="AD46" s="47" t="s">
        <v>0</v>
      </c>
      <c r="AE46" s="125"/>
      <c r="AF46" s="47" t="s">
        <v>0</v>
      </c>
      <c r="AG46" s="19" t="str">
        <f t="shared" si="66"/>
        <v/>
      </c>
      <c r="AH46" s="47" t="s">
        <v>0</v>
      </c>
      <c r="AI46" s="143" t="str">
        <f t="shared" si="67"/>
        <v>CRO</v>
      </c>
      <c r="AJ46" s="47"/>
      <c r="AK46" s="52" t="str">
        <f t="shared" si="68"/>
        <v>Kaan</v>
      </c>
      <c r="AL46" s="31" t="str">
        <f t="shared" si="69"/>
        <v>Yelen</v>
      </c>
      <c r="AM46" s="73">
        <f t="shared" si="70"/>
        <v>1911</v>
      </c>
      <c r="AN46" s="73" t="str">
        <f t="shared" si="71"/>
        <v/>
      </c>
      <c r="AO46" s="31" t="str">
        <f t="shared" si="8"/>
        <v>Kaan</v>
      </c>
      <c r="AP46" s="66" t="str">
        <f t="shared" si="9"/>
        <v>Yelen</v>
      </c>
      <c r="AQ46" s="47" t="s">
        <v>0</v>
      </c>
      <c r="AR46" s="82" t="str">
        <f t="shared" si="72"/>
        <v/>
      </c>
      <c r="AS46" s="47" t="s">
        <v>0</v>
      </c>
      <c r="AT46" s="19" t="str">
        <f t="shared" si="73"/>
        <v/>
      </c>
      <c r="AU46" s="47" t="s">
        <v>0</v>
      </c>
      <c r="AV46" s="103"/>
      <c r="AW46" s="105"/>
      <c r="AX46" s="47" t="s">
        <v>0</v>
      </c>
      <c r="AY46" s="259" t="str">
        <f t="shared" si="102"/>
        <v/>
      </c>
      <c r="AZ46" s="47" t="s">
        <v>0</v>
      </c>
      <c r="BA46" s="52" t="str">
        <f t="shared" si="11"/>
        <v/>
      </c>
      <c r="BB46" s="73" t="str">
        <f>IF(AV46&amp;AW46="","",MAX(BB$12:BB45)+1)</f>
        <v/>
      </c>
      <c r="BC46" s="272" t="str">
        <f t="shared" si="12"/>
        <v/>
      </c>
      <c r="BD46" s="53" t="str">
        <f>IF(AND(AM46="NEMA",AN46="NEMA",OR(AV46&amp;AW46="",BC46="NEMA")),MAX(BD$12:BD45)+1,"")</f>
        <v/>
      </c>
      <c r="BE46" s="47" t="s">
        <v>0</v>
      </c>
      <c r="BF46" s="52" t="str">
        <f t="shared" si="74"/>
        <v>Kaan</v>
      </c>
      <c r="BG46" s="66" t="str">
        <f t="shared" si="75"/>
        <v>Yelen</v>
      </c>
      <c r="BH46" s="47" t="s">
        <v>0</v>
      </c>
      <c r="BI46" s="52" t="str">
        <f t="shared" si="15"/>
        <v>Vihor</v>
      </c>
      <c r="BJ46" s="31" t="str">
        <f t="shared" si="16"/>
        <v>OK Vihor</v>
      </c>
      <c r="BK46" s="73" t="str">
        <f t="shared" si="17"/>
        <v/>
      </c>
      <c r="BL46" s="31" t="str" cm="1">
        <f t="array" ref="BL46">IF(BK46="",""&amp;BJ46,IF(BK46="NEMA",BJ46,INDEX(regKlub_naziv,MATCH(INDEX(regKlub_alias_klubId,BK46),regKlub_id,0))))</f>
        <v>OK Vihor</v>
      </c>
      <c r="BM46" s="31" t="str" cm="1">
        <f t="array" ref="BM46">IFERROR(""&amp;INDEX(regNatjecatelj_klub,DV46),"")</f>
        <v>OK Vihor</v>
      </c>
      <c r="BN46" s="73" t="str">
        <f t="shared" si="76"/>
        <v/>
      </c>
      <c r="BO46" s="66" t="str">
        <f t="shared" si="77"/>
        <v>OK Vihor</v>
      </c>
      <c r="BP46" s="47" t="s">
        <v>0</v>
      </c>
      <c r="BQ46" s="52" t="str">
        <f>IF(X46&lt;&gt;"NEMA","",IF(IFERROR(MATCH(W46,W$12:W45,0),0)&lt;&gt;0,"",W46))</f>
        <v/>
      </c>
      <c r="BR46" s="73" t="str">
        <f t="shared" si="78"/>
        <v/>
      </c>
      <c r="BS46" s="31" t="str">
        <f>IF(OR(BR46="",BR46&lt;&gt;"NEMA"),"",MAX(BS$12:BS45)+1)</f>
        <v/>
      </c>
      <c r="BT46" s="66" t="str">
        <f t="shared" si="79"/>
        <v/>
      </c>
      <c r="BU46" s="47" t="s">
        <v>0</v>
      </c>
      <c r="BV46" s="19" t="str">
        <f t="shared" si="80"/>
        <v/>
      </c>
      <c r="BW46" s="47" t="s">
        <v>0</v>
      </c>
      <c r="BX46" s="82" t="str">
        <f>IF(BK46&lt;&gt;"NEMA","",IF(IFERROR(MATCH(BJ46,BJ$12:BJ45,0),0)&lt;&gt;0,"",BJ46))</f>
        <v/>
      </c>
      <c r="BY46" s="47" t="s">
        <v>0</v>
      </c>
      <c r="BZ46" s="125"/>
      <c r="CA46" s="47" t="s">
        <v>0</v>
      </c>
      <c r="CB46" s="58" t="str">
        <f t="shared" si="81"/>
        <v/>
      </c>
      <c r="CC46" s="31" t="str">
        <f t="shared" si="82"/>
        <v/>
      </c>
      <c r="CD46" s="31" t="str">
        <f>IF(CC46="","",MAX(CD$12:CD45)+1)</f>
        <v/>
      </c>
      <c r="CE46" s="31" t="str">
        <f t="shared" si="22"/>
        <v/>
      </c>
      <c r="CF46" s="31" t="str">
        <f t="shared" si="83"/>
        <v/>
      </c>
      <c r="CG46" s="31" t="str">
        <f>IF(BZ46="","",MAX(CG$12:CG45)+1)</f>
        <v/>
      </c>
      <c r="CH46" s="31" t="str">
        <f t="shared" si="84"/>
        <v/>
      </c>
      <c r="CI46" s="66" t="str">
        <f t="shared" si="85"/>
        <v/>
      </c>
      <c r="CJ46" s="47" t="s">
        <v>0</v>
      </c>
      <c r="CK46" s="73" t="str">
        <f t="shared" si="25"/>
        <v/>
      </c>
      <c r="CL46" s="47"/>
      <c r="CM46" s="19" t="str">
        <f t="shared" si="86"/>
        <v/>
      </c>
      <c r="CN46" s="47" t="s">
        <v>0</v>
      </c>
      <c r="CO46" s="143" t="str">
        <f t="shared" si="87"/>
        <v>OK Vihor</v>
      </c>
      <c r="CP46" s="47" t="s">
        <v>0</v>
      </c>
      <c r="CQ46" s="58" t="str">
        <f t="shared" si="109"/>
        <v>115:18</v>
      </c>
      <c r="CR46" s="73" t="str">
        <f t="shared" si="110"/>
        <v>3</v>
      </c>
      <c r="CS46" s="229" t="str">
        <f t="shared" si="30"/>
        <v/>
      </c>
      <c r="CT46" s="230">
        <f t="shared" si="31"/>
        <v>6918</v>
      </c>
      <c r="CU46" s="163">
        <f t="shared" si="32"/>
        <v>3</v>
      </c>
      <c r="CV46" s="47" t="s">
        <v>0</v>
      </c>
      <c r="CW46" s="222" t="str">
        <f t="shared" si="89"/>
        <v xml:space="preserve">
</v>
      </c>
      <c r="CX46" s="223">
        <f t="shared" si="90"/>
        <v>3</v>
      </c>
      <c r="CY46" s="47" t="s">
        <v>0</v>
      </c>
      <c r="CZ46" s="47"/>
      <c r="DA46" s="47"/>
      <c r="DB46" s="47"/>
      <c r="DC46" s="47" t="s">
        <v>0</v>
      </c>
      <c r="DD46" s="53" t="str">
        <f t="shared" si="103"/>
        <v/>
      </c>
      <c r="DE46" t="s">
        <v>0</v>
      </c>
      <c r="DF46" s="128" t="str">
        <f t="shared" si="104"/>
        <v>M</v>
      </c>
      <c r="DG46" t="s">
        <v>0</v>
      </c>
      <c r="DH46" s="52" t="str">
        <f t="shared" si="105"/>
        <v/>
      </c>
      <c r="DI46" s="66" t="str">
        <f t="shared" si="106"/>
        <v/>
      </c>
      <c r="DJ46" t="s">
        <v>0</v>
      </c>
      <c r="DK46" s="19" t="str">
        <f t="shared" si="107"/>
        <v/>
      </c>
      <c r="DL46" s="47" t="s">
        <v>0</v>
      </c>
      <c r="DM46" s="19" t="str">
        <f t="shared" si="108"/>
        <v/>
      </c>
      <c r="DN46" s="47" t="s">
        <v>0</v>
      </c>
      <c r="DO46" s="52" t="str">
        <f t="shared" si="39"/>
        <v>Kaan – Yelen – OK Vihor – M16</v>
      </c>
      <c r="DP46" s="53">
        <f t="shared" si="40"/>
        <v>945</v>
      </c>
      <c r="DQ46" s="47" t="s">
        <v>0</v>
      </c>
      <c r="DR46" s="52" t="str">
        <f t="shared" si="41"/>
        <v>Kaan – Yelen – OK Vihor</v>
      </c>
      <c r="DS46" s="53">
        <f t="shared" si="42"/>
        <v>945</v>
      </c>
      <c r="DT46" s="47" t="s">
        <v>0</v>
      </c>
      <c r="DU46" s="52" t="str">
        <f t="shared" si="43"/>
        <v>Kaan – Yelen</v>
      </c>
      <c r="DV46" s="53">
        <f t="shared" si="44"/>
        <v>945</v>
      </c>
      <c r="DW46" s="47" t="s">
        <v>0</v>
      </c>
      <c r="DX46" s="58">
        <f t="shared" si="91"/>
        <v>945</v>
      </c>
      <c r="DY46" s="53" cm="1">
        <f t="array" ref="DY46">IF(DX46&lt;&gt;"",INDEX(regNatjecatelj_id,DX46,0),IF(BD46&lt;&gt;"",BD46,""))</f>
        <v>1911</v>
      </c>
      <c r="DZ46" s="47" t="s">
        <v>0</v>
      </c>
      <c r="EA46" s="58" t="str">
        <f t="shared" si="45"/>
        <v>imepre</v>
      </c>
      <c r="EB46" s="73" t="str">
        <f t="shared" si="46"/>
        <v>klu</v>
      </c>
      <c r="EC46" s="73" t="str">
        <f t="shared" si="47"/>
        <v>kat</v>
      </c>
      <c r="ED46" s="73" t="str">
        <f t="shared" si="48"/>
        <v/>
      </c>
      <c r="EE46" s="66" t="str">
        <f t="shared" si="49"/>
        <v>imepre-klu-kat</v>
      </c>
      <c r="EF46" s="47" t="s">
        <v>0</v>
      </c>
      <c r="EG46" s="58">
        <f>IF(AL46="","",MAX(EG$12:EG45)+1)</f>
        <v>221</v>
      </c>
      <c r="EH46" s="73">
        <f t="shared" si="50"/>
        <v>25</v>
      </c>
      <c r="EI46" s="73">
        <f t="shared" si="92"/>
        <v>1911</v>
      </c>
      <c r="EJ46" s="73">
        <f t="shared" si="51"/>
        <v>6918</v>
      </c>
      <c r="EK46" s="73">
        <f t="shared" si="52"/>
        <v>3</v>
      </c>
      <c r="EL46" s="73">
        <f t="shared" si="93"/>
        <v>1</v>
      </c>
      <c r="EM46" s="73">
        <f t="shared" si="94"/>
        <v>1</v>
      </c>
      <c r="EN46" s="73" t="str">
        <f t="shared" si="55"/>
        <v>3</v>
      </c>
      <c r="EO46" s="73" t="str">
        <f t="shared" si="56"/>
        <v/>
      </c>
      <c r="EP46" s="73" t="str">
        <f t="shared" si="57"/>
        <v/>
      </c>
      <c r="EQ46" s="53" t="str">
        <f t="shared" si="58"/>
        <v/>
      </c>
      <c r="ER46" s="47" t="s">
        <v>0</v>
      </c>
      <c r="ES46" s="19" t="str">
        <f t="shared" si="95"/>
        <v>INSERT INTO rezultat(id,stazakategorija_id,imeprezime_id,vrijeme_sec,status_id,registracija,uparivanje_id,originalstatus_id,imeprezimealias_id,klubalias_id,kategorijaalias_id) VALUES (221,25,1911,6918,3,1,1,3,Null,Null,Null);</v>
      </c>
      <c r="ET46" s="47" t="s">
        <v>0</v>
      </c>
      <c r="EU46" s="19" t="str">
        <f t="shared" si="96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6" s="47" t="s">
        <v>0</v>
      </c>
      <c r="EW46" s="180" t="str">
        <f t="shared" si="60"/>
        <v xml:space="preserve">
INSERT INTO rezultat(id,stazakategorija_id,imeprezime_id,vrijeme_sec,status_id,registracija,uparivanje_id,originalstatus_id,imeprezimealias_id,klubalias_id,kategorijaalias_id) VALUES (221,25,1911,6918,3,1,1,3,Null,Null,Null);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6" s="47" t="s">
        <v>0</v>
      </c>
    </row>
    <row r="47" spans="1:154" x14ac:dyDescent="0.25">
      <c r="A47" t="s">
        <v>0</v>
      </c>
      <c r="B47" s="52" t="str">
        <f>IF(csv!F37="","",csv!T37)</f>
        <v>M16</v>
      </c>
      <c r="C47" s="31" t="s">
        <v>0</v>
      </c>
      <c r="D47" s="31" t="str">
        <f>IF(csv!F37="","",csv!F37)</f>
        <v>Vacant</v>
      </c>
      <c r="E47" s="31" t="str">
        <f>IF(csv!E37="","",csv!E37)</f>
        <v/>
      </c>
      <c r="F47" s="31" t="s">
        <v>0</v>
      </c>
      <c r="G47" s="73" t="str">
        <f>IF(csv!M37="","",csv!M37)</f>
        <v/>
      </c>
      <c r="H47" s="73" t="str">
        <f>IF(csv!N37="","",csv!N37)</f>
        <v>0</v>
      </c>
      <c r="I47" s="31" t="s">
        <v>0</v>
      </c>
      <c r="J47" s="31" t="str">
        <f>IF(csv!P37="","",csv!P37)</f>
        <v/>
      </c>
      <c r="K47" s="31" t="str">
        <f>IF(csv!Q37="","",csv!Q37)</f>
        <v/>
      </c>
      <c r="L47" s="31" t="s">
        <v>0</v>
      </c>
      <c r="M47" s="66" t="str">
        <f>IF(csv!R37="","",csv!R37)</f>
        <v/>
      </c>
      <c r="N47" s="47" t="s">
        <v>0</v>
      </c>
      <c r="O47" s="246" t="str">
        <f t="shared" si="61"/>
        <v/>
      </c>
      <c r="P47" s="47"/>
      <c r="Q47" s="52" t="str">
        <f t="shared" si="62"/>
        <v>M16</v>
      </c>
      <c r="R47" s="73">
        <f>IF(Q47="","",IF(COUNTIF(Q$12:Q46,Q47)=0,R46+1,R46))</f>
        <v>3</v>
      </c>
      <c r="S47" s="73">
        <f t="shared" si="63"/>
        <v>110</v>
      </c>
      <c r="T47" s="73">
        <f t="shared" si="1"/>
        <v>19</v>
      </c>
      <c r="U47" s="66" t="str">
        <f t="shared" si="2"/>
        <v>M21B – M16</v>
      </c>
      <c r="V47" s="47" t="s">
        <v>0</v>
      </c>
      <c r="W47" s="222" t="str">
        <f t="shared" si="3"/>
        <v/>
      </c>
      <c r="X47" s="223" t="str">
        <f t="shared" si="4"/>
        <v/>
      </c>
      <c r="Y47" s="47" t="s">
        <v>0</v>
      </c>
      <c r="Z47" s="52" t="str">
        <f t="shared" si="64"/>
        <v/>
      </c>
      <c r="AA47" s="73" t="str">
        <f t="shared" si="5"/>
        <v/>
      </c>
      <c r="AB47" s="31" t="str">
        <f t="shared" si="65"/>
        <v/>
      </c>
      <c r="AC47" s="66" t="str">
        <f>IF(AB47="","",MAX(AC$12:AC46)+1)</f>
        <v/>
      </c>
      <c r="AD47" s="47" t="s">
        <v>0</v>
      </c>
      <c r="AE47" s="125"/>
      <c r="AF47" s="47" t="s">
        <v>0</v>
      </c>
      <c r="AG47" s="19" t="str">
        <f t="shared" si="66"/>
        <v/>
      </c>
      <c r="AH47" s="47" t="s">
        <v>0</v>
      </c>
      <c r="AI47" s="143" t="str">
        <f t="shared" si="67"/>
        <v/>
      </c>
      <c r="AJ47" s="47"/>
      <c r="AK47" s="52" t="str">
        <f t="shared" si="68"/>
        <v/>
      </c>
      <c r="AL47" s="31" t="str">
        <f t="shared" si="69"/>
        <v/>
      </c>
      <c r="AM47" s="73" t="str">
        <f t="shared" si="70"/>
        <v/>
      </c>
      <c r="AN47" s="73" t="str">
        <f t="shared" si="71"/>
        <v/>
      </c>
      <c r="AO47" s="31" t="str">
        <f t="shared" si="8"/>
        <v/>
      </c>
      <c r="AP47" s="66" t="str">
        <f t="shared" si="9"/>
        <v/>
      </c>
      <c r="AQ47" s="47" t="s">
        <v>0</v>
      </c>
      <c r="AR47" s="82" t="str">
        <f t="shared" si="72"/>
        <v/>
      </c>
      <c r="AS47" s="47" t="s">
        <v>0</v>
      </c>
      <c r="AT47" s="19" t="str">
        <f t="shared" si="73"/>
        <v/>
      </c>
      <c r="AU47" s="47" t="s">
        <v>0</v>
      </c>
      <c r="AV47" s="103"/>
      <c r="AW47" s="105"/>
      <c r="AX47" s="47" t="s">
        <v>0</v>
      </c>
      <c r="AY47" s="259" t="str">
        <f t="shared" si="102"/>
        <v/>
      </c>
      <c r="AZ47" s="47" t="s">
        <v>0</v>
      </c>
      <c r="BA47" s="52" t="str">
        <f t="shared" si="11"/>
        <v/>
      </c>
      <c r="BB47" s="73" t="str">
        <f>IF(AV47&amp;AW47="","",MAX(BB$12:BB46)+1)</f>
        <v/>
      </c>
      <c r="BC47" s="272" t="str">
        <f t="shared" si="12"/>
        <v/>
      </c>
      <c r="BD47" s="53" t="str">
        <f>IF(AND(AM47="NEMA",AN47="NEMA",OR(AV47&amp;AW47="",BC47="NEMA")),MAX(BD$12:BD46)+1,"")</f>
        <v/>
      </c>
      <c r="BE47" s="47" t="s">
        <v>0</v>
      </c>
      <c r="BF47" s="52" t="str">
        <f t="shared" si="74"/>
        <v/>
      </c>
      <c r="BG47" s="66" t="str">
        <f t="shared" si="75"/>
        <v/>
      </c>
      <c r="BH47" s="47" t="s">
        <v>0</v>
      </c>
      <c r="BI47" s="52" t="str">
        <f t="shared" si="15"/>
        <v/>
      </c>
      <c r="BJ47" s="31" t="str">
        <f t="shared" si="16"/>
        <v/>
      </c>
      <c r="BK47" s="73" t="str">
        <f t="shared" si="17"/>
        <v/>
      </c>
      <c r="BL47" s="31" t="str" cm="1">
        <f t="array" ref="BL47">IF(BK47="",""&amp;BJ47,IF(BK47="NEMA",BJ47,INDEX(regKlub_naziv,MATCH(INDEX(regKlub_alias_klubId,BK47),regKlub_id,0))))</f>
        <v/>
      </c>
      <c r="BM47" s="31" t="str" cm="1">
        <f t="array" ref="BM47">IFERROR(""&amp;INDEX(regNatjecatelj_klub,DV47),"")</f>
        <v/>
      </c>
      <c r="BN47" s="73" t="str">
        <f t="shared" si="76"/>
        <v/>
      </c>
      <c r="BO47" s="66" t="str">
        <f t="shared" si="77"/>
        <v/>
      </c>
      <c r="BP47" s="47" t="s">
        <v>0</v>
      </c>
      <c r="BQ47" s="52" t="str">
        <f>IF(X47&lt;&gt;"NEMA","",IF(IFERROR(MATCH(W47,W$12:W46,0),0)&lt;&gt;0,"",W47))</f>
        <v/>
      </c>
      <c r="BR47" s="73" t="str">
        <f t="shared" si="78"/>
        <v/>
      </c>
      <c r="BS47" s="31" t="str">
        <f>IF(OR(BR47="",BR47&lt;&gt;"NEMA"),"",MAX(BS$12:BS46)+1)</f>
        <v/>
      </c>
      <c r="BT47" s="66" t="str">
        <f t="shared" si="79"/>
        <v/>
      </c>
      <c r="BU47" s="47" t="s">
        <v>0</v>
      </c>
      <c r="BV47" s="19" t="str">
        <f t="shared" si="80"/>
        <v/>
      </c>
      <c r="BW47" s="47" t="s">
        <v>0</v>
      </c>
      <c r="BX47" s="82" t="str">
        <f>IF(BK47&lt;&gt;"NEMA","",IF(IFERROR(MATCH(BJ47,BJ$12:BJ46,0),0)&lt;&gt;0,"",BJ47))</f>
        <v/>
      </c>
      <c r="BY47" s="47" t="s">
        <v>0</v>
      </c>
      <c r="BZ47" s="125"/>
      <c r="CA47" s="47" t="s">
        <v>0</v>
      </c>
      <c r="CB47" s="58" t="str">
        <f t="shared" si="81"/>
        <v/>
      </c>
      <c r="CC47" s="31" t="str">
        <f t="shared" si="82"/>
        <v/>
      </c>
      <c r="CD47" s="31" t="str">
        <f>IF(CC47="","",MAX(CD$12:CD46)+1)</f>
        <v/>
      </c>
      <c r="CE47" s="31" t="str">
        <f t="shared" si="22"/>
        <v/>
      </c>
      <c r="CF47" s="31" t="str">
        <f t="shared" si="83"/>
        <v/>
      </c>
      <c r="CG47" s="31" t="str">
        <f>IF(BZ47="","",MAX(CG$12:CG46)+1)</f>
        <v/>
      </c>
      <c r="CH47" s="31" t="str">
        <f t="shared" si="84"/>
        <v/>
      </c>
      <c r="CI47" s="66" t="str">
        <f t="shared" si="85"/>
        <v/>
      </c>
      <c r="CJ47" s="47" t="s">
        <v>0</v>
      </c>
      <c r="CK47" s="73" t="str">
        <f t="shared" si="25"/>
        <v/>
      </c>
      <c r="CL47" s="47"/>
      <c r="CM47" s="19" t="str">
        <f t="shared" si="86"/>
        <v/>
      </c>
      <c r="CN47" s="47" t="s">
        <v>0</v>
      </c>
      <c r="CO47" s="143" t="str">
        <f t="shared" si="87"/>
        <v/>
      </c>
      <c r="CP47" s="47" t="s">
        <v>0</v>
      </c>
      <c r="CQ47" s="58" t="str">
        <f t="shared" si="109"/>
        <v/>
      </c>
      <c r="CR47" s="73" t="str">
        <f t="shared" si="110"/>
        <v>0</v>
      </c>
      <c r="CS47" s="229" t="str">
        <f t="shared" si="30"/>
        <v/>
      </c>
      <c r="CT47" s="230" t="str">
        <f t="shared" si="31"/>
        <v/>
      </c>
      <c r="CU47" s="163" t="str">
        <f t="shared" si="32"/>
        <v/>
      </c>
      <c r="CV47" s="47" t="s">
        <v>0</v>
      </c>
      <c r="CW47" s="222" t="str">
        <f t="shared" si="89"/>
        <v xml:space="preserve">
</v>
      </c>
      <c r="CX47" s="223" t="str">
        <f t="shared" si="90"/>
        <v/>
      </c>
      <c r="CY47" s="47" t="s">
        <v>0</v>
      </c>
      <c r="CZ47" s="47"/>
      <c r="DA47" s="47"/>
      <c r="DB47" s="47"/>
      <c r="DC47" s="47" t="s">
        <v>0</v>
      </c>
      <c r="DD47" s="53" t="str">
        <f t="shared" si="103"/>
        <v/>
      </c>
      <c r="DE47" t="s">
        <v>0</v>
      </c>
      <c r="DF47" s="128" t="str">
        <f t="shared" si="104"/>
        <v>M</v>
      </c>
      <c r="DG47" t="s">
        <v>0</v>
      </c>
      <c r="DH47" s="52" t="str">
        <f t="shared" si="105"/>
        <v/>
      </c>
      <c r="DI47" s="66" t="str">
        <f t="shared" si="106"/>
        <v/>
      </c>
      <c r="DJ47" t="s">
        <v>0</v>
      </c>
      <c r="DK47" s="19" t="str">
        <f t="shared" si="107"/>
        <v/>
      </c>
      <c r="DL47" s="47" t="s">
        <v>0</v>
      </c>
      <c r="DM47" s="19" t="str">
        <f t="shared" si="108"/>
        <v/>
      </c>
      <c r="DN47" s="47" t="s">
        <v>0</v>
      </c>
      <c r="DO47" s="52" t="str">
        <f t="shared" si="39"/>
        <v/>
      </c>
      <c r="DP47" s="53" t="str">
        <f t="shared" si="40"/>
        <v/>
      </c>
      <c r="DQ47" s="47" t="s">
        <v>0</v>
      </c>
      <c r="DR47" s="52" t="str">
        <f t="shared" si="41"/>
        <v/>
      </c>
      <c r="DS47" s="53" t="str">
        <f t="shared" si="42"/>
        <v/>
      </c>
      <c r="DT47" s="47" t="s">
        <v>0</v>
      </c>
      <c r="DU47" s="52" t="str">
        <f t="shared" si="43"/>
        <v/>
      </c>
      <c r="DV47" s="53" t="str">
        <f t="shared" si="44"/>
        <v/>
      </c>
      <c r="DW47" s="47" t="s">
        <v>0</v>
      </c>
      <c r="DX47" s="58" t="str">
        <f t="shared" si="91"/>
        <v/>
      </c>
      <c r="DY47" s="53" t="str" cm="1">
        <f t="array" ref="DY47">IF(DX47&lt;&gt;"",INDEX(regNatjecatelj_id,DX47,0),IF(BD47&lt;&gt;"",BD47,""))</f>
        <v/>
      </c>
      <c r="DZ47" s="47" t="s">
        <v>0</v>
      </c>
      <c r="EA47" s="58" t="str">
        <f t="shared" si="45"/>
        <v/>
      </c>
      <c r="EB47" s="73" t="str">
        <f t="shared" si="46"/>
        <v/>
      </c>
      <c r="EC47" s="73" t="str">
        <f t="shared" si="47"/>
        <v/>
      </c>
      <c r="ED47" s="73" t="str">
        <f t="shared" si="48"/>
        <v/>
      </c>
      <c r="EE47" s="66" t="str">
        <f t="shared" si="49"/>
        <v/>
      </c>
      <c r="EF47" s="47" t="s">
        <v>0</v>
      </c>
      <c r="EG47" s="58" t="str">
        <f>IF(AL47="","",MAX(EG$12:EG46)+1)</f>
        <v/>
      </c>
      <c r="EH47" s="73" t="str">
        <f t="shared" si="50"/>
        <v/>
      </c>
      <c r="EI47" s="73" t="str">
        <f t="shared" si="92"/>
        <v/>
      </c>
      <c r="EJ47" s="73" t="str">
        <f t="shared" si="51"/>
        <v/>
      </c>
      <c r="EK47" s="73" t="str">
        <f t="shared" si="52"/>
        <v/>
      </c>
      <c r="EL47" s="73" t="str">
        <f t="shared" si="93"/>
        <v/>
      </c>
      <c r="EM47" s="73" t="str">
        <f t="shared" si="94"/>
        <v/>
      </c>
      <c r="EN47" s="73" t="str">
        <f t="shared" si="55"/>
        <v/>
      </c>
      <c r="EO47" s="73" t="str">
        <f t="shared" si="56"/>
        <v/>
      </c>
      <c r="EP47" s="73" t="str">
        <f t="shared" si="57"/>
        <v/>
      </c>
      <c r="EQ47" s="53" t="str">
        <f t="shared" si="58"/>
        <v/>
      </c>
      <c r="ER47" s="47" t="s">
        <v>0</v>
      </c>
      <c r="ES47" s="19" t="str">
        <f t="shared" si="95"/>
        <v/>
      </c>
      <c r="ET47" s="47" t="s">
        <v>0</v>
      </c>
      <c r="EU47" s="19" t="str">
        <f t="shared" si="96"/>
        <v/>
      </c>
      <c r="EV47" s="47" t="s">
        <v>0</v>
      </c>
      <c r="EW47" s="180" t="str">
        <f t="shared" si="60"/>
        <v/>
      </c>
      <c r="EX47" s="47" t="s">
        <v>0</v>
      </c>
    </row>
    <row r="48" spans="1:154" x14ac:dyDescent="0.25">
      <c r="A48" t="s">
        <v>0</v>
      </c>
      <c r="B48" s="52" t="str">
        <f>IF(csv!F38="","",csv!T38)</f>
        <v>M20</v>
      </c>
      <c r="C48" s="31" t="s">
        <v>0</v>
      </c>
      <c r="D48" s="31" t="str">
        <f>IF(csv!F38="","",csv!F38)</f>
        <v>Jan</v>
      </c>
      <c r="E48" s="31" t="str">
        <f>IF(csv!E38="","",csv!E38)</f>
        <v>Gobec</v>
      </c>
      <c r="F48" s="31" t="s">
        <v>0</v>
      </c>
      <c r="G48" s="73" t="str">
        <f>IF(csv!M38="","",csv!M38)</f>
        <v>51:38</v>
      </c>
      <c r="H48" s="73" t="str">
        <f>IF(csv!N38="","",csv!N38)</f>
        <v>0</v>
      </c>
      <c r="I48" s="31" t="s">
        <v>0</v>
      </c>
      <c r="J48" s="31" t="str">
        <f>IF(csv!P38="","",csv!P38)</f>
        <v>Vihor</v>
      </c>
      <c r="K48" s="31" t="str">
        <f>IF(csv!Q38="","",csv!Q38)</f>
        <v>OK Vihor</v>
      </c>
      <c r="L48" s="31" t="s">
        <v>0</v>
      </c>
      <c r="M48" s="66" t="str">
        <f>IF(csv!R38="","",csv!R38)</f>
        <v>CRO</v>
      </c>
      <c r="N48" s="47" t="s">
        <v>0</v>
      </c>
      <c r="O48" s="246" t="str">
        <f t="shared" si="61"/>
        <v>ok</v>
      </c>
      <c r="P48" s="47"/>
      <c r="Q48" s="52" t="str">
        <f t="shared" si="62"/>
        <v>M20</v>
      </c>
      <c r="R48" s="73">
        <f>IF(Q48="","",IF(COUNTIF(Q$12:Q47,Q48)=0,R47+1,R47))</f>
        <v>4</v>
      </c>
      <c r="S48" s="73">
        <f t="shared" si="63"/>
        <v>109</v>
      </c>
      <c r="T48" s="73">
        <f t="shared" si="1"/>
        <v>20</v>
      </c>
      <c r="U48" s="66" t="str">
        <f t="shared" si="2"/>
        <v>M20</v>
      </c>
      <c r="V48" s="47" t="s">
        <v>0</v>
      </c>
      <c r="W48" s="222" t="str">
        <f t="shared" si="3"/>
        <v>M20</v>
      </c>
      <c r="X48" s="223">
        <f t="shared" si="4"/>
        <v>26</v>
      </c>
      <c r="Y48" s="47" t="s">
        <v>0</v>
      </c>
      <c r="Z48" s="52" t="str">
        <f t="shared" si="64"/>
        <v>CRO</v>
      </c>
      <c r="AA48" s="73">
        <f t="shared" si="5"/>
        <v>1</v>
      </c>
      <c r="AB48" s="31" t="str">
        <f t="shared" si="65"/>
        <v/>
      </c>
      <c r="AC48" s="66" t="str">
        <f>IF(AB48="","",MAX(AC$12:AC47)+1)</f>
        <v/>
      </c>
      <c r="AD48" s="47" t="s">
        <v>0</v>
      </c>
      <c r="AE48" s="125"/>
      <c r="AF48" s="47" t="s">
        <v>0</v>
      </c>
      <c r="AG48" s="19" t="str">
        <f t="shared" si="66"/>
        <v/>
      </c>
      <c r="AH48" s="47" t="s">
        <v>0</v>
      </c>
      <c r="AI48" s="143" t="str">
        <f t="shared" si="67"/>
        <v>CRO</v>
      </c>
      <c r="AJ48" s="47"/>
      <c r="AK48" s="52" t="str">
        <f t="shared" si="68"/>
        <v>Jan</v>
      </c>
      <c r="AL48" s="31" t="str">
        <f t="shared" si="69"/>
        <v>Gobec</v>
      </c>
      <c r="AM48" s="73">
        <f t="shared" si="70"/>
        <v>1522</v>
      </c>
      <c r="AN48" s="73" t="str">
        <f t="shared" si="71"/>
        <v/>
      </c>
      <c r="AO48" s="31" t="str">
        <f t="shared" si="8"/>
        <v>Jan</v>
      </c>
      <c r="AP48" s="66" t="str">
        <f t="shared" si="9"/>
        <v>Gobec</v>
      </c>
      <c r="AQ48" s="47" t="s">
        <v>0</v>
      </c>
      <c r="AR48" s="82" t="str">
        <f t="shared" si="72"/>
        <v/>
      </c>
      <c r="AS48" s="47" t="s">
        <v>0</v>
      </c>
      <c r="AT48" s="19" t="str">
        <f t="shared" si="73"/>
        <v/>
      </c>
      <c r="AU48" s="47" t="s">
        <v>0</v>
      </c>
      <c r="AV48" s="103"/>
      <c r="AW48" s="105"/>
      <c r="AX48" s="47" t="s">
        <v>0</v>
      </c>
      <c r="AY48" s="259" t="str">
        <f t="shared" si="102"/>
        <v/>
      </c>
      <c r="AZ48" s="47" t="s">
        <v>0</v>
      </c>
      <c r="BA48" s="52" t="str">
        <f t="shared" si="11"/>
        <v/>
      </c>
      <c r="BB48" s="73" t="str">
        <f>IF(AV48&amp;AW48="","",MAX(BB$12:BB47)+1)</f>
        <v/>
      </c>
      <c r="BC48" s="272" t="str">
        <f t="shared" si="12"/>
        <v/>
      </c>
      <c r="BD48" s="53" t="str">
        <f>IF(AND(AM48="NEMA",AN48="NEMA",OR(AV48&amp;AW48="",BC48="NEMA")),MAX(BD$12:BD47)+1,"")</f>
        <v/>
      </c>
      <c r="BE48" s="47" t="s">
        <v>0</v>
      </c>
      <c r="BF48" s="52" t="str">
        <f t="shared" si="74"/>
        <v>Jan</v>
      </c>
      <c r="BG48" s="66" t="str">
        <f t="shared" si="75"/>
        <v>Gobec</v>
      </c>
      <c r="BH48" s="47" t="s">
        <v>0</v>
      </c>
      <c r="BI48" s="52" t="str">
        <f t="shared" si="15"/>
        <v>Vihor</v>
      </c>
      <c r="BJ48" s="31" t="str">
        <f t="shared" si="16"/>
        <v>OK Vihor</v>
      </c>
      <c r="BK48" s="73" t="str">
        <f t="shared" si="17"/>
        <v/>
      </c>
      <c r="BL48" s="31" t="str" cm="1">
        <f t="array" ref="BL48">IF(BK48="",""&amp;BJ48,IF(BK48="NEMA",BJ48,INDEX(regKlub_naziv,MATCH(INDEX(regKlub_alias_klubId,BK48),regKlub_id,0))))</f>
        <v>OK Vihor</v>
      </c>
      <c r="BM48" s="31" t="str" cm="1">
        <f t="array" ref="BM48">IFERROR(""&amp;INDEX(regNatjecatelj_klub,DV48),"")</f>
        <v>OK Vihor</v>
      </c>
      <c r="BN48" s="73" t="str">
        <f t="shared" si="76"/>
        <v/>
      </c>
      <c r="BO48" s="66" t="str">
        <f t="shared" si="77"/>
        <v>OK Vihor</v>
      </c>
      <c r="BP48" s="47" t="s">
        <v>0</v>
      </c>
      <c r="BQ48" s="52" t="str">
        <f>IF(X48&lt;&gt;"NEMA","",IF(IFERROR(MATCH(W48,W$12:W47,0),0)&lt;&gt;0,"",W48))</f>
        <v/>
      </c>
      <c r="BR48" s="73" t="str">
        <f t="shared" si="78"/>
        <v/>
      </c>
      <c r="BS48" s="31" t="str">
        <f>IF(OR(BR48="",BR48&lt;&gt;"NEMA"),"",MAX(BS$12:BS47)+1)</f>
        <v/>
      </c>
      <c r="BT48" s="66" t="str">
        <f t="shared" si="79"/>
        <v/>
      </c>
      <c r="BU48" s="47" t="s">
        <v>0</v>
      </c>
      <c r="BV48" s="19" t="str">
        <f t="shared" si="80"/>
        <v/>
      </c>
      <c r="BW48" s="47" t="s">
        <v>0</v>
      </c>
      <c r="BX48" s="82" t="str">
        <f>IF(BK48&lt;&gt;"NEMA","",IF(IFERROR(MATCH(BJ48,BJ$12:BJ47,0),0)&lt;&gt;0,"",BJ48))</f>
        <v/>
      </c>
      <c r="BY48" s="47" t="s">
        <v>0</v>
      </c>
      <c r="BZ48" s="125"/>
      <c r="CA48" s="47" t="s">
        <v>0</v>
      </c>
      <c r="CB48" s="58" t="str">
        <f t="shared" si="81"/>
        <v/>
      </c>
      <c r="CC48" s="31" t="str">
        <f t="shared" si="82"/>
        <v/>
      </c>
      <c r="CD48" s="31" t="str">
        <f>IF(CC48="","",MAX(CD$12:CD47)+1)</f>
        <v/>
      </c>
      <c r="CE48" s="31" t="str">
        <f t="shared" si="22"/>
        <v/>
      </c>
      <c r="CF48" s="31" t="str">
        <f t="shared" si="83"/>
        <v/>
      </c>
      <c r="CG48" s="31" t="str">
        <f>IF(BZ48="","",MAX(CG$12:CG47)+1)</f>
        <v/>
      </c>
      <c r="CH48" s="31" t="str">
        <f t="shared" si="84"/>
        <v/>
      </c>
      <c r="CI48" s="66" t="str">
        <f t="shared" si="85"/>
        <v/>
      </c>
      <c r="CJ48" s="47" t="s">
        <v>0</v>
      </c>
      <c r="CK48" s="73" t="str">
        <f t="shared" si="25"/>
        <v/>
      </c>
      <c r="CL48" s="47"/>
      <c r="CM48" s="19" t="str">
        <f t="shared" si="86"/>
        <v/>
      </c>
      <c r="CN48" s="47" t="s">
        <v>0</v>
      </c>
      <c r="CO48" s="143" t="str">
        <f t="shared" si="87"/>
        <v>OK Vihor</v>
      </c>
      <c r="CP48" s="47" t="s">
        <v>0</v>
      </c>
      <c r="CQ48" s="58" t="str">
        <f t="shared" si="109"/>
        <v>51:38</v>
      </c>
      <c r="CR48" s="73" t="str">
        <f t="shared" si="110"/>
        <v>0</v>
      </c>
      <c r="CS48" s="229" t="str">
        <f t="shared" si="30"/>
        <v/>
      </c>
      <c r="CT48" s="230">
        <f t="shared" si="31"/>
        <v>3098</v>
      </c>
      <c r="CU48" s="163">
        <f t="shared" si="32"/>
        <v>1</v>
      </c>
      <c r="CV48" s="47" t="s">
        <v>0</v>
      </c>
      <c r="CW48" s="222" t="str">
        <f t="shared" si="89"/>
        <v xml:space="preserve">
</v>
      </c>
      <c r="CX48" s="223">
        <f t="shared" si="90"/>
        <v>6</v>
      </c>
      <c r="CY48" s="47" t="s">
        <v>0</v>
      </c>
      <c r="CZ48" s="47"/>
      <c r="DA48" s="47"/>
      <c r="DB48" s="47"/>
      <c r="DC48" s="47" t="s">
        <v>0</v>
      </c>
      <c r="DD48" s="53" t="str">
        <f t="shared" si="103"/>
        <v/>
      </c>
      <c r="DE48" t="s">
        <v>0</v>
      </c>
      <c r="DF48" s="128" t="str">
        <f t="shared" si="104"/>
        <v>M</v>
      </c>
      <c r="DG48" t="s">
        <v>0</v>
      </c>
      <c r="DH48" s="52" t="str">
        <f t="shared" si="105"/>
        <v/>
      </c>
      <c r="DI48" s="66" t="str">
        <f t="shared" si="106"/>
        <v/>
      </c>
      <c r="DJ48" t="s">
        <v>0</v>
      </c>
      <c r="DK48" s="19" t="str">
        <f t="shared" si="107"/>
        <v/>
      </c>
      <c r="DL48" s="47" t="s">
        <v>0</v>
      </c>
      <c r="DM48" s="19" t="str">
        <f t="shared" si="108"/>
        <v/>
      </c>
      <c r="DN48" s="47" t="s">
        <v>0</v>
      </c>
      <c r="DO48" s="52" t="str">
        <f t="shared" si="39"/>
        <v>Jan – Gobec – OK Vihor – M20</v>
      </c>
      <c r="DP48" s="53">
        <f t="shared" si="40"/>
        <v>674</v>
      </c>
      <c r="DQ48" s="47" t="s">
        <v>0</v>
      </c>
      <c r="DR48" s="52" t="str">
        <f t="shared" si="41"/>
        <v>Jan – Gobec – OK Vihor</v>
      </c>
      <c r="DS48" s="53">
        <f t="shared" si="42"/>
        <v>674</v>
      </c>
      <c r="DT48" s="47" t="s">
        <v>0</v>
      </c>
      <c r="DU48" s="52" t="str">
        <f t="shared" si="43"/>
        <v>Jan – Gobec</v>
      </c>
      <c r="DV48" s="53">
        <f t="shared" si="44"/>
        <v>674</v>
      </c>
      <c r="DW48" s="47" t="s">
        <v>0</v>
      </c>
      <c r="DX48" s="58">
        <f t="shared" si="91"/>
        <v>674</v>
      </c>
      <c r="DY48" s="53" cm="1">
        <f t="array" ref="DY48">IF(DX48&lt;&gt;"",INDEX(regNatjecatelj_id,DX48,0),IF(BD48&lt;&gt;"",BD48,""))</f>
        <v>1522</v>
      </c>
      <c r="DZ48" s="47" t="s">
        <v>0</v>
      </c>
      <c r="EA48" s="58" t="str">
        <f t="shared" si="45"/>
        <v>imepre</v>
      </c>
      <c r="EB48" s="73" t="str">
        <f t="shared" si="46"/>
        <v>klu</v>
      </c>
      <c r="EC48" s="73" t="str">
        <f t="shared" si="47"/>
        <v>kat</v>
      </c>
      <c r="ED48" s="73" t="str">
        <f t="shared" si="48"/>
        <v/>
      </c>
      <c r="EE48" s="66" t="str">
        <f t="shared" si="49"/>
        <v>imepre-klu-kat</v>
      </c>
      <c r="EF48" s="47" t="s">
        <v>0</v>
      </c>
      <c r="EG48" s="58">
        <f>IF(AL48="","",MAX(EG$12:EG47)+1)</f>
        <v>222</v>
      </c>
      <c r="EH48" s="73">
        <f t="shared" si="50"/>
        <v>26</v>
      </c>
      <c r="EI48" s="73">
        <f t="shared" si="92"/>
        <v>1522</v>
      </c>
      <c r="EJ48" s="73">
        <f t="shared" si="51"/>
        <v>3098</v>
      </c>
      <c r="EK48" s="73">
        <f t="shared" si="52"/>
        <v>1</v>
      </c>
      <c r="EL48" s="73">
        <f t="shared" si="93"/>
        <v>1</v>
      </c>
      <c r="EM48" s="73">
        <f t="shared" si="94"/>
        <v>1</v>
      </c>
      <c r="EN48" s="73" t="str">
        <f t="shared" si="55"/>
        <v>0</v>
      </c>
      <c r="EO48" s="73" t="str">
        <f t="shared" si="56"/>
        <v/>
      </c>
      <c r="EP48" s="73" t="str">
        <f t="shared" si="57"/>
        <v/>
      </c>
      <c r="EQ48" s="53" t="str">
        <f t="shared" si="58"/>
        <v/>
      </c>
      <c r="ER48" s="47" t="s">
        <v>0</v>
      </c>
      <c r="ES48" s="19" t="str">
        <f t="shared" si="95"/>
        <v>INSERT INTO rezultat(id,stazakategorija_id,imeprezime_id,vrijeme_sec,status_id,registracija,uparivanje_id,originalstatus_id,imeprezimealias_id,klubalias_id,kategorijaalias_id) VALUES (222,26,1522,3098,1,1,1,0,Null,Null,Null);</v>
      </c>
      <c r="ET48" s="47" t="s">
        <v>0</v>
      </c>
      <c r="EU48" s="19" t="str">
        <f t="shared" si="96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8" s="47" t="s">
        <v>0</v>
      </c>
      <c r="EW48" s="180" t="str">
        <f t="shared" si="60"/>
        <v xml:space="preserve">
INSERT INTO rezultat(id,stazakategorija_id,imeprezime_id,vrijeme_sec,status_id,registracija,uparivanje_id,originalstatus_id,imeprezimealias_id,klubalias_id,kategorijaalias_id) VALUES (222,26,1522,3098,1,1,1,0,Null,Null,Null);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8" s="47" t="s">
        <v>0</v>
      </c>
    </row>
    <row r="49" spans="1:154" x14ac:dyDescent="0.25">
      <c r="A49" t="s">
        <v>0</v>
      </c>
      <c r="B49" s="52" t="str">
        <f>IF(csv!F39="","",csv!T39)</f>
        <v>M20</v>
      </c>
      <c r="C49" s="31" t="s">
        <v>0</v>
      </c>
      <c r="D49" s="31" t="str">
        <f>IF(csv!F39="","",csv!F39)</f>
        <v>Jura</v>
      </c>
      <c r="E49" s="31" t="str">
        <f>IF(csv!E39="","",csv!E39)</f>
        <v>Kukec</v>
      </c>
      <c r="F49" s="31" t="s">
        <v>0</v>
      </c>
      <c r="G49" s="73" t="str">
        <f>IF(csv!M39="","",csv!M39)</f>
        <v>65:33</v>
      </c>
      <c r="H49" s="73" t="str">
        <f>IF(csv!N39="","",csv!N39)</f>
        <v>0</v>
      </c>
      <c r="I49" s="31" t="s">
        <v>0</v>
      </c>
      <c r="J49" s="31" t="str">
        <f>IF(csv!P39="","",csv!P39)</f>
        <v>Vihor</v>
      </c>
      <c r="K49" s="31" t="str">
        <f>IF(csv!Q39="","",csv!Q39)</f>
        <v>OK Vihor</v>
      </c>
      <c r="L49" s="31" t="s">
        <v>0</v>
      </c>
      <c r="M49" s="66" t="str">
        <f>IF(csv!R39="","",csv!R39)</f>
        <v>CRO</v>
      </c>
      <c r="N49" s="47" t="s">
        <v>0</v>
      </c>
      <c r="O49" s="246" t="str">
        <f t="shared" si="61"/>
        <v>ok</v>
      </c>
      <c r="P49" s="47"/>
      <c r="Q49" s="52" t="str">
        <f t="shared" si="62"/>
        <v>M20</v>
      </c>
      <c r="R49" s="73">
        <f>IF(Q49="","",IF(COUNTIF(Q$12:Q48,Q49)=0,R48+1,R48))</f>
        <v>4</v>
      </c>
      <c r="S49" s="73">
        <f t="shared" si="63"/>
        <v>109</v>
      </c>
      <c r="T49" s="73">
        <f t="shared" si="1"/>
        <v>20</v>
      </c>
      <c r="U49" s="66" t="str">
        <f t="shared" si="2"/>
        <v>M20</v>
      </c>
      <c r="V49" s="47" t="s">
        <v>0</v>
      </c>
      <c r="W49" s="222" t="str">
        <f t="shared" si="3"/>
        <v>M20</v>
      </c>
      <c r="X49" s="223">
        <f t="shared" si="4"/>
        <v>26</v>
      </c>
      <c r="Y49" s="47" t="s">
        <v>0</v>
      </c>
      <c r="Z49" s="52" t="str">
        <f t="shared" si="64"/>
        <v>CRO</v>
      </c>
      <c r="AA49" s="73">
        <f t="shared" si="5"/>
        <v>1</v>
      </c>
      <c r="AB49" s="31" t="str">
        <f t="shared" si="65"/>
        <v/>
      </c>
      <c r="AC49" s="66" t="str">
        <f>IF(AB49="","",MAX(AC$12:AC48)+1)</f>
        <v/>
      </c>
      <c r="AD49" s="47" t="s">
        <v>0</v>
      </c>
      <c r="AE49" s="125"/>
      <c r="AF49" s="47" t="s">
        <v>0</v>
      </c>
      <c r="AG49" s="19" t="str">
        <f t="shared" si="66"/>
        <v/>
      </c>
      <c r="AH49" s="47" t="s">
        <v>0</v>
      </c>
      <c r="AI49" s="143" t="str">
        <f t="shared" si="67"/>
        <v>CRO</v>
      </c>
      <c r="AJ49" s="47"/>
      <c r="AK49" s="52" t="str">
        <f t="shared" si="68"/>
        <v>Jura</v>
      </c>
      <c r="AL49" s="31" t="str">
        <f t="shared" si="69"/>
        <v>Kukec</v>
      </c>
      <c r="AM49" s="73">
        <f t="shared" si="70"/>
        <v>1105</v>
      </c>
      <c r="AN49" s="73" t="str">
        <f t="shared" si="71"/>
        <v/>
      </c>
      <c r="AO49" s="31" t="str">
        <f t="shared" si="8"/>
        <v>Jura</v>
      </c>
      <c r="AP49" s="66" t="str">
        <f t="shared" si="9"/>
        <v>Kukec</v>
      </c>
      <c r="AQ49" s="47" t="s">
        <v>0</v>
      </c>
      <c r="AR49" s="82" t="str">
        <f t="shared" si="72"/>
        <v/>
      </c>
      <c r="AS49" s="47" t="s">
        <v>0</v>
      </c>
      <c r="AT49" s="19" t="str">
        <f t="shared" si="73"/>
        <v/>
      </c>
      <c r="AU49" s="47" t="s">
        <v>0</v>
      </c>
      <c r="AV49" s="103"/>
      <c r="AW49" s="105"/>
      <c r="AX49" s="47" t="s">
        <v>0</v>
      </c>
      <c r="AY49" s="259" t="str">
        <f t="shared" si="102"/>
        <v/>
      </c>
      <c r="AZ49" s="47" t="s">
        <v>0</v>
      </c>
      <c r="BA49" s="52" t="str">
        <f t="shared" si="11"/>
        <v/>
      </c>
      <c r="BB49" s="73" t="str">
        <f>IF(AV49&amp;AW49="","",MAX(BB$12:BB48)+1)</f>
        <v/>
      </c>
      <c r="BC49" s="272" t="str">
        <f t="shared" si="12"/>
        <v/>
      </c>
      <c r="BD49" s="53" t="str">
        <f>IF(AND(AM49="NEMA",AN49="NEMA",OR(AV49&amp;AW49="",BC49="NEMA")),MAX(BD$12:BD48)+1,"")</f>
        <v/>
      </c>
      <c r="BE49" s="47" t="s">
        <v>0</v>
      </c>
      <c r="BF49" s="52" t="str">
        <f t="shared" si="74"/>
        <v>Jura</v>
      </c>
      <c r="BG49" s="66" t="str">
        <f t="shared" si="75"/>
        <v>Kukec</v>
      </c>
      <c r="BH49" s="47" t="s">
        <v>0</v>
      </c>
      <c r="BI49" s="52" t="str">
        <f t="shared" si="15"/>
        <v>Vihor</v>
      </c>
      <c r="BJ49" s="31" t="str">
        <f t="shared" si="16"/>
        <v>OK Vihor</v>
      </c>
      <c r="BK49" s="73" t="str">
        <f t="shared" si="17"/>
        <v/>
      </c>
      <c r="BL49" s="31" t="str" cm="1">
        <f t="array" ref="BL49">IF(BK49="",""&amp;BJ49,IF(BK49="NEMA",BJ49,INDEX(regKlub_naziv,MATCH(INDEX(regKlub_alias_klubId,BK49),regKlub_id,0))))</f>
        <v>OK Vihor</v>
      </c>
      <c r="BM49" s="31" t="str" cm="1">
        <f t="array" ref="BM49">IFERROR(""&amp;INDEX(regNatjecatelj_klub,DV49),"")</f>
        <v>OK Vihor</v>
      </c>
      <c r="BN49" s="73" t="str">
        <f t="shared" si="76"/>
        <v/>
      </c>
      <c r="BO49" s="66" t="str">
        <f t="shared" si="77"/>
        <v>OK Vihor</v>
      </c>
      <c r="BP49" s="47" t="s">
        <v>0</v>
      </c>
      <c r="BQ49" s="52" t="str">
        <f>IF(X49&lt;&gt;"NEMA","",IF(IFERROR(MATCH(W49,W$12:W48,0),0)&lt;&gt;0,"",W49))</f>
        <v/>
      </c>
      <c r="BR49" s="73" t="str">
        <f t="shared" si="78"/>
        <v/>
      </c>
      <c r="BS49" s="31" t="str">
        <f>IF(OR(BR49="",BR49&lt;&gt;"NEMA"),"",MAX(BS$12:BS48)+1)</f>
        <v/>
      </c>
      <c r="BT49" s="66" t="str">
        <f t="shared" si="79"/>
        <v/>
      </c>
      <c r="BU49" s="47" t="s">
        <v>0</v>
      </c>
      <c r="BV49" s="19" t="str">
        <f t="shared" si="80"/>
        <v/>
      </c>
      <c r="BW49" s="47" t="s">
        <v>0</v>
      </c>
      <c r="BX49" s="82" t="str">
        <f>IF(BK49&lt;&gt;"NEMA","",IF(IFERROR(MATCH(BJ49,BJ$12:BJ48,0),0)&lt;&gt;0,"",BJ49))</f>
        <v/>
      </c>
      <c r="BY49" s="47" t="s">
        <v>0</v>
      </c>
      <c r="BZ49" s="125"/>
      <c r="CA49" s="47" t="s">
        <v>0</v>
      </c>
      <c r="CB49" s="58" t="str">
        <f t="shared" si="81"/>
        <v/>
      </c>
      <c r="CC49" s="31" t="str">
        <f t="shared" si="82"/>
        <v/>
      </c>
      <c r="CD49" s="31" t="str">
        <f>IF(CC49="","",MAX(CD$12:CD48)+1)</f>
        <v/>
      </c>
      <c r="CE49" s="31" t="str">
        <f t="shared" si="22"/>
        <v/>
      </c>
      <c r="CF49" s="31" t="str">
        <f t="shared" si="83"/>
        <v/>
      </c>
      <c r="CG49" s="31" t="str">
        <f>IF(BZ49="","",MAX(CG$12:CG48)+1)</f>
        <v/>
      </c>
      <c r="CH49" s="31" t="str">
        <f t="shared" si="84"/>
        <v/>
      </c>
      <c r="CI49" s="66" t="str">
        <f t="shared" si="85"/>
        <v/>
      </c>
      <c r="CJ49" s="47" t="s">
        <v>0</v>
      </c>
      <c r="CK49" s="73" t="str">
        <f t="shared" si="25"/>
        <v/>
      </c>
      <c r="CL49" s="47"/>
      <c r="CM49" s="19" t="str">
        <f t="shared" si="86"/>
        <v/>
      </c>
      <c r="CN49" s="47" t="s">
        <v>0</v>
      </c>
      <c r="CO49" s="143" t="str">
        <f t="shared" si="87"/>
        <v>OK Vihor</v>
      </c>
      <c r="CP49" s="47" t="s">
        <v>0</v>
      </c>
      <c r="CQ49" s="58" t="str">
        <f t="shared" si="109"/>
        <v>65:33</v>
      </c>
      <c r="CR49" s="73" t="str">
        <f t="shared" si="110"/>
        <v>0</v>
      </c>
      <c r="CS49" s="229" t="str">
        <f t="shared" si="30"/>
        <v/>
      </c>
      <c r="CT49" s="230">
        <f t="shared" si="31"/>
        <v>3933</v>
      </c>
      <c r="CU49" s="163">
        <f t="shared" si="32"/>
        <v>1</v>
      </c>
      <c r="CV49" s="47" t="s">
        <v>0</v>
      </c>
      <c r="CW49" s="222" t="str">
        <f t="shared" si="89"/>
        <v xml:space="preserve">
</v>
      </c>
      <c r="CX49" s="223">
        <f t="shared" si="90"/>
        <v>6</v>
      </c>
      <c r="CY49" s="47" t="s">
        <v>0</v>
      </c>
      <c r="CZ49" s="47"/>
      <c r="DA49" s="47"/>
      <c r="DB49" s="47"/>
      <c r="DC49" s="47" t="s">
        <v>0</v>
      </c>
      <c r="DD49" s="53" t="str">
        <f t="shared" si="103"/>
        <v/>
      </c>
      <c r="DE49" t="s">
        <v>0</v>
      </c>
      <c r="DF49" s="128" t="str">
        <f t="shared" si="104"/>
        <v>M</v>
      </c>
      <c r="DG49" t="s">
        <v>0</v>
      </c>
      <c r="DH49" s="52" t="str">
        <f t="shared" si="105"/>
        <v/>
      </c>
      <c r="DI49" s="66" t="str">
        <f t="shared" si="106"/>
        <v/>
      </c>
      <c r="DJ49" t="s">
        <v>0</v>
      </c>
      <c r="DK49" s="19" t="str">
        <f t="shared" si="107"/>
        <v/>
      </c>
      <c r="DL49" s="47" t="s">
        <v>0</v>
      </c>
      <c r="DM49" s="19" t="str">
        <f t="shared" si="108"/>
        <v/>
      </c>
      <c r="DN49" s="47" t="s">
        <v>0</v>
      </c>
      <c r="DO49" s="52" t="str">
        <f t="shared" si="39"/>
        <v>Jura – Kukec – OK Vihor – M20</v>
      </c>
      <c r="DP49" s="53">
        <f t="shared" si="40"/>
        <v>764</v>
      </c>
      <c r="DQ49" s="47" t="s">
        <v>0</v>
      </c>
      <c r="DR49" s="52" t="str">
        <f t="shared" si="41"/>
        <v>Jura – Kukec – OK Vihor</v>
      </c>
      <c r="DS49" s="53">
        <f t="shared" si="42"/>
        <v>764</v>
      </c>
      <c r="DT49" s="47" t="s">
        <v>0</v>
      </c>
      <c r="DU49" s="52" t="str">
        <f t="shared" si="43"/>
        <v>Jura – Kukec</v>
      </c>
      <c r="DV49" s="53">
        <f t="shared" si="44"/>
        <v>764</v>
      </c>
      <c r="DW49" s="47" t="s">
        <v>0</v>
      </c>
      <c r="DX49" s="58">
        <f t="shared" si="91"/>
        <v>764</v>
      </c>
      <c r="DY49" s="53" cm="1">
        <f t="array" ref="DY49">IF(DX49&lt;&gt;"",INDEX(regNatjecatelj_id,DX49,0),IF(BD49&lt;&gt;"",BD49,""))</f>
        <v>1105</v>
      </c>
      <c r="DZ49" s="47" t="s">
        <v>0</v>
      </c>
      <c r="EA49" s="58" t="str">
        <f t="shared" si="45"/>
        <v>imepre</v>
      </c>
      <c r="EB49" s="73" t="str">
        <f t="shared" si="46"/>
        <v>klu</v>
      </c>
      <c r="EC49" s="73" t="str">
        <f t="shared" si="47"/>
        <v>kat</v>
      </c>
      <c r="ED49" s="73" t="str">
        <f t="shared" si="48"/>
        <v/>
      </c>
      <c r="EE49" s="66" t="str">
        <f t="shared" si="49"/>
        <v>imepre-klu-kat</v>
      </c>
      <c r="EF49" s="47" t="s">
        <v>0</v>
      </c>
      <c r="EG49" s="58">
        <f>IF(AL49="","",MAX(EG$12:EG48)+1)</f>
        <v>223</v>
      </c>
      <c r="EH49" s="73">
        <f t="shared" si="50"/>
        <v>26</v>
      </c>
      <c r="EI49" s="73">
        <f t="shared" si="92"/>
        <v>1105</v>
      </c>
      <c r="EJ49" s="73">
        <f t="shared" si="51"/>
        <v>3933</v>
      </c>
      <c r="EK49" s="73">
        <f t="shared" si="52"/>
        <v>1</v>
      </c>
      <c r="EL49" s="73">
        <f t="shared" si="93"/>
        <v>1</v>
      </c>
      <c r="EM49" s="73">
        <f t="shared" si="94"/>
        <v>1</v>
      </c>
      <c r="EN49" s="73" t="str">
        <f t="shared" si="55"/>
        <v>0</v>
      </c>
      <c r="EO49" s="73" t="str">
        <f t="shared" si="56"/>
        <v/>
      </c>
      <c r="EP49" s="73" t="str">
        <f t="shared" si="57"/>
        <v/>
      </c>
      <c r="EQ49" s="53" t="str">
        <f t="shared" si="58"/>
        <v/>
      </c>
      <c r="ER49" s="47" t="s">
        <v>0</v>
      </c>
      <c r="ES49" s="19" t="str">
        <f t="shared" si="95"/>
        <v>INSERT INTO rezultat(id,stazakategorija_id,imeprezime_id,vrijeme_sec,status_id,registracija,uparivanje_id,originalstatus_id,imeprezimealias_id,klubalias_id,kategorijaalias_id) VALUES (223,26,1105,3933,1,1,1,0,Null,Null,Null);</v>
      </c>
      <c r="ET49" s="47" t="s">
        <v>0</v>
      </c>
      <c r="EU49" s="19" t="str">
        <f t="shared" si="96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9" s="47" t="s">
        <v>0</v>
      </c>
      <c r="EW49" s="180" t="str">
        <f t="shared" si="60"/>
        <v xml:space="preserve">
INSERT INTO rezultat(id,stazakategorija_id,imeprezime_id,vrijeme_sec,status_id,registracija,uparivanje_id,originalstatus_id,imeprezimealias_id,klubalias_id,kategorijaalias_id) VALUES (223,26,1105,3933,1,1,1,0,Null,Null,Null);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9" s="47" t="s">
        <v>0</v>
      </c>
    </row>
    <row r="50" spans="1:154" x14ac:dyDescent="0.25">
      <c r="A50" t="s">
        <v>0</v>
      </c>
      <c r="B50" s="52" t="str">
        <f>IF(csv!F40="","",csv!T40)</f>
        <v>M20</v>
      </c>
      <c r="C50" s="31" t="s">
        <v>0</v>
      </c>
      <c r="D50" s="31" t="str">
        <f>IF(csv!F40="","",csv!F40)</f>
        <v>Marko</v>
      </c>
      <c r="E50" s="31" t="str">
        <f>IF(csv!E40="","",csv!E40)</f>
        <v>Jurač</v>
      </c>
      <c r="F50" s="31" t="s">
        <v>0</v>
      </c>
      <c r="G50" s="73" t="str">
        <f>IF(csv!M40="","",csv!M40)</f>
        <v>73:48</v>
      </c>
      <c r="H50" s="73" t="str">
        <f>IF(csv!N40="","",csv!N40)</f>
        <v>0</v>
      </c>
      <c r="I50" s="31" t="s">
        <v>0</v>
      </c>
      <c r="J50" s="31" t="str">
        <f>IF(csv!P40="","",csv!P40)</f>
        <v>Vihor</v>
      </c>
      <c r="K50" s="31" t="str">
        <f>IF(csv!Q40="","",csv!Q40)</f>
        <v>OK Vihor</v>
      </c>
      <c r="L50" s="31" t="s">
        <v>0</v>
      </c>
      <c r="M50" s="66" t="str">
        <f>IF(csv!R40="","",csv!R40)</f>
        <v>CRO</v>
      </c>
      <c r="N50" s="47" t="s">
        <v>0</v>
      </c>
      <c r="O50" s="246" t="str">
        <f t="shared" si="61"/>
        <v>ok</v>
      </c>
      <c r="P50" s="47"/>
      <c r="Q50" s="52" t="str">
        <f t="shared" si="62"/>
        <v>M20</v>
      </c>
      <c r="R50" s="73">
        <f>IF(Q50="","",IF(COUNTIF(Q$12:Q49,Q50)=0,R49+1,R49))</f>
        <v>4</v>
      </c>
      <c r="S50" s="73">
        <f t="shared" si="63"/>
        <v>109</v>
      </c>
      <c r="T50" s="73">
        <f t="shared" si="1"/>
        <v>20</v>
      </c>
      <c r="U50" s="66" t="str">
        <f t="shared" si="2"/>
        <v>M20</v>
      </c>
      <c r="V50" s="47" t="s">
        <v>0</v>
      </c>
      <c r="W50" s="222" t="str">
        <f t="shared" si="3"/>
        <v>M20</v>
      </c>
      <c r="X50" s="223">
        <f t="shared" si="4"/>
        <v>26</v>
      </c>
      <c r="Y50" s="47" t="s">
        <v>0</v>
      </c>
      <c r="Z50" s="52" t="str">
        <f t="shared" si="64"/>
        <v>CRO</v>
      </c>
      <c r="AA50" s="73">
        <f t="shared" si="5"/>
        <v>1</v>
      </c>
      <c r="AB50" s="31" t="str">
        <f t="shared" si="65"/>
        <v/>
      </c>
      <c r="AC50" s="66" t="str">
        <f>IF(AB50="","",MAX(AC$12:AC49)+1)</f>
        <v/>
      </c>
      <c r="AD50" s="47" t="s">
        <v>0</v>
      </c>
      <c r="AE50" s="125"/>
      <c r="AF50" s="47" t="s">
        <v>0</v>
      </c>
      <c r="AG50" s="19" t="str">
        <f t="shared" si="66"/>
        <v/>
      </c>
      <c r="AH50" s="47" t="s">
        <v>0</v>
      </c>
      <c r="AI50" s="143" t="str">
        <f t="shared" si="67"/>
        <v>CRO</v>
      </c>
      <c r="AJ50" s="47"/>
      <c r="AK50" s="52" t="str">
        <f t="shared" si="68"/>
        <v>Marko</v>
      </c>
      <c r="AL50" s="31" t="str">
        <f t="shared" si="69"/>
        <v>Jurač</v>
      </c>
      <c r="AM50" s="73">
        <f t="shared" si="70"/>
        <v>1521</v>
      </c>
      <c r="AN50" s="73" t="str">
        <f t="shared" si="71"/>
        <v/>
      </c>
      <c r="AO50" s="31" t="str">
        <f t="shared" si="8"/>
        <v>Marko</v>
      </c>
      <c r="AP50" s="66" t="str">
        <f t="shared" si="9"/>
        <v>Jurač</v>
      </c>
      <c r="AQ50" s="47" t="s">
        <v>0</v>
      </c>
      <c r="AR50" s="82" t="str">
        <f t="shared" si="72"/>
        <v/>
      </c>
      <c r="AS50" s="47" t="s">
        <v>0</v>
      </c>
      <c r="AT50" s="19" t="str">
        <f t="shared" si="73"/>
        <v/>
      </c>
      <c r="AU50" s="47" t="s">
        <v>0</v>
      </c>
      <c r="AV50" s="103"/>
      <c r="AW50" s="105"/>
      <c r="AX50" s="47" t="s">
        <v>0</v>
      </c>
      <c r="AY50" s="259" t="str">
        <f t="shared" si="102"/>
        <v/>
      </c>
      <c r="AZ50" s="47" t="s">
        <v>0</v>
      </c>
      <c r="BA50" s="52" t="str">
        <f t="shared" si="11"/>
        <v/>
      </c>
      <c r="BB50" s="73" t="str">
        <f>IF(AV50&amp;AW50="","",MAX(BB$12:BB49)+1)</f>
        <v/>
      </c>
      <c r="BC50" s="272" t="str">
        <f t="shared" si="12"/>
        <v/>
      </c>
      <c r="BD50" s="53" t="str">
        <f>IF(AND(AM50="NEMA",AN50="NEMA",OR(AV50&amp;AW50="",BC50="NEMA")),MAX(BD$12:BD49)+1,"")</f>
        <v/>
      </c>
      <c r="BE50" s="47" t="s">
        <v>0</v>
      </c>
      <c r="BF50" s="52" t="str">
        <f t="shared" si="74"/>
        <v>Marko</v>
      </c>
      <c r="BG50" s="66" t="str">
        <f t="shared" si="75"/>
        <v>Jurač</v>
      </c>
      <c r="BH50" s="47" t="s">
        <v>0</v>
      </c>
      <c r="BI50" s="52" t="str">
        <f t="shared" si="15"/>
        <v>Vihor</v>
      </c>
      <c r="BJ50" s="31" t="str">
        <f t="shared" si="16"/>
        <v>OK Vihor</v>
      </c>
      <c r="BK50" s="73" t="str">
        <f t="shared" si="17"/>
        <v/>
      </c>
      <c r="BL50" s="31" t="str" cm="1">
        <f t="array" ref="BL50">IF(BK50="",""&amp;BJ50,IF(BK50="NEMA",BJ50,INDEX(regKlub_naziv,MATCH(INDEX(regKlub_alias_klubId,BK50),regKlub_id,0))))</f>
        <v>OK Vihor</v>
      </c>
      <c r="BM50" s="31" t="str" cm="1">
        <f t="array" ref="BM50">IFERROR(""&amp;INDEX(regNatjecatelj_klub,DV50),"")</f>
        <v>OK Vihor</v>
      </c>
      <c r="BN50" s="73" t="str">
        <f t="shared" si="76"/>
        <v/>
      </c>
      <c r="BO50" s="66" t="str">
        <f t="shared" si="77"/>
        <v>OK Vihor</v>
      </c>
      <c r="BP50" s="47" t="s">
        <v>0</v>
      </c>
      <c r="BQ50" s="52" t="str">
        <f>IF(X50&lt;&gt;"NEMA","",IF(IFERROR(MATCH(W50,W$12:W49,0),0)&lt;&gt;0,"",W50))</f>
        <v/>
      </c>
      <c r="BR50" s="73" t="str">
        <f t="shared" si="78"/>
        <v/>
      </c>
      <c r="BS50" s="31" t="str">
        <f>IF(OR(BR50="",BR50&lt;&gt;"NEMA"),"",MAX(BS$12:BS49)+1)</f>
        <v/>
      </c>
      <c r="BT50" s="66" t="str">
        <f t="shared" si="79"/>
        <v/>
      </c>
      <c r="BU50" s="47" t="s">
        <v>0</v>
      </c>
      <c r="BV50" s="19" t="str">
        <f t="shared" si="80"/>
        <v/>
      </c>
      <c r="BW50" s="47" t="s">
        <v>0</v>
      </c>
      <c r="BX50" s="82" t="str">
        <f>IF(BK50&lt;&gt;"NEMA","",IF(IFERROR(MATCH(BJ50,BJ$12:BJ49,0),0)&lt;&gt;0,"",BJ50))</f>
        <v/>
      </c>
      <c r="BY50" s="47" t="s">
        <v>0</v>
      </c>
      <c r="BZ50" s="125"/>
      <c r="CA50" s="47" t="s">
        <v>0</v>
      </c>
      <c r="CB50" s="58" t="str">
        <f t="shared" si="81"/>
        <v/>
      </c>
      <c r="CC50" s="31" t="str">
        <f t="shared" si="82"/>
        <v/>
      </c>
      <c r="CD50" s="31" t="str">
        <f>IF(CC50="","",MAX(CD$12:CD49)+1)</f>
        <v/>
      </c>
      <c r="CE50" s="31" t="str">
        <f t="shared" si="22"/>
        <v/>
      </c>
      <c r="CF50" s="31" t="str">
        <f t="shared" si="83"/>
        <v/>
      </c>
      <c r="CG50" s="31" t="str">
        <f>IF(BZ50="","",MAX(CG$12:CG49)+1)</f>
        <v/>
      </c>
      <c r="CH50" s="31" t="str">
        <f t="shared" si="84"/>
        <v/>
      </c>
      <c r="CI50" s="66" t="str">
        <f t="shared" si="85"/>
        <v/>
      </c>
      <c r="CJ50" s="47" t="s">
        <v>0</v>
      </c>
      <c r="CK50" s="73" t="str">
        <f t="shared" si="25"/>
        <v/>
      </c>
      <c r="CL50" s="47"/>
      <c r="CM50" s="19" t="str">
        <f t="shared" si="86"/>
        <v/>
      </c>
      <c r="CN50" s="47" t="s">
        <v>0</v>
      </c>
      <c r="CO50" s="143" t="str">
        <f t="shared" si="87"/>
        <v>OK Vihor</v>
      </c>
      <c r="CP50" s="47" t="s">
        <v>0</v>
      </c>
      <c r="CQ50" s="58" t="str">
        <f t="shared" si="109"/>
        <v>73:48</v>
      </c>
      <c r="CR50" s="73" t="str">
        <f t="shared" si="110"/>
        <v>0</v>
      </c>
      <c r="CS50" s="229" t="str">
        <f t="shared" si="30"/>
        <v/>
      </c>
      <c r="CT50" s="230">
        <f t="shared" si="31"/>
        <v>4428</v>
      </c>
      <c r="CU50" s="163">
        <f t="shared" si="32"/>
        <v>1</v>
      </c>
      <c r="CV50" s="47" t="s">
        <v>0</v>
      </c>
      <c r="CW50" s="222" t="str">
        <f t="shared" si="89"/>
        <v xml:space="preserve">
</v>
      </c>
      <c r="CX50" s="223">
        <f t="shared" si="90"/>
        <v>6</v>
      </c>
      <c r="CY50" s="47" t="s">
        <v>0</v>
      </c>
      <c r="CZ50" s="47"/>
      <c r="DA50" s="47"/>
      <c r="DB50" s="47"/>
      <c r="DC50" s="47" t="s">
        <v>0</v>
      </c>
      <c r="DD50" s="53" t="str">
        <f t="shared" si="103"/>
        <v/>
      </c>
      <c r="DE50" t="s">
        <v>0</v>
      </c>
      <c r="DF50" s="128" t="str">
        <f t="shared" si="104"/>
        <v>M</v>
      </c>
      <c r="DG50" t="s">
        <v>0</v>
      </c>
      <c r="DH50" s="52" t="str">
        <f t="shared" si="105"/>
        <v/>
      </c>
      <c r="DI50" s="66" t="str">
        <f t="shared" si="106"/>
        <v/>
      </c>
      <c r="DJ50" t="s">
        <v>0</v>
      </c>
      <c r="DK50" s="19" t="str">
        <f t="shared" si="107"/>
        <v/>
      </c>
      <c r="DL50" s="47" t="s">
        <v>0</v>
      </c>
      <c r="DM50" s="19" t="str">
        <f t="shared" si="108"/>
        <v/>
      </c>
      <c r="DN50" s="47" t="s">
        <v>0</v>
      </c>
      <c r="DO50" s="52" t="str">
        <f t="shared" si="39"/>
        <v>Marko – Jurač – OK Vihor – M20</v>
      </c>
      <c r="DP50" s="53">
        <f t="shared" si="40"/>
        <v>719</v>
      </c>
      <c r="DQ50" s="47" t="s">
        <v>0</v>
      </c>
      <c r="DR50" s="52" t="str">
        <f t="shared" si="41"/>
        <v>Marko – Jurač – OK Vihor</v>
      </c>
      <c r="DS50" s="53">
        <f t="shared" si="42"/>
        <v>719</v>
      </c>
      <c r="DT50" s="47" t="s">
        <v>0</v>
      </c>
      <c r="DU50" s="52" t="str">
        <f t="shared" si="43"/>
        <v>Marko – Jurač</v>
      </c>
      <c r="DV50" s="53">
        <f t="shared" si="44"/>
        <v>719</v>
      </c>
      <c r="DW50" s="47" t="s">
        <v>0</v>
      </c>
      <c r="DX50" s="58">
        <f t="shared" si="91"/>
        <v>719</v>
      </c>
      <c r="DY50" s="53" cm="1">
        <f t="array" ref="DY50">IF(DX50&lt;&gt;"",INDEX(regNatjecatelj_id,DX50,0),IF(BD50&lt;&gt;"",BD50,""))</f>
        <v>1521</v>
      </c>
      <c r="DZ50" s="47" t="s">
        <v>0</v>
      </c>
      <c r="EA50" s="58" t="str">
        <f t="shared" si="45"/>
        <v>imepre</v>
      </c>
      <c r="EB50" s="73" t="str">
        <f t="shared" si="46"/>
        <v>klu</v>
      </c>
      <c r="EC50" s="73" t="str">
        <f t="shared" si="47"/>
        <v>kat</v>
      </c>
      <c r="ED50" s="73" t="str">
        <f t="shared" si="48"/>
        <v/>
      </c>
      <c r="EE50" s="66" t="str">
        <f t="shared" si="49"/>
        <v>imepre-klu-kat</v>
      </c>
      <c r="EF50" s="47" t="s">
        <v>0</v>
      </c>
      <c r="EG50" s="58">
        <f>IF(AL50="","",MAX(EG$12:EG49)+1)</f>
        <v>224</v>
      </c>
      <c r="EH50" s="73">
        <f t="shared" si="50"/>
        <v>26</v>
      </c>
      <c r="EI50" s="73">
        <f t="shared" si="92"/>
        <v>1521</v>
      </c>
      <c r="EJ50" s="73">
        <f t="shared" si="51"/>
        <v>4428</v>
      </c>
      <c r="EK50" s="73">
        <f t="shared" si="52"/>
        <v>1</v>
      </c>
      <c r="EL50" s="73">
        <f t="shared" si="93"/>
        <v>1</v>
      </c>
      <c r="EM50" s="73">
        <f t="shared" si="94"/>
        <v>1</v>
      </c>
      <c r="EN50" s="73" t="str">
        <f t="shared" si="55"/>
        <v>0</v>
      </c>
      <c r="EO50" s="73" t="str">
        <f t="shared" si="56"/>
        <v/>
      </c>
      <c r="EP50" s="73" t="str">
        <f t="shared" si="57"/>
        <v/>
      </c>
      <c r="EQ50" s="53" t="str">
        <f t="shared" si="58"/>
        <v/>
      </c>
      <c r="ER50" s="47" t="s">
        <v>0</v>
      </c>
      <c r="ES50" s="19" t="str">
        <f t="shared" si="95"/>
        <v>INSERT INTO rezultat(id,stazakategorija_id,imeprezime_id,vrijeme_sec,status_id,registracija,uparivanje_id,originalstatus_id,imeprezimealias_id,klubalias_id,kategorijaalias_id) VALUES (224,26,1521,4428,1,1,1,0,Null,Null,Null);</v>
      </c>
      <c r="ET50" s="47" t="s">
        <v>0</v>
      </c>
      <c r="EU50" s="19" t="str">
        <f t="shared" si="96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0" s="47" t="s">
        <v>0</v>
      </c>
      <c r="EW50" s="180" t="str">
        <f t="shared" si="60"/>
        <v xml:space="preserve">
INSERT INTO rezultat(id,stazakategorija_id,imeprezime_id,vrijeme_sec,status_id,registracija,uparivanje_id,originalstatus_id,imeprezimealias_id,klubalias_id,kategorijaalias_id) VALUES (224,26,1521,4428,1,1,1,0,Null,Null,Null);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0" s="47" t="s">
        <v>0</v>
      </c>
    </row>
    <row r="51" spans="1:154" x14ac:dyDescent="0.25">
      <c r="A51" t="s">
        <v>0</v>
      </c>
      <c r="B51" s="52" t="str">
        <f>IF(csv!F41="","",csv!T41)</f>
        <v>M20</v>
      </c>
      <c r="C51" s="31" t="s">
        <v>0</v>
      </c>
      <c r="D51" s="31" t="str">
        <f>IF(csv!F41="","",csv!F41)</f>
        <v>Noa</v>
      </c>
      <c r="E51" s="31" t="str">
        <f>IF(csv!E41="","",csv!E41)</f>
        <v>Kolarek</v>
      </c>
      <c r="F51" s="31" t="s">
        <v>0</v>
      </c>
      <c r="G51" s="73" t="str">
        <f>IF(csv!M41="","",csv!M41)</f>
        <v>81:41</v>
      </c>
      <c r="H51" s="73" t="str">
        <f>IF(csv!N41="","",csv!N41)</f>
        <v>0</v>
      </c>
      <c r="I51" s="31" t="s">
        <v>0</v>
      </c>
      <c r="J51" s="31" t="str">
        <f>IF(csv!P41="","",csv!P41)</f>
        <v>Vihor</v>
      </c>
      <c r="K51" s="31" t="str">
        <f>IF(csv!Q41="","",csv!Q41)</f>
        <v>OK Vihor</v>
      </c>
      <c r="L51" s="31" t="s">
        <v>0</v>
      </c>
      <c r="M51" s="66" t="str">
        <f>IF(csv!R41="","",csv!R41)</f>
        <v>CRO</v>
      </c>
      <c r="N51" s="47" t="s">
        <v>0</v>
      </c>
      <c r="O51" s="246" t="str">
        <f t="shared" si="61"/>
        <v>ok</v>
      </c>
      <c r="P51" s="47"/>
      <c r="Q51" s="52" t="str">
        <f t="shared" si="62"/>
        <v>M20</v>
      </c>
      <c r="R51" s="73">
        <f>IF(Q51="","",IF(COUNTIF(Q$12:Q50,Q51)=0,R50+1,R50))</f>
        <v>4</v>
      </c>
      <c r="S51" s="73">
        <f t="shared" si="63"/>
        <v>109</v>
      </c>
      <c r="T51" s="73">
        <f t="shared" si="1"/>
        <v>20</v>
      </c>
      <c r="U51" s="66" t="str">
        <f t="shared" si="2"/>
        <v>M20</v>
      </c>
      <c r="V51" s="47" t="s">
        <v>0</v>
      </c>
      <c r="W51" s="222" t="str">
        <f t="shared" si="3"/>
        <v>M20</v>
      </c>
      <c r="X51" s="223">
        <f t="shared" si="4"/>
        <v>26</v>
      </c>
      <c r="Y51" s="47" t="s">
        <v>0</v>
      </c>
      <c r="Z51" s="52" t="str">
        <f t="shared" si="64"/>
        <v>CRO</v>
      </c>
      <c r="AA51" s="73">
        <f t="shared" si="5"/>
        <v>1</v>
      </c>
      <c r="AB51" s="31" t="str">
        <f t="shared" si="65"/>
        <v/>
      </c>
      <c r="AC51" s="66" t="str">
        <f>IF(AB51="","",MAX(AC$12:AC50)+1)</f>
        <v/>
      </c>
      <c r="AD51" s="47" t="s">
        <v>0</v>
      </c>
      <c r="AE51" s="125"/>
      <c r="AF51" s="47" t="s">
        <v>0</v>
      </c>
      <c r="AG51" s="19" t="str">
        <f t="shared" si="66"/>
        <v/>
      </c>
      <c r="AH51" s="47" t="s">
        <v>0</v>
      </c>
      <c r="AI51" s="143" t="str">
        <f t="shared" si="67"/>
        <v>CRO</v>
      </c>
      <c r="AJ51" s="47"/>
      <c r="AK51" s="52" t="str">
        <f t="shared" si="68"/>
        <v>Noa</v>
      </c>
      <c r="AL51" s="31" t="str">
        <f t="shared" si="69"/>
        <v>Kolarek</v>
      </c>
      <c r="AM51" s="73">
        <f t="shared" si="70"/>
        <v>1191</v>
      </c>
      <c r="AN51" s="73" t="str">
        <f t="shared" si="71"/>
        <v/>
      </c>
      <c r="AO51" s="31" t="str">
        <f t="shared" si="8"/>
        <v>Noa</v>
      </c>
      <c r="AP51" s="66" t="str">
        <f t="shared" si="9"/>
        <v>Kolarek</v>
      </c>
      <c r="AQ51" s="47" t="s">
        <v>0</v>
      </c>
      <c r="AR51" s="82" t="str">
        <f t="shared" si="72"/>
        <v/>
      </c>
      <c r="AS51" s="47" t="s">
        <v>0</v>
      </c>
      <c r="AT51" s="19" t="str">
        <f t="shared" si="73"/>
        <v/>
      </c>
      <c r="AU51" s="47" t="s">
        <v>0</v>
      </c>
      <c r="AV51" s="103"/>
      <c r="AW51" s="105"/>
      <c r="AX51" s="47" t="s">
        <v>0</v>
      </c>
      <c r="AY51" s="259" t="str">
        <f t="shared" si="102"/>
        <v/>
      </c>
      <c r="AZ51" s="47" t="s">
        <v>0</v>
      </c>
      <c r="BA51" s="52" t="str">
        <f t="shared" si="11"/>
        <v/>
      </c>
      <c r="BB51" s="73" t="str">
        <f>IF(AV51&amp;AW51="","",MAX(BB$12:BB50)+1)</f>
        <v/>
      </c>
      <c r="BC51" s="272" t="str">
        <f t="shared" si="12"/>
        <v/>
      </c>
      <c r="BD51" s="53" t="str">
        <f>IF(AND(AM51="NEMA",AN51="NEMA",OR(AV51&amp;AW51="",BC51="NEMA")),MAX(BD$12:BD50)+1,"")</f>
        <v/>
      </c>
      <c r="BE51" s="47" t="s">
        <v>0</v>
      </c>
      <c r="BF51" s="52" t="str">
        <f t="shared" si="74"/>
        <v>Noa</v>
      </c>
      <c r="BG51" s="66" t="str">
        <f t="shared" si="75"/>
        <v>Kolarek</v>
      </c>
      <c r="BH51" s="47" t="s">
        <v>0</v>
      </c>
      <c r="BI51" s="52" t="str">
        <f t="shared" si="15"/>
        <v>Vihor</v>
      </c>
      <c r="BJ51" s="31" t="str">
        <f t="shared" si="16"/>
        <v>OK Vihor</v>
      </c>
      <c r="BK51" s="73" t="str">
        <f t="shared" si="17"/>
        <v/>
      </c>
      <c r="BL51" s="31" t="str" cm="1">
        <f t="array" ref="BL51">IF(BK51="",""&amp;BJ51,IF(BK51="NEMA",BJ51,INDEX(regKlub_naziv,MATCH(INDEX(regKlub_alias_klubId,BK51),regKlub_id,0))))</f>
        <v>OK Vihor</v>
      </c>
      <c r="BM51" s="31" t="str" cm="1">
        <f t="array" ref="BM51">IFERROR(""&amp;INDEX(regNatjecatelj_klub,DV51),"")</f>
        <v>OK Vihor</v>
      </c>
      <c r="BN51" s="73" t="str">
        <f t="shared" si="76"/>
        <v/>
      </c>
      <c r="BO51" s="66" t="str">
        <f t="shared" si="77"/>
        <v>OK Vihor</v>
      </c>
      <c r="BP51" s="47" t="s">
        <v>0</v>
      </c>
      <c r="BQ51" s="52" t="str">
        <f>IF(X51&lt;&gt;"NEMA","",IF(IFERROR(MATCH(W51,W$12:W50,0),0)&lt;&gt;0,"",W51))</f>
        <v/>
      </c>
      <c r="BR51" s="73" t="str">
        <f t="shared" si="78"/>
        <v/>
      </c>
      <c r="BS51" s="31" t="str">
        <f>IF(OR(BR51="",BR51&lt;&gt;"NEMA"),"",MAX(BS$12:BS50)+1)</f>
        <v/>
      </c>
      <c r="BT51" s="66" t="str">
        <f t="shared" si="79"/>
        <v/>
      </c>
      <c r="BU51" s="47" t="s">
        <v>0</v>
      </c>
      <c r="BV51" s="19" t="str">
        <f t="shared" si="80"/>
        <v/>
      </c>
      <c r="BW51" s="47" t="s">
        <v>0</v>
      </c>
      <c r="BX51" s="82" t="str">
        <f>IF(BK51&lt;&gt;"NEMA","",IF(IFERROR(MATCH(BJ51,BJ$12:BJ50,0),0)&lt;&gt;0,"",BJ51))</f>
        <v/>
      </c>
      <c r="BY51" s="47" t="s">
        <v>0</v>
      </c>
      <c r="BZ51" s="125"/>
      <c r="CA51" s="47" t="s">
        <v>0</v>
      </c>
      <c r="CB51" s="58" t="str">
        <f t="shared" si="81"/>
        <v/>
      </c>
      <c r="CC51" s="31" t="str">
        <f t="shared" si="82"/>
        <v/>
      </c>
      <c r="CD51" s="31" t="str">
        <f>IF(CC51="","",MAX(CD$12:CD50)+1)</f>
        <v/>
      </c>
      <c r="CE51" s="31" t="str">
        <f t="shared" si="22"/>
        <v/>
      </c>
      <c r="CF51" s="31" t="str">
        <f t="shared" si="83"/>
        <v/>
      </c>
      <c r="CG51" s="31" t="str">
        <f>IF(BZ51="","",MAX(CG$12:CG50)+1)</f>
        <v/>
      </c>
      <c r="CH51" s="31" t="str">
        <f t="shared" si="84"/>
        <v/>
      </c>
      <c r="CI51" s="66" t="str">
        <f t="shared" si="85"/>
        <v/>
      </c>
      <c r="CJ51" s="47" t="s">
        <v>0</v>
      </c>
      <c r="CK51" s="73" t="str">
        <f t="shared" si="25"/>
        <v/>
      </c>
      <c r="CL51" s="47"/>
      <c r="CM51" s="19" t="str">
        <f t="shared" si="86"/>
        <v/>
      </c>
      <c r="CN51" s="47" t="s">
        <v>0</v>
      </c>
      <c r="CO51" s="143" t="str">
        <f t="shared" si="87"/>
        <v>OK Vihor</v>
      </c>
      <c r="CP51" s="47" t="s">
        <v>0</v>
      </c>
      <c r="CQ51" s="58" t="str">
        <f t="shared" si="109"/>
        <v>81:41</v>
      </c>
      <c r="CR51" s="73" t="str">
        <f t="shared" si="110"/>
        <v>0</v>
      </c>
      <c r="CS51" s="229" t="str">
        <f t="shared" si="30"/>
        <v/>
      </c>
      <c r="CT51" s="230">
        <f t="shared" si="31"/>
        <v>4901</v>
      </c>
      <c r="CU51" s="163">
        <f t="shared" si="32"/>
        <v>1</v>
      </c>
      <c r="CV51" s="47" t="s">
        <v>0</v>
      </c>
      <c r="CW51" s="222" t="str">
        <f t="shared" si="89"/>
        <v xml:space="preserve">
</v>
      </c>
      <c r="CX51" s="223">
        <f t="shared" si="90"/>
        <v>6</v>
      </c>
      <c r="CY51" s="47" t="s">
        <v>0</v>
      </c>
      <c r="CZ51" s="47"/>
      <c r="DA51" s="47"/>
      <c r="DB51" s="47"/>
      <c r="DC51" s="47" t="s">
        <v>0</v>
      </c>
      <c r="DD51" s="53" t="str">
        <f t="shared" si="103"/>
        <v/>
      </c>
      <c r="DE51" t="s">
        <v>0</v>
      </c>
      <c r="DF51" s="128" t="str">
        <f t="shared" si="104"/>
        <v>M</v>
      </c>
      <c r="DG51" t="s">
        <v>0</v>
      </c>
      <c r="DH51" s="52" t="str">
        <f t="shared" si="105"/>
        <v/>
      </c>
      <c r="DI51" s="66" t="str">
        <f t="shared" si="106"/>
        <v/>
      </c>
      <c r="DJ51" t="s">
        <v>0</v>
      </c>
      <c r="DK51" s="19" t="str">
        <f t="shared" si="107"/>
        <v/>
      </c>
      <c r="DL51" s="47" t="s">
        <v>0</v>
      </c>
      <c r="DM51" s="19" t="str">
        <f t="shared" si="108"/>
        <v/>
      </c>
      <c r="DN51" s="47" t="s">
        <v>0</v>
      </c>
      <c r="DO51" s="52" t="str">
        <f t="shared" si="39"/>
        <v>Noa – Kolarek – OK Vihor – M20</v>
      </c>
      <c r="DP51" s="53">
        <f t="shared" si="40"/>
        <v>746</v>
      </c>
      <c r="DQ51" s="47" t="s">
        <v>0</v>
      </c>
      <c r="DR51" s="52" t="str">
        <f t="shared" si="41"/>
        <v>Noa – Kolarek – OK Vihor</v>
      </c>
      <c r="DS51" s="53">
        <f t="shared" si="42"/>
        <v>746</v>
      </c>
      <c r="DT51" s="47" t="s">
        <v>0</v>
      </c>
      <c r="DU51" s="52" t="str">
        <f t="shared" si="43"/>
        <v>Noa – Kolarek</v>
      </c>
      <c r="DV51" s="53">
        <f t="shared" si="44"/>
        <v>746</v>
      </c>
      <c r="DW51" s="47" t="s">
        <v>0</v>
      </c>
      <c r="DX51" s="58">
        <f t="shared" si="91"/>
        <v>746</v>
      </c>
      <c r="DY51" s="53" cm="1">
        <f t="array" ref="DY51">IF(DX51&lt;&gt;"",INDEX(regNatjecatelj_id,DX51,0),IF(BD51&lt;&gt;"",BD51,""))</f>
        <v>1191</v>
      </c>
      <c r="DZ51" s="47" t="s">
        <v>0</v>
      </c>
      <c r="EA51" s="58" t="str">
        <f t="shared" si="45"/>
        <v>imepre</v>
      </c>
      <c r="EB51" s="73" t="str">
        <f t="shared" si="46"/>
        <v>klu</v>
      </c>
      <c r="EC51" s="73" t="str">
        <f t="shared" si="47"/>
        <v>kat</v>
      </c>
      <c r="ED51" s="73" t="str">
        <f t="shared" si="48"/>
        <v/>
      </c>
      <c r="EE51" s="66" t="str">
        <f t="shared" si="49"/>
        <v>imepre-klu-kat</v>
      </c>
      <c r="EF51" s="47" t="s">
        <v>0</v>
      </c>
      <c r="EG51" s="58">
        <f>IF(AL51="","",MAX(EG$12:EG50)+1)</f>
        <v>225</v>
      </c>
      <c r="EH51" s="73">
        <f t="shared" si="50"/>
        <v>26</v>
      </c>
      <c r="EI51" s="73">
        <f t="shared" si="92"/>
        <v>1191</v>
      </c>
      <c r="EJ51" s="73">
        <f t="shared" si="51"/>
        <v>4901</v>
      </c>
      <c r="EK51" s="73">
        <f t="shared" si="52"/>
        <v>1</v>
      </c>
      <c r="EL51" s="73">
        <f t="shared" si="93"/>
        <v>1</v>
      </c>
      <c r="EM51" s="73">
        <f t="shared" si="94"/>
        <v>1</v>
      </c>
      <c r="EN51" s="73" t="str">
        <f t="shared" si="55"/>
        <v>0</v>
      </c>
      <c r="EO51" s="73" t="str">
        <f t="shared" si="56"/>
        <v/>
      </c>
      <c r="EP51" s="73" t="str">
        <f t="shared" si="57"/>
        <v/>
      </c>
      <c r="EQ51" s="53" t="str">
        <f t="shared" si="58"/>
        <v/>
      </c>
      <c r="ER51" s="47" t="s">
        <v>0</v>
      </c>
      <c r="ES51" s="19" t="str">
        <f t="shared" si="95"/>
        <v>INSERT INTO rezultat(id,stazakategorija_id,imeprezime_id,vrijeme_sec,status_id,registracija,uparivanje_id,originalstatus_id,imeprezimealias_id,klubalias_id,kategorijaalias_id) VALUES (225,26,1191,4901,1,1,1,0,Null,Null,Null);</v>
      </c>
      <c r="ET51" s="47" t="s">
        <v>0</v>
      </c>
      <c r="EU51" s="19" t="str">
        <f t="shared" si="96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1" s="47" t="s">
        <v>0</v>
      </c>
      <c r="EW51" s="180" t="str">
        <f t="shared" si="60"/>
        <v xml:space="preserve">
INSERT INTO rezultat(id,stazakategorija_id,imeprezime_id,vrijeme_sec,status_id,registracija,uparivanje_id,originalstatus_id,imeprezimealias_id,klubalias_id,kategorijaalias_id) VALUES (225,26,1191,4901,1,1,1,0,Null,Null,Null);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1" s="47" t="s">
        <v>0</v>
      </c>
    </row>
    <row r="52" spans="1:154" x14ac:dyDescent="0.25">
      <c r="A52" t="s">
        <v>0</v>
      </c>
      <c r="B52" s="52" t="str">
        <f>IF(csv!F42="","",csv!T42)</f>
        <v>M20</v>
      </c>
      <c r="C52" s="31" t="s">
        <v>0</v>
      </c>
      <c r="D52" s="31" t="str">
        <f>IF(csv!F42="","",csv!F42)</f>
        <v>Luka</v>
      </c>
      <c r="E52" s="31" t="str">
        <f>IF(csv!E42="","",csv!E42)</f>
        <v>Kocijan</v>
      </c>
      <c r="F52" s="31" t="s">
        <v>0</v>
      </c>
      <c r="G52" s="73" t="str">
        <f>IF(csv!M42="","",csv!M42)</f>
        <v>97:46</v>
      </c>
      <c r="H52" s="73" t="str">
        <f>IF(csv!N42="","",csv!N42)</f>
        <v>0</v>
      </c>
      <c r="I52" s="31" t="s">
        <v>0</v>
      </c>
      <c r="J52" s="31" t="str">
        <f>IF(csv!P42="","",csv!P42)</f>
        <v>OK Varaždin</v>
      </c>
      <c r="K52" s="31" t="str">
        <f>IF(csv!Q42="","",csv!Q42)</f>
        <v>OK Varaždin</v>
      </c>
      <c r="L52" s="31" t="s">
        <v>0</v>
      </c>
      <c r="M52" s="66" t="str">
        <f>IF(csv!R42="","",csv!R42)</f>
        <v>CRO</v>
      </c>
      <c r="N52" s="47" t="s">
        <v>0</v>
      </c>
      <c r="O52" s="246" t="str">
        <f t="shared" si="61"/>
        <v>ok</v>
      </c>
      <c r="P52" s="47"/>
      <c r="Q52" s="52" t="str">
        <f t="shared" si="62"/>
        <v>M20</v>
      </c>
      <c r="R52" s="73">
        <f>IF(Q52="","",IF(COUNTIF(Q$12:Q51,Q52)=0,R51+1,R51))</f>
        <v>4</v>
      </c>
      <c r="S52" s="73">
        <f t="shared" si="63"/>
        <v>109</v>
      </c>
      <c r="T52" s="73">
        <f t="shared" si="1"/>
        <v>20</v>
      </c>
      <c r="U52" s="66" t="str">
        <f t="shared" si="2"/>
        <v>M20</v>
      </c>
      <c r="V52" s="47" t="s">
        <v>0</v>
      </c>
      <c r="W52" s="222" t="str">
        <f t="shared" si="3"/>
        <v>M20</v>
      </c>
      <c r="X52" s="223">
        <f t="shared" si="4"/>
        <v>26</v>
      </c>
      <c r="Y52" s="47" t="s">
        <v>0</v>
      </c>
      <c r="Z52" s="52" t="str">
        <f t="shared" si="64"/>
        <v>CRO</v>
      </c>
      <c r="AA52" s="73">
        <f t="shared" si="5"/>
        <v>1</v>
      </c>
      <c r="AB52" s="31" t="str">
        <f t="shared" si="65"/>
        <v/>
      </c>
      <c r="AC52" s="66" t="str">
        <f>IF(AB52="","",MAX(AC$12:AC51)+1)</f>
        <v/>
      </c>
      <c r="AD52" s="47" t="s">
        <v>0</v>
      </c>
      <c r="AE52" s="125"/>
      <c r="AF52" s="47" t="s">
        <v>0</v>
      </c>
      <c r="AG52" s="19" t="str">
        <f t="shared" si="66"/>
        <v/>
      </c>
      <c r="AH52" s="47" t="s">
        <v>0</v>
      </c>
      <c r="AI52" s="143" t="str">
        <f t="shared" si="67"/>
        <v>CRO</v>
      </c>
      <c r="AJ52" s="47"/>
      <c r="AK52" s="52" t="str">
        <f t="shared" si="68"/>
        <v>Luka</v>
      </c>
      <c r="AL52" s="31" t="str">
        <f t="shared" si="69"/>
        <v>Kocijan</v>
      </c>
      <c r="AM52" s="73">
        <f t="shared" si="70"/>
        <v>1419</v>
      </c>
      <c r="AN52" s="73" t="str">
        <f t="shared" si="71"/>
        <v/>
      </c>
      <c r="AO52" s="31" t="str">
        <f t="shared" si="8"/>
        <v>Luka</v>
      </c>
      <c r="AP52" s="66" t="str">
        <f t="shared" si="9"/>
        <v>Kocijan</v>
      </c>
      <c r="AQ52" s="47" t="s">
        <v>0</v>
      </c>
      <c r="AR52" s="82" t="str">
        <f t="shared" si="72"/>
        <v/>
      </c>
      <c r="AS52" s="47" t="s">
        <v>0</v>
      </c>
      <c r="AT52" s="19" t="str">
        <f t="shared" si="73"/>
        <v/>
      </c>
      <c r="AU52" s="47" t="s">
        <v>0</v>
      </c>
      <c r="AV52" s="103"/>
      <c r="AW52" s="105"/>
      <c r="AX52" s="47" t="s">
        <v>0</v>
      </c>
      <c r="AY52" s="259" t="str">
        <f t="shared" si="102"/>
        <v/>
      </c>
      <c r="AZ52" s="47" t="s">
        <v>0</v>
      </c>
      <c r="BA52" s="52" t="str">
        <f t="shared" si="11"/>
        <v/>
      </c>
      <c r="BB52" s="73" t="str">
        <f>IF(AV52&amp;AW52="","",MAX(BB$12:BB51)+1)</f>
        <v/>
      </c>
      <c r="BC52" s="272" t="str">
        <f t="shared" si="12"/>
        <v/>
      </c>
      <c r="BD52" s="53" t="str">
        <f>IF(AND(AM52="NEMA",AN52="NEMA",OR(AV52&amp;AW52="",BC52="NEMA")),MAX(BD$12:BD51)+1,"")</f>
        <v/>
      </c>
      <c r="BE52" s="47" t="s">
        <v>0</v>
      </c>
      <c r="BF52" s="52" t="str">
        <f t="shared" si="74"/>
        <v>Luka</v>
      </c>
      <c r="BG52" s="66" t="str">
        <f t="shared" si="75"/>
        <v>Kocijan</v>
      </c>
      <c r="BH52" s="47" t="s">
        <v>0</v>
      </c>
      <c r="BI52" s="52" t="str">
        <f t="shared" si="15"/>
        <v>OK Varaždin</v>
      </c>
      <c r="BJ52" s="31" t="str">
        <f t="shared" si="16"/>
        <v>OK Varaždin</v>
      </c>
      <c r="BK52" s="73" t="str">
        <f t="shared" si="17"/>
        <v/>
      </c>
      <c r="BL52" s="31" t="str" cm="1">
        <f t="array" ref="BL52">IF(BK52="",""&amp;BJ52,IF(BK52="NEMA",BJ52,INDEX(regKlub_naziv,MATCH(INDEX(regKlub_alias_klubId,BK52),regKlub_id,0))))</f>
        <v>OK Varaždin</v>
      </c>
      <c r="BM52" s="31" t="str" cm="1">
        <f t="array" ref="BM52">IFERROR(""&amp;INDEX(regNatjecatelj_klub,DV52),"")</f>
        <v>OK Varaždin</v>
      </c>
      <c r="BN52" s="73" t="str">
        <f t="shared" si="76"/>
        <v/>
      </c>
      <c r="BO52" s="66" t="str">
        <f t="shared" si="77"/>
        <v>OK Varaždin</v>
      </c>
      <c r="BP52" s="47" t="s">
        <v>0</v>
      </c>
      <c r="BQ52" s="52" t="str">
        <f>IF(X52&lt;&gt;"NEMA","",IF(IFERROR(MATCH(W52,W$12:W51,0),0)&lt;&gt;0,"",W52))</f>
        <v/>
      </c>
      <c r="BR52" s="73" t="str">
        <f t="shared" si="78"/>
        <v/>
      </c>
      <c r="BS52" s="31" t="str">
        <f>IF(OR(BR52="",BR52&lt;&gt;"NEMA"),"",MAX(BS$12:BS51)+1)</f>
        <v/>
      </c>
      <c r="BT52" s="66" t="str">
        <f t="shared" si="79"/>
        <v/>
      </c>
      <c r="BU52" s="47" t="s">
        <v>0</v>
      </c>
      <c r="BV52" s="19" t="str">
        <f t="shared" si="80"/>
        <v/>
      </c>
      <c r="BW52" s="47" t="s">
        <v>0</v>
      </c>
      <c r="BX52" s="82" t="str">
        <f>IF(BK52&lt;&gt;"NEMA","",IF(IFERROR(MATCH(BJ52,BJ$12:BJ51,0),0)&lt;&gt;0,"",BJ52))</f>
        <v/>
      </c>
      <c r="BY52" s="47" t="s">
        <v>0</v>
      </c>
      <c r="BZ52" s="125"/>
      <c r="CA52" s="47" t="s">
        <v>0</v>
      </c>
      <c r="CB52" s="58" t="str">
        <f t="shared" si="81"/>
        <v/>
      </c>
      <c r="CC52" s="31" t="str">
        <f t="shared" si="82"/>
        <v/>
      </c>
      <c r="CD52" s="31" t="str">
        <f>IF(CC52="","",MAX(CD$12:CD51)+1)</f>
        <v/>
      </c>
      <c r="CE52" s="31" t="str">
        <f t="shared" si="22"/>
        <v/>
      </c>
      <c r="CF52" s="31" t="str">
        <f t="shared" si="83"/>
        <v/>
      </c>
      <c r="CG52" s="31" t="str">
        <f>IF(BZ52="","",MAX(CG$12:CG51)+1)</f>
        <v/>
      </c>
      <c r="CH52" s="31" t="str">
        <f t="shared" si="84"/>
        <v/>
      </c>
      <c r="CI52" s="66" t="str">
        <f t="shared" si="85"/>
        <v/>
      </c>
      <c r="CJ52" s="47" t="s">
        <v>0</v>
      </c>
      <c r="CK52" s="73" t="str">
        <f t="shared" si="25"/>
        <v/>
      </c>
      <c r="CL52" s="47"/>
      <c r="CM52" s="19" t="str">
        <f t="shared" si="86"/>
        <v/>
      </c>
      <c r="CN52" s="47" t="s">
        <v>0</v>
      </c>
      <c r="CO52" s="143" t="str">
        <f t="shared" si="87"/>
        <v>OK Varaždin</v>
      </c>
      <c r="CP52" s="47" t="s">
        <v>0</v>
      </c>
      <c r="CQ52" s="58" t="str">
        <f t="shared" si="109"/>
        <v>97:46</v>
      </c>
      <c r="CR52" s="73" t="str">
        <f t="shared" si="110"/>
        <v>0</v>
      </c>
      <c r="CS52" s="229" t="str">
        <f t="shared" si="30"/>
        <v/>
      </c>
      <c r="CT52" s="230">
        <f t="shared" si="31"/>
        <v>5866</v>
      </c>
      <c r="CU52" s="163">
        <f t="shared" si="32"/>
        <v>1</v>
      </c>
      <c r="CV52" s="47" t="s">
        <v>0</v>
      </c>
      <c r="CW52" s="222" t="str">
        <f t="shared" si="89"/>
        <v xml:space="preserve">
</v>
      </c>
      <c r="CX52" s="223">
        <f t="shared" si="90"/>
        <v>6</v>
      </c>
      <c r="CY52" s="47" t="s">
        <v>0</v>
      </c>
      <c r="CZ52" s="47"/>
      <c r="DA52" s="47"/>
      <c r="DB52" s="47"/>
      <c r="DC52" s="47" t="s">
        <v>0</v>
      </c>
      <c r="DD52" s="53" t="str">
        <f t="shared" si="103"/>
        <v/>
      </c>
      <c r="DE52" t="s">
        <v>0</v>
      </c>
      <c r="DF52" s="128" t="str">
        <f t="shared" si="104"/>
        <v>M</v>
      </c>
      <c r="DG52" t="s">
        <v>0</v>
      </c>
      <c r="DH52" s="52" t="str">
        <f t="shared" si="105"/>
        <v/>
      </c>
      <c r="DI52" s="66" t="str">
        <f t="shared" si="106"/>
        <v/>
      </c>
      <c r="DJ52" t="s">
        <v>0</v>
      </c>
      <c r="DK52" s="19" t="str">
        <f t="shared" si="107"/>
        <v/>
      </c>
      <c r="DL52" s="47" t="s">
        <v>0</v>
      </c>
      <c r="DM52" s="19" t="str">
        <f t="shared" si="108"/>
        <v/>
      </c>
      <c r="DN52" s="47" t="s">
        <v>0</v>
      </c>
      <c r="DO52" s="52" t="str">
        <f t="shared" si="39"/>
        <v>Luka – Kocijan – OK Varaždin – M20</v>
      </c>
      <c r="DP52" s="53">
        <f t="shared" si="40"/>
        <v>544</v>
      </c>
      <c r="DQ52" s="47" t="s">
        <v>0</v>
      </c>
      <c r="DR52" s="52" t="str">
        <f t="shared" si="41"/>
        <v>Luka – Kocijan – OK Varaždin</v>
      </c>
      <c r="DS52" s="53">
        <f t="shared" si="42"/>
        <v>544</v>
      </c>
      <c r="DT52" s="47" t="s">
        <v>0</v>
      </c>
      <c r="DU52" s="52" t="str">
        <f t="shared" si="43"/>
        <v>Luka – Kocijan</v>
      </c>
      <c r="DV52" s="53">
        <f t="shared" si="44"/>
        <v>544</v>
      </c>
      <c r="DW52" s="47" t="s">
        <v>0</v>
      </c>
      <c r="DX52" s="58">
        <f t="shared" si="91"/>
        <v>544</v>
      </c>
      <c r="DY52" s="53" cm="1">
        <f t="array" ref="DY52">IF(DX52&lt;&gt;"",INDEX(regNatjecatelj_id,DX52,0),IF(BD52&lt;&gt;"",BD52,""))</f>
        <v>1419</v>
      </c>
      <c r="DZ52" s="47" t="s">
        <v>0</v>
      </c>
      <c r="EA52" s="58" t="str">
        <f t="shared" si="45"/>
        <v>imepre</v>
      </c>
      <c r="EB52" s="73" t="str">
        <f t="shared" si="46"/>
        <v>klu</v>
      </c>
      <c r="EC52" s="73" t="str">
        <f t="shared" si="47"/>
        <v>kat</v>
      </c>
      <c r="ED52" s="73" t="str">
        <f t="shared" si="48"/>
        <v/>
      </c>
      <c r="EE52" s="66" t="str">
        <f t="shared" si="49"/>
        <v>imepre-klu-kat</v>
      </c>
      <c r="EF52" s="47" t="s">
        <v>0</v>
      </c>
      <c r="EG52" s="58">
        <f>IF(AL52="","",MAX(EG$12:EG51)+1)</f>
        <v>226</v>
      </c>
      <c r="EH52" s="73">
        <f t="shared" si="50"/>
        <v>26</v>
      </c>
      <c r="EI52" s="73">
        <f t="shared" si="92"/>
        <v>1419</v>
      </c>
      <c r="EJ52" s="73">
        <f t="shared" si="51"/>
        <v>5866</v>
      </c>
      <c r="EK52" s="73">
        <f t="shared" si="52"/>
        <v>1</v>
      </c>
      <c r="EL52" s="73">
        <f t="shared" si="93"/>
        <v>1</v>
      </c>
      <c r="EM52" s="73">
        <f t="shared" si="94"/>
        <v>1</v>
      </c>
      <c r="EN52" s="73" t="str">
        <f t="shared" si="55"/>
        <v>0</v>
      </c>
      <c r="EO52" s="73" t="str">
        <f t="shared" si="56"/>
        <v/>
      </c>
      <c r="EP52" s="73" t="str">
        <f t="shared" si="57"/>
        <v/>
      </c>
      <c r="EQ52" s="53" t="str">
        <f t="shared" si="58"/>
        <v/>
      </c>
      <c r="ER52" s="47" t="s">
        <v>0</v>
      </c>
      <c r="ES52" s="19" t="str">
        <f t="shared" si="95"/>
        <v>INSERT INTO rezultat(id,stazakategorija_id,imeprezime_id,vrijeme_sec,status_id,registracija,uparivanje_id,originalstatus_id,imeprezimealias_id,klubalias_id,kategorijaalias_id) VALUES (226,26,1419,5866,1,1,1,0,Null,Null,Null);</v>
      </c>
      <c r="ET52" s="47" t="s">
        <v>0</v>
      </c>
      <c r="EU52" s="19" t="str">
        <f t="shared" si="96"/>
        <v>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2" s="47" t="s">
        <v>0</v>
      </c>
      <c r="EW52" s="180" t="str">
        <f t="shared" si="60"/>
        <v xml:space="preserve">
INSERT INTO rezultat(id,stazakategorija_id,imeprezime_id,vrijeme_sec,status_id,registracija,uparivanje_id,originalstatus_id,imeprezimealias_id,klubalias_id,kategorijaalias_id) VALUES (226,26,1419,5866,1,1,1,0,Null,Null,Null);
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2" s="47" t="s">
        <v>0</v>
      </c>
    </row>
    <row r="53" spans="1:154" x14ac:dyDescent="0.25">
      <c r="A53" t="s">
        <v>0</v>
      </c>
      <c r="B53" s="52" t="str">
        <f>IF(csv!F43="","",csv!T43)</f>
        <v>M20</v>
      </c>
      <c r="C53" s="31" t="s">
        <v>0</v>
      </c>
      <c r="D53" s="31" t="str">
        <f>IF(csv!F43="","",csv!F43)</f>
        <v>Ozren</v>
      </c>
      <c r="E53" s="31" t="str">
        <f>IF(csv!E43="","",csv!E43)</f>
        <v>Pevec</v>
      </c>
      <c r="F53" s="31" t="s">
        <v>0</v>
      </c>
      <c r="G53" s="73" t="str">
        <f>IF(csv!M43="","",csv!M43)</f>
        <v>157:07</v>
      </c>
      <c r="H53" s="73" t="str">
        <f>IF(csv!N43="","",csv!N43)</f>
        <v>0</v>
      </c>
      <c r="I53" s="31" t="s">
        <v>0</v>
      </c>
      <c r="J53" s="31" t="str">
        <f>IF(csv!P43="","",csv!P43)</f>
        <v>OK Varaždin</v>
      </c>
      <c r="K53" s="31" t="str">
        <f>IF(csv!Q43="","",csv!Q43)</f>
        <v>OK Varaždin</v>
      </c>
      <c r="L53" s="31" t="s">
        <v>0</v>
      </c>
      <c r="M53" s="66" t="str">
        <f>IF(csv!R43="","",csv!R43)</f>
        <v>CRO</v>
      </c>
      <c r="N53" s="47" t="s">
        <v>0</v>
      </c>
      <c r="O53" s="246" t="str">
        <f t="shared" si="61"/>
        <v>ok</v>
      </c>
      <c r="P53" s="47"/>
      <c r="Q53" s="52" t="str">
        <f t="shared" si="62"/>
        <v>M20</v>
      </c>
      <c r="R53" s="73">
        <f>IF(Q53="","",IF(COUNTIF(Q$12:Q52,Q53)=0,R52+1,R52))</f>
        <v>4</v>
      </c>
      <c r="S53" s="73">
        <f t="shared" si="63"/>
        <v>109</v>
      </c>
      <c r="T53" s="73">
        <f t="shared" si="1"/>
        <v>20</v>
      </c>
      <c r="U53" s="66" t="str">
        <f t="shared" si="2"/>
        <v>M20</v>
      </c>
      <c r="V53" s="47" t="s">
        <v>0</v>
      </c>
      <c r="W53" s="222" t="str">
        <f t="shared" si="3"/>
        <v>M20</v>
      </c>
      <c r="X53" s="223">
        <f t="shared" si="4"/>
        <v>26</v>
      </c>
      <c r="Y53" s="47" t="s">
        <v>0</v>
      </c>
      <c r="Z53" s="52" t="str">
        <f t="shared" si="64"/>
        <v>CRO</v>
      </c>
      <c r="AA53" s="73">
        <f t="shared" si="5"/>
        <v>1</v>
      </c>
      <c r="AB53" s="31" t="str">
        <f t="shared" si="65"/>
        <v/>
      </c>
      <c r="AC53" s="66" t="str">
        <f>IF(AB53="","",MAX(AC$12:AC52)+1)</f>
        <v/>
      </c>
      <c r="AD53" s="47" t="s">
        <v>0</v>
      </c>
      <c r="AE53" s="125"/>
      <c r="AF53" s="47" t="s">
        <v>0</v>
      </c>
      <c r="AG53" s="19" t="str">
        <f t="shared" si="66"/>
        <v/>
      </c>
      <c r="AH53" s="47" t="s">
        <v>0</v>
      </c>
      <c r="AI53" s="143" t="str">
        <f t="shared" si="67"/>
        <v>CRO</v>
      </c>
      <c r="AJ53" s="47"/>
      <c r="AK53" s="52" t="str">
        <f t="shared" si="68"/>
        <v>Ozren</v>
      </c>
      <c r="AL53" s="31" t="str">
        <f t="shared" si="69"/>
        <v>Pevec</v>
      </c>
      <c r="AM53" s="73">
        <f t="shared" si="70"/>
        <v>1116</v>
      </c>
      <c r="AN53" s="73" t="str">
        <f t="shared" si="71"/>
        <v/>
      </c>
      <c r="AO53" s="31" t="str">
        <f t="shared" si="8"/>
        <v>Ozren</v>
      </c>
      <c r="AP53" s="66" t="str">
        <f t="shared" si="9"/>
        <v>Pevec</v>
      </c>
      <c r="AQ53" s="47" t="s">
        <v>0</v>
      </c>
      <c r="AR53" s="82" t="str">
        <f t="shared" si="72"/>
        <v/>
      </c>
      <c r="AS53" s="47" t="s">
        <v>0</v>
      </c>
      <c r="AT53" s="19" t="str">
        <f t="shared" si="73"/>
        <v/>
      </c>
      <c r="AU53" s="47" t="s">
        <v>0</v>
      </c>
      <c r="AV53" s="103"/>
      <c r="AW53" s="105"/>
      <c r="AX53" s="47" t="s">
        <v>0</v>
      </c>
      <c r="AY53" s="259" t="str">
        <f t="shared" si="102"/>
        <v/>
      </c>
      <c r="AZ53" s="47" t="s">
        <v>0</v>
      </c>
      <c r="BA53" s="52" t="str">
        <f t="shared" si="11"/>
        <v/>
      </c>
      <c r="BB53" s="73" t="str">
        <f>IF(AV53&amp;AW53="","",MAX(BB$12:BB52)+1)</f>
        <v/>
      </c>
      <c r="BC53" s="272" t="str">
        <f t="shared" si="12"/>
        <v/>
      </c>
      <c r="BD53" s="53" t="str">
        <f>IF(AND(AM53="NEMA",AN53="NEMA",OR(AV53&amp;AW53="",BC53="NEMA")),MAX(BD$12:BD52)+1,"")</f>
        <v/>
      </c>
      <c r="BE53" s="47" t="s">
        <v>0</v>
      </c>
      <c r="BF53" s="52" t="str">
        <f t="shared" si="74"/>
        <v>Ozren</v>
      </c>
      <c r="BG53" s="66" t="str">
        <f t="shared" si="75"/>
        <v>Pevec</v>
      </c>
      <c r="BH53" s="47" t="s">
        <v>0</v>
      </c>
      <c r="BI53" s="52" t="str">
        <f t="shared" si="15"/>
        <v>OK Varaždin</v>
      </c>
      <c r="BJ53" s="31" t="str">
        <f t="shared" si="16"/>
        <v>OK Varaždin</v>
      </c>
      <c r="BK53" s="73" t="str">
        <f t="shared" si="17"/>
        <v/>
      </c>
      <c r="BL53" s="31" t="str" cm="1">
        <f t="array" ref="BL53">IF(BK53="",""&amp;BJ53,IF(BK53="NEMA",BJ53,INDEX(regKlub_naziv,MATCH(INDEX(regKlub_alias_klubId,BK53),regKlub_id,0))))</f>
        <v>OK Varaždin</v>
      </c>
      <c r="BM53" s="31" t="str" cm="1">
        <f t="array" ref="BM53">IFERROR(""&amp;INDEX(regNatjecatelj_klub,DV53),"")</f>
        <v>OK Varaždin</v>
      </c>
      <c r="BN53" s="73" t="str">
        <f t="shared" si="76"/>
        <v/>
      </c>
      <c r="BO53" s="66" t="str">
        <f t="shared" si="77"/>
        <v>OK Varaždin</v>
      </c>
      <c r="BP53" s="47" t="s">
        <v>0</v>
      </c>
      <c r="BQ53" s="52" t="str">
        <f>IF(X53&lt;&gt;"NEMA","",IF(IFERROR(MATCH(W53,W$12:W52,0),0)&lt;&gt;0,"",W53))</f>
        <v/>
      </c>
      <c r="BR53" s="73" t="str">
        <f t="shared" si="78"/>
        <v/>
      </c>
      <c r="BS53" s="31" t="str">
        <f>IF(OR(BR53="",BR53&lt;&gt;"NEMA"),"",MAX(BS$12:BS52)+1)</f>
        <v/>
      </c>
      <c r="BT53" s="66" t="str">
        <f t="shared" si="79"/>
        <v/>
      </c>
      <c r="BU53" s="47" t="s">
        <v>0</v>
      </c>
      <c r="BV53" s="19" t="str">
        <f t="shared" si="80"/>
        <v/>
      </c>
      <c r="BW53" s="47" t="s">
        <v>0</v>
      </c>
      <c r="BX53" s="82" t="str">
        <f>IF(BK53&lt;&gt;"NEMA","",IF(IFERROR(MATCH(BJ53,BJ$12:BJ52,0),0)&lt;&gt;0,"",BJ53))</f>
        <v/>
      </c>
      <c r="BY53" s="47" t="s">
        <v>0</v>
      </c>
      <c r="BZ53" s="125"/>
      <c r="CA53" s="47" t="s">
        <v>0</v>
      </c>
      <c r="CB53" s="58" t="str">
        <f t="shared" si="81"/>
        <v/>
      </c>
      <c r="CC53" s="31" t="str">
        <f t="shared" si="82"/>
        <v/>
      </c>
      <c r="CD53" s="31" t="str">
        <f>IF(CC53="","",MAX(CD$12:CD52)+1)</f>
        <v/>
      </c>
      <c r="CE53" s="31" t="str">
        <f t="shared" si="22"/>
        <v/>
      </c>
      <c r="CF53" s="31" t="str">
        <f t="shared" si="83"/>
        <v/>
      </c>
      <c r="CG53" s="31" t="str">
        <f>IF(BZ53="","",MAX(CG$12:CG52)+1)</f>
        <v/>
      </c>
      <c r="CH53" s="31" t="str">
        <f t="shared" si="84"/>
        <v/>
      </c>
      <c r="CI53" s="66" t="str">
        <f t="shared" si="85"/>
        <v/>
      </c>
      <c r="CJ53" s="47" t="s">
        <v>0</v>
      </c>
      <c r="CK53" s="73" t="str">
        <f t="shared" si="25"/>
        <v/>
      </c>
      <c r="CL53" s="47"/>
      <c r="CM53" s="19" t="str">
        <f t="shared" si="86"/>
        <v/>
      </c>
      <c r="CN53" s="47" t="s">
        <v>0</v>
      </c>
      <c r="CO53" s="143" t="str">
        <f t="shared" si="87"/>
        <v>OK Varaždin</v>
      </c>
      <c r="CP53" s="47" t="s">
        <v>0</v>
      </c>
      <c r="CQ53" s="58" t="str">
        <f t="shared" si="109"/>
        <v>157:07</v>
      </c>
      <c r="CR53" s="73" t="str">
        <f t="shared" si="110"/>
        <v>0</v>
      </c>
      <c r="CS53" s="229" t="str">
        <f t="shared" si="30"/>
        <v/>
      </c>
      <c r="CT53" s="230">
        <f t="shared" si="31"/>
        <v>9427</v>
      </c>
      <c r="CU53" s="163">
        <f t="shared" si="32"/>
        <v>1</v>
      </c>
      <c r="CV53" s="47" t="s">
        <v>0</v>
      </c>
      <c r="CW53" s="222" t="str">
        <f t="shared" si="89"/>
        <v xml:space="preserve">
</v>
      </c>
      <c r="CX53" s="223">
        <f t="shared" si="90"/>
        <v>6</v>
      </c>
      <c r="CY53" s="47" t="s">
        <v>0</v>
      </c>
      <c r="CZ53" s="47"/>
      <c r="DA53" s="47"/>
      <c r="DB53" s="47"/>
      <c r="DC53" s="47" t="s">
        <v>0</v>
      </c>
      <c r="DD53" s="53" t="str">
        <f t="shared" si="103"/>
        <v/>
      </c>
      <c r="DE53" t="s">
        <v>0</v>
      </c>
      <c r="DF53" s="128" t="str">
        <f t="shared" si="104"/>
        <v>M</v>
      </c>
      <c r="DG53" t="s">
        <v>0</v>
      </c>
      <c r="DH53" s="52" t="str">
        <f t="shared" si="105"/>
        <v/>
      </c>
      <c r="DI53" s="66" t="str">
        <f t="shared" si="106"/>
        <v/>
      </c>
      <c r="DJ53" t="s">
        <v>0</v>
      </c>
      <c r="DK53" s="19" t="str">
        <f t="shared" si="107"/>
        <v/>
      </c>
      <c r="DL53" s="47" t="s">
        <v>0</v>
      </c>
      <c r="DM53" s="19" t="str">
        <f t="shared" si="108"/>
        <v/>
      </c>
      <c r="DN53" s="47" t="s">
        <v>0</v>
      </c>
      <c r="DO53" s="52" t="str">
        <f t="shared" si="39"/>
        <v>Ozren – Pevec – OK Varaždin – M20</v>
      </c>
      <c r="DP53" s="53">
        <f t="shared" si="40"/>
        <v>573</v>
      </c>
      <c r="DQ53" s="47" t="s">
        <v>0</v>
      </c>
      <c r="DR53" s="52" t="str">
        <f t="shared" si="41"/>
        <v>Ozren – Pevec – OK Varaždin</v>
      </c>
      <c r="DS53" s="53">
        <f t="shared" si="42"/>
        <v>573</v>
      </c>
      <c r="DT53" s="47" t="s">
        <v>0</v>
      </c>
      <c r="DU53" s="52" t="str">
        <f t="shared" si="43"/>
        <v>Ozren – Pevec</v>
      </c>
      <c r="DV53" s="53">
        <f t="shared" si="44"/>
        <v>573</v>
      </c>
      <c r="DW53" s="47" t="s">
        <v>0</v>
      </c>
      <c r="DX53" s="58">
        <f t="shared" si="91"/>
        <v>573</v>
      </c>
      <c r="DY53" s="53" cm="1">
        <f t="array" ref="DY53">IF(DX53&lt;&gt;"",INDEX(regNatjecatelj_id,DX53,0),IF(BD53&lt;&gt;"",BD53,""))</f>
        <v>1116</v>
      </c>
      <c r="DZ53" s="47" t="s">
        <v>0</v>
      </c>
      <c r="EA53" s="58" t="str">
        <f t="shared" si="45"/>
        <v>imepre</v>
      </c>
      <c r="EB53" s="73" t="str">
        <f t="shared" si="46"/>
        <v>klu</v>
      </c>
      <c r="EC53" s="73" t="str">
        <f t="shared" si="47"/>
        <v>kat</v>
      </c>
      <c r="ED53" s="73" t="str">
        <f t="shared" si="48"/>
        <v/>
      </c>
      <c r="EE53" s="66" t="str">
        <f t="shared" si="49"/>
        <v>imepre-klu-kat</v>
      </c>
      <c r="EF53" s="47" t="s">
        <v>0</v>
      </c>
      <c r="EG53" s="58">
        <f>IF(AL53="","",MAX(EG$12:EG52)+1)</f>
        <v>227</v>
      </c>
      <c r="EH53" s="73">
        <f t="shared" si="50"/>
        <v>26</v>
      </c>
      <c r="EI53" s="73">
        <f t="shared" si="92"/>
        <v>1116</v>
      </c>
      <c r="EJ53" s="73">
        <f t="shared" si="51"/>
        <v>9427</v>
      </c>
      <c r="EK53" s="73">
        <f t="shared" si="52"/>
        <v>1</v>
      </c>
      <c r="EL53" s="73">
        <f t="shared" si="93"/>
        <v>1</v>
      </c>
      <c r="EM53" s="73">
        <f t="shared" si="94"/>
        <v>1</v>
      </c>
      <c r="EN53" s="73" t="str">
        <f t="shared" si="55"/>
        <v>0</v>
      </c>
      <c r="EO53" s="73" t="str">
        <f t="shared" si="56"/>
        <v/>
      </c>
      <c r="EP53" s="73" t="str">
        <f t="shared" si="57"/>
        <v/>
      </c>
      <c r="EQ53" s="53" t="str">
        <f t="shared" si="58"/>
        <v/>
      </c>
      <c r="ER53" s="47" t="s">
        <v>0</v>
      </c>
      <c r="ES53" s="19" t="str">
        <f t="shared" si="95"/>
        <v>INSERT INTO rezultat(id,stazakategorija_id,imeprezime_id,vrijeme_sec,status_id,registracija,uparivanje_id,originalstatus_id,imeprezimealias_id,klubalias_id,kategorijaalias_id) VALUES (227,26,1116,9427,1,1,1,0,Null,Null,Null);</v>
      </c>
      <c r="ET53" s="47" t="s">
        <v>0</v>
      </c>
      <c r="EU53" s="19" t="str">
        <f t="shared" si="96"/>
        <v>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3" s="47" t="s">
        <v>0</v>
      </c>
      <c r="EW53" s="180" t="str">
        <f t="shared" si="60"/>
        <v xml:space="preserve">
INSERT INTO rezultat(id,stazakategorija_id,imeprezime_id,vrijeme_sec,status_id,registracija,uparivanje_id,originalstatus_id,imeprezimealias_id,klubalias_id,kategorijaalias_id) VALUES (227,26,1116,9427,1,1,1,0,Null,Null,Null);
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3" s="47" t="s">
        <v>0</v>
      </c>
    </row>
    <row r="54" spans="1:154" x14ac:dyDescent="0.25">
      <c r="A54" t="s">
        <v>0</v>
      </c>
      <c r="B54" s="52" t="str">
        <f>IF(csv!F44="","",csv!T44)</f>
        <v>M20</v>
      </c>
      <c r="C54" s="31" t="s">
        <v>0</v>
      </c>
      <c r="D54" s="31" t="str">
        <f>IF(csv!F44="","",csv!F44)</f>
        <v>Vacant</v>
      </c>
      <c r="E54" s="31" t="str">
        <f>IF(csv!E44="","",csv!E44)</f>
        <v/>
      </c>
      <c r="F54" s="31" t="s">
        <v>0</v>
      </c>
      <c r="G54" s="73" t="str">
        <f>IF(csv!M44="","",csv!M44)</f>
        <v/>
      </c>
      <c r="H54" s="73" t="str">
        <f>IF(csv!N44="","",csv!N44)</f>
        <v>0</v>
      </c>
      <c r="I54" s="31" t="s">
        <v>0</v>
      </c>
      <c r="J54" s="31" t="str">
        <f>IF(csv!P44="","",csv!P44)</f>
        <v/>
      </c>
      <c r="K54" s="31" t="str">
        <f>IF(csv!Q44="","",csv!Q44)</f>
        <v/>
      </c>
      <c r="L54" s="31" t="s">
        <v>0</v>
      </c>
      <c r="M54" s="66" t="str">
        <f>IF(csv!R44="","",csv!R44)</f>
        <v/>
      </c>
      <c r="N54" s="47" t="s">
        <v>0</v>
      </c>
      <c r="O54" s="246" t="str">
        <f t="shared" si="61"/>
        <v/>
      </c>
      <c r="P54" s="47"/>
      <c r="Q54" s="52" t="str">
        <f t="shared" si="62"/>
        <v>M20</v>
      </c>
      <c r="R54" s="73">
        <f>IF(Q54="","",IF(COUNTIF(Q$12:Q53,Q54)=0,R53+1,R53))</f>
        <v>4</v>
      </c>
      <c r="S54" s="73">
        <f t="shared" si="63"/>
        <v>109</v>
      </c>
      <c r="T54" s="73">
        <f t="shared" si="1"/>
        <v>20</v>
      </c>
      <c r="U54" s="66" t="str">
        <f t="shared" si="2"/>
        <v>M20</v>
      </c>
      <c r="V54" s="47" t="s">
        <v>0</v>
      </c>
      <c r="W54" s="222" t="str">
        <f t="shared" si="3"/>
        <v/>
      </c>
      <c r="X54" s="223" t="str">
        <f t="shared" si="4"/>
        <v/>
      </c>
      <c r="Y54" s="47" t="s">
        <v>0</v>
      </c>
      <c r="Z54" s="52" t="str">
        <f t="shared" si="64"/>
        <v/>
      </c>
      <c r="AA54" s="73" t="str">
        <f t="shared" si="5"/>
        <v/>
      </c>
      <c r="AB54" s="31" t="str">
        <f t="shared" si="65"/>
        <v/>
      </c>
      <c r="AC54" s="66" t="str">
        <f>IF(AB54="","",MAX(AC$12:AC53)+1)</f>
        <v/>
      </c>
      <c r="AD54" s="47" t="s">
        <v>0</v>
      </c>
      <c r="AE54" s="125"/>
      <c r="AF54" s="47" t="s">
        <v>0</v>
      </c>
      <c r="AG54" s="19" t="str">
        <f t="shared" si="66"/>
        <v/>
      </c>
      <c r="AH54" s="47" t="s">
        <v>0</v>
      </c>
      <c r="AI54" s="143" t="str">
        <f t="shared" si="67"/>
        <v/>
      </c>
      <c r="AJ54" s="47"/>
      <c r="AK54" s="52" t="str">
        <f t="shared" si="68"/>
        <v/>
      </c>
      <c r="AL54" s="31" t="str">
        <f t="shared" si="69"/>
        <v/>
      </c>
      <c r="AM54" s="73" t="str">
        <f t="shared" si="70"/>
        <v/>
      </c>
      <c r="AN54" s="73" t="str">
        <f t="shared" si="71"/>
        <v/>
      </c>
      <c r="AO54" s="31" t="str">
        <f t="shared" si="8"/>
        <v/>
      </c>
      <c r="AP54" s="66" t="str">
        <f t="shared" si="9"/>
        <v/>
      </c>
      <c r="AQ54" s="47" t="s">
        <v>0</v>
      </c>
      <c r="AR54" s="82" t="str">
        <f t="shared" si="72"/>
        <v/>
      </c>
      <c r="AS54" s="47" t="s">
        <v>0</v>
      </c>
      <c r="AT54" s="19" t="str">
        <f t="shared" si="73"/>
        <v/>
      </c>
      <c r="AU54" s="47" t="s">
        <v>0</v>
      </c>
      <c r="AV54" s="103"/>
      <c r="AW54" s="105"/>
      <c r="AX54" s="47" t="s">
        <v>0</v>
      </c>
      <c r="AY54" s="259" t="str">
        <f t="shared" si="102"/>
        <v/>
      </c>
      <c r="AZ54" s="47" t="s">
        <v>0</v>
      </c>
      <c r="BA54" s="52" t="str">
        <f t="shared" si="11"/>
        <v/>
      </c>
      <c r="BB54" s="73" t="str">
        <f>IF(AV54&amp;AW54="","",MAX(BB$12:BB53)+1)</f>
        <v/>
      </c>
      <c r="BC54" s="272" t="str">
        <f t="shared" si="12"/>
        <v/>
      </c>
      <c r="BD54" s="53" t="str">
        <f>IF(AND(AM54="NEMA",AN54="NEMA",OR(AV54&amp;AW54="",BC54="NEMA")),MAX(BD$12:BD53)+1,"")</f>
        <v/>
      </c>
      <c r="BE54" s="47" t="s">
        <v>0</v>
      </c>
      <c r="BF54" s="52" t="str">
        <f t="shared" si="74"/>
        <v/>
      </c>
      <c r="BG54" s="66" t="str">
        <f t="shared" si="75"/>
        <v/>
      </c>
      <c r="BH54" s="47" t="s">
        <v>0</v>
      </c>
      <c r="BI54" s="52" t="str">
        <f t="shared" si="15"/>
        <v/>
      </c>
      <c r="BJ54" s="31" t="str">
        <f t="shared" si="16"/>
        <v/>
      </c>
      <c r="BK54" s="73" t="str">
        <f t="shared" si="17"/>
        <v/>
      </c>
      <c r="BL54" s="31" t="str" cm="1">
        <f t="array" ref="BL54">IF(BK54="",""&amp;BJ54,IF(BK54="NEMA",BJ54,INDEX(regKlub_naziv,MATCH(INDEX(regKlub_alias_klubId,BK54),regKlub_id,0))))</f>
        <v/>
      </c>
      <c r="BM54" s="31" t="str" cm="1">
        <f t="array" ref="BM54">IFERROR(""&amp;INDEX(regNatjecatelj_klub,DV54),"")</f>
        <v/>
      </c>
      <c r="BN54" s="73" t="str">
        <f t="shared" si="76"/>
        <v/>
      </c>
      <c r="BO54" s="66" t="str">
        <f t="shared" si="77"/>
        <v/>
      </c>
      <c r="BP54" s="47" t="s">
        <v>0</v>
      </c>
      <c r="BQ54" s="52" t="str">
        <f>IF(X54&lt;&gt;"NEMA","",IF(IFERROR(MATCH(W54,W$12:W53,0),0)&lt;&gt;0,"",W54))</f>
        <v/>
      </c>
      <c r="BR54" s="73" t="str">
        <f t="shared" si="78"/>
        <v/>
      </c>
      <c r="BS54" s="31" t="str">
        <f>IF(OR(BR54="",BR54&lt;&gt;"NEMA"),"",MAX(BS$12:BS53)+1)</f>
        <v/>
      </c>
      <c r="BT54" s="66" t="str">
        <f t="shared" si="79"/>
        <v/>
      </c>
      <c r="BU54" s="47" t="s">
        <v>0</v>
      </c>
      <c r="BV54" s="19" t="str">
        <f t="shared" si="80"/>
        <v/>
      </c>
      <c r="BW54" s="47" t="s">
        <v>0</v>
      </c>
      <c r="BX54" s="82" t="str">
        <f>IF(BK54&lt;&gt;"NEMA","",IF(IFERROR(MATCH(BJ54,BJ$12:BJ53,0),0)&lt;&gt;0,"",BJ54))</f>
        <v/>
      </c>
      <c r="BY54" s="47" t="s">
        <v>0</v>
      </c>
      <c r="BZ54" s="125"/>
      <c r="CA54" s="47" t="s">
        <v>0</v>
      </c>
      <c r="CB54" s="58" t="str">
        <f t="shared" si="81"/>
        <v/>
      </c>
      <c r="CC54" s="31" t="str">
        <f t="shared" si="82"/>
        <v/>
      </c>
      <c r="CD54" s="31" t="str">
        <f>IF(CC54="","",MAX(CD$12:CD53)+1)</f>
        <v/>
      </c>
      <c r="CE54" s="31" t="str">
        <f t="shared" si="22"/>
        <v/>
      </c>
      <c r="CF54" s="31" t="str">
        <f t="shared" si="83"/>
        <v/>
      </c>
      <c r="CG54" s="31" t="str">
        <f>IF(BZ54="","",MAX(CG$12:CG53)+1)</f>
        <v/>
      </c>
      <c r="CH54" s="31" t="str">
        <f t="shared" si="84"/>
        <v/>
      </c>
      <c r="CI54" s="66" t="str">
        <f t="shared" si="85"/>
        <v/>
      </c>
      <c r="CJ54" s="47" t="s">
        <v>0</v>
      </c>
      <c r="CK54" s="73" t="str">
        <f t="shared" si="25"/>
        <v/>
      </c>
      <c r="CL54" s="47"/>
      <c r="CM54" s="19" t="str">
        <f t="shared" si="86"/>
        <v/>
      </c>
      <c r="CN54" s="47" t="s">
        <v>0</v>
      </c>
      <c r="CO54" s="143" t="str">
        <f t="shared" si="87"/>
        <v/>
      </c>
      <c r="CP54" s="47" t="s">
        <v>0</v>
      </c>
      <c r="CQ54" s="58" t="str">
        <f t="shared" si="109"/>
        <v/>
      </c>
      <c r="CR54" s="73" t="str">
        <f t="shared" si="110"/>
        <v>0</v>
      </c>
      <c r="CS54" s="229" t="str">
        <f t="shared" si="30"/>
        <v/>
      </c>
      <c r="CT54" s="230" t="str">
        <f t="shared" si="31"/>
        <v/>
      </c>
      <c r="CU54" s="163" t="str">
        <f t="shared" si="32"/>
        <v/>
      </c>
      <c r="CV54" s="47" t="s">
        <v>0</v>
      </c>
      <c r="CW54" s="222" t="str">
        <f t="shared" si="89"/>
        <v xml:space="preserve">
</v>
      </c>
      <c r="CX54" s="223" t="str">
        <f t="shared" si="90"/>
        <v/>
      </c>
      <c r="CY54" s="47" t="s">
        <v>0</v>
      </c>
      <c r="CZ54" s="47"/>
      <c r="DA54" s="47"/>
      <c r="DB54" s="47"/>
      <c r="DC54" s="47" t="s">
        <v>0</v>
      </c>
      <c r="DD54" s="53" t="str">
        <f t="shared" si="103"/>
        <v/>
      </c>
      <c r="DE54" t="s">
        <v>0</v>
      </c>
      <c r="DF54" s="128" t="str">
        <f t="shared" si="104"/>
        <v>M</v>
      </c>
      <c r="DG54" t="s">
        <v>0</v>
      </c>
      <c r="DH54" s="52" t="str">
        <f t="shared" si="105"/>
        <v/>
      </c>
      <c r="DI54" s="66" t="str">
        <f t="shared" si="106"/>
        <v/>
      </c>
      <c r="DJ54" t="s">
        <v>0</v>
      </c>
      <c r="DK54" s="19" t="str">
        <f t="shared" si="107"/>
        <v/>
      </c>
      <c r="DL54" s="47" t="s">
        <v>0</v>
      </c>
      <c r="DM54" s="19" t="str">
        <f t="shared" si="108"/>
        <v/>
      </c>
      <c r="DN54" s="47" t="s">
        <v>0</v>
      </c>
      <c r="DO54" s="52" t="str">
        <f t="shared" si="39"/>
        <v/>
      </c>
      <c r="DP54" s="53" t="str">
        <f t="shared" si="40"/>
        <v/>
      </c>
      <c r="DQ54" s="47" t="s">
        <v>0</v>
      </c>
      <c r="DR54" s="52" t="str">
        <f t="shared" si="41"/>
        <v/>
      </c>
      <c r="DS54" s="53" t="str">
        <f t="shared" si="42"/>
        <v/>
      </c>
      <c r="DT54" s="47" t="s">
        <v>0</v>
      </c>
      <c r="DU54" s="52" t="str">
        <f t="shared" si="43"/>
        <v/>
      </c>
      <c r="DV54" s="53" t="str">
        <f t="shared" si="44"/>
        <v/>
      </c>
      <c r="DW54" s="47" t="s">
        <v>0</v>
      </c>
      <c r="DX54" s="58" t="str">
        <f t="shared" si="91"/>
        <v/>
      </c>
      <c r="DY54" s="53" t="str" cm="1">
        <f t="array" ref="DY54">IF(DX54&lt;&gt;"",INDEX(regNatjecatelj_id,DX54,0),IF(BD54&lt;&gt;"",BD54,""))</f>
        <v/>
      </c>
      <c r="DZ54" s="47" t="s">
        <v>0</v>
      </c>
      <c r="EA54" s="58" t="str">
        <f t="shared" si="45"/>
        <v/>
      </c>
      <c r="EB54" s="73" t="str">
        <f t="shared" si="46"/>
        <v/>
      </c>
      <c r="EC54" s="73" t="str">
        <f t="shared" si="47"/>
        <v/>
      </c>
      <c r="ED54" s="73" t="str">
        <f t="shared" si="48"/>
        <v/>
      </c>
      <c r="EE54" s="66" t="str">
        <f t="shared" si="49"/>
        <v/>
      </c>
      <c r="EF54" s="47" t="s">
        <v>0</v>
      </c>
      <c r="EG54" s="58" t="str">
        <f>IF(AL54="","",MAX(EG$12:EG53)+1)</f>
        <v/>
      </c>
      <c r="EH54" s="73" t="str">
        <f t="shared" si="50"/>
        <v/>
      </c>
      <c r="EI54" s="73" t="str">
        <f t="shared" si="92"/>
        <v/>
      </c>
      <c r="EJ54" s="73" t="str">
        <f t="shared" si="51"/>
        <v/>
      </c>
      <c r="EK54" s="73" t="str">
        <f t="shared" si="52"/>
        <v/>
      </c>
      <c r="EL54" s="73" t="str">
        <f t="shared" si="93"/>
        <v/>
      </c>
      <c r="EM54" s="73" t="str">
        <f t="shared" si="94"/>
        <v/>
      </c>
      <c r="EN54" s="73" t="str">
        <f t="shared" si="55"/>
        <v/>
      </c>
      <c r="EO54" s="73" t="str">
        <f t="shared" si="56"/>
        <v/>
      </c>
      <c r="EP54" s="73" t="str">
        <f t="shared" si="57"/>
        <v/>
      </c>
      <c r="EQ54" s="53" t="str">
        <f t="shared" si="58"/>
        <v/>
      </c>
      <c r="ER54" s="47" t="s">
        <v>0</v>
      </c>
      <c r="ES54" s="19" t="str">
        <f t="shared" si="95"/>
        <v/>
      </c>
      <c r="ET54" s="47" t="s">
        <v>0</v>
      </c>
      <c r="EU54" s="19" t="str">
        <f t="shared" si="96"/>
        <v/>
      </c>
      <c r="EV54" s="47" t="s">
        <v>0</v>
      </c>
      <c r="EW54" s="180" t="str">
        <f t="shared" si="60"/>
        <v/>
      </c>
      <c r="EX54" s="47" t="s">
        <v>0</v>
      </c>
    </row>
    <row r="55" spans="1:154" x14ac:dyDescent="0.25">
      <c r="A55" t="s">
        <v>0</v>
      </c>
      <c r="B55" s="52" t="str">
        <f>IF(csv!F45="","",csv!T45)</f>
        <v>M20</v>
      </c>
      <c r="C55" s="31" t="s">
        <v>0</v>
      </c>
      <c r="D55" s="31" t="str">
        <f>IF(csv!F45="","",csv!F45)</f>
        <v>Antonio</v>
      </c>
      <c r="E55" s="31" t="str">
        <f>IF(csv!E45="","",csv!E45)</f>
        <v>Cindrić</v>
      </c>
      <c r="F55" s="31" t="s">
        <v>0</v>
      </c>
      <c r="G55" s="73" t="str">
        <f>IF(csv!M45="","",csv!M45)</f>
        <v/>
      </c>
      <c r="H55" s="73" t="str">
        <f>IF(csv!N45="","",csv!N45)</f>
        <v>2</v>
      </c>
      <c r="I55" s="31" t="s">
        <v>0</v>
      </c>
      <c r="J55" s="31" t="str">
        <f>IF(csv!P45="","",csv!P45)</f>
        <v>OK Jelen</v>
      </c>
      <c r="K55" s="31" t="str">
        <f>IF(csv!Q45="","",csv!Q45)</f>
        <v>OK Jelen</v>
      </c>
      <c r="L55" s="31" t="s">
        <v>0</v>
      </c>
      <c r="M55" s="66" t="str">
        <f>IF(csv!R45="","",csv!R45)</f>
        <v>CRO</v>
      </c>
      <c r="N55" s="47" t="s">
        <v>0</v>
      </c>
      <c r="O55" s="246" t="str">
        <f t="shared" si="61"/>
        <v>ok</v>
      </c>
      <c r="P55" s="47"/>
      <c r="Q55" s="52" t="str">
        <f t="shared" si="62"/>
        <v>M20</v>
      </c>
      <c r="R55" s="73">
        <f>IF(Q55="","",IF(COUNTIF(Q$12:Q54,Q55)=0,R54+1,R54))</f>
        <v>4</v>
      </c>
      <c r="S55" s="73">
        <f t="shared" si="63"/>
        <v>109</v>
      </c>
      <c r="T55" s="73">
        <f t="shared" si="1"/>
        <v>20</v>
      </c>
      <c r="U55" s="66" t="str">
        <f t="shared" si="2"/>
        <v>M20</v>
      </c>
      <c r="V55" s="47" t="s">
        <v>0</v>
      </c>
      <c r="W55" s="222" t="str">
        <f t="shared" si="3"/>
        <v>M20</v>
      </c>
      <c r="X55" s="223">
        <f t="shared" si="4"/>
        <v>26</v>
      </c>
      <c r="Y55" s="47" t="s">
        <v>0</v>
      </c>
      <c r="Z55" s="52" t="str">
        <f t="shared" si="64"/>
        <v>CRO</v>
      </c>
      <c r="AA55" s="73">
        <f t="shared" si="5"/>
        <v>1</v>
      </c>
      <c r="AB55" s="31" t="str">
        <f t="shared" si="65"/>
        <v/>
      </c>
      <c r="AC55" s="66" t="str">
        <f>IF(AB55="","",MAX(AC$12:AC54)+1)</f>
        <v/>
      </c>
      <c r="AD55" s="47" t="s">
        <v>0</v>
      </c>
      <c r="AE55" s="125"/>
      <c r="AF55" s="47" t="s">
        <v>0</v>
      </c>
      <c r="AG55" s="19" t="str">
        <f t="shared" si="66"/>
        <v/>
      </c>
      <c r="AH55" s="47" t="s">
        <v>0</v>
      </c>
      <c r="AI55" s="143" t="str">
        <f t="shared" si="67"/>
        <v>CRO</v>
      </c>
      <c r="AJ55" s="47"/>
      <c r="AK55" s="52" t="str">
        <f t="shared" si="68"/>
        <v>Antonio</v>
      </c>
      <c r="AL55" s="31" t="str">
        <f t="shared" si="69"/>
        <v>Cindrić</v>
      </c>
      <c r="AM55" s="73">
        <f t="shared" si="70"/>
        <v>1311</v>
      </c>
      <c r="AN55" s="73" t="str">
        <f t="shared" si="71"/>
        <v/>
      </c>
      <c r="AO55" s="31" t="str">
        <f t="shared" si="8"/>
        <v>Antonio</v>
      </c>
      <c r="AP55" s="66" t="str">
        <f t="shared" si="9"/>
        <v>Cindrić</v>
      </c>
      <c r="AQ55" s="47" t="s">
        <v>0</v>
      </c>
      <c r="AR55" s="82" t="str">
        <f t="shared" si="72"/>
        <v/>
      </c>
      <c r="AS55" s="47" t="s">
        <v>0</v>
      </c>
      <c r="AT55" s="19" t="str">
        <f t="shared" si="73"/>
        <v/>
      </c>
      <c r="AU55" s="47" t="s">
        <v>0</v>
      </c>
      <c r="AV55" s="103"/>
      <c r="AW55" s="105"/>
      <c r="AX55" s="47" t="s">
        <v>0</v>
      </c>
      <c r="AY55" s="259" t="str">
        <f t="shared" si="102"/>
        <v/>
      </c>
      <c r="AZ55" s="47" t="s">
        <v>0</v>
      </c>
      <c r="BA55" s="52" t="str">
        <f t="shared" si="11"/>
        <v/>
      </c>
      <c r="BB55" s="73" t="str">
        <f>IF(AV55&amp;AW55="","",MAX(BB$12:BB54)+1)</f>
        <v/>
      </c>
      <c r="BC55" s="272" t="str">
        <f t="shared" si="12"/>
        <v/>
      </c>
      <c r="BD55" s="53" t="str">
        <f>IF(AND(AM55="NEMA",AN55="NEMA",OR(AV55&amp;AW55="",BC55="NEMA")),MAX(BD$12:BD54)+1,"")</f>
        <v/>
      </c>
      <c r="BE55" s="47" t="s">
        <v>0</v>
      </c>
      <c r="BF55" s="52" t="str">
        <f t="shared" si="74"/>
        <v>Antonio</v>
      </c>
      <c r="BG55" s="66" t="str">
        <f t="shared" si="75"/>
        <v>Cindrić</v>
      </c>
      <c r="BH55" s="47" t="s">
        <v>0</v>
      </c>
      <c r="BI55" s="52" t="str">
        <f t="shared" si="15"/>
        <v>OK Jelen</v>
      </c>
      <c r="BJ55" s="31" t="str">
        <f t="shared" si="16"/>
        <v>OK Jelen</v>
      </c>
      <c r="BK55" s="73" t="str">
        <f t="shared" si="17"/>
        <v/>
      </c>
      <c r="BL55" s="31" t="str" cm="1">
        <f t="array" ref="BL55">IF(BK55="",""&amp;BJ55,IF(BK55="NEMA",BJ55,INDEX(regKlub_naziv,MATCH(INDEX(regKlub_alias_klubId,BK55),regKlub_id,0))))</f>
        <v>OK Jelen</v>
      </c>
      <c r="BM55" s="31" t="str" cm="1">
        <f t="array" ref="BM55">IFERROR(""&amp;INDEX(regNatjecatelj_klub,DV55),"")</f>
        <v>OK Jelen</v>
      </c>
      <c r="BN55" s="73" t="str">
        <f t="shared" si="76"/>
        <v/>
      </c>
      <c r="BO55" s="66" t="str">
        <f t="shared" si="77"/>
        <v>OK Jelen</v>
      </c>
      <c r="BP55" s="47" t="s">
        <v>0</v>
      </c>
      <c r="BQ55" s="52" t="str">
        <f>IF(X55&lt;&gt;"NEMA","",IF(IFERROR(MATCH(W55,W$12:W54,0),0)&lt;&gt;0,"",W55))</f>
        <v/>
      </c>
      <c r="BR55" s="73" t="str">
        <f t="shared" si="78"/>
        <v/>
      </c>
      <c r="BS55" s="31" t="str">
        <f>IF(OR(BR55="",BR55&lt;&gt;"NEMA"),"",MAX(BS$12:BS54)+1)</f>
        <v/>
      </c>
      <c r="BT55" s="66" t="str">
        <f t="shared" si="79"/>
        <v/>
      </c>
      <c r="BU55" s="47" t="s">
        <v>0</v>
      </c>
      <c r="BV55" s="19" t="str">
        <f t="shared" si="80"/>
        <v/>
      </c>
      <c r="BW55" s="47" t="s">
        <v>0</v>
      </c>
      <c r="BX55" s="82" t="str">
        <f>IF(BK55&lt;&gt;"NEMA","",IF(IFERROR(MATCH(BJ55,BJ$12:BJ54,0),0)&lt;&gt;0,"",BJ55))</f>
        <v/>
      </c>
      <c r="BY55" s="47" t="s">
        <v>0</v>
      </c>
      <c r="BZ55" s="125"/>
      <c r="CA55" s="47" t="s">
        <v>0</v>
      </c>
      <c r="CB55" s="58" t="str">
        <f t="shared" si="81"/>
        <v/>
      </c>
      <c r="CC55" s="31" t="str">
        <f t="shared" si="82"/>
        <v/>
      </c>
      <c r="CD55" s="31" t="str">
        <f>IF(CC55="","",MAX(CD$12:CD54)+1)</f>
        <v/>
      </c>
      <c r="CE55" s="31" t="str">
        <f t="shared" si="22"/>
        <v/>
      </c>
      <c r="CF55" s="31" t="str">
        <f t="shared" si="83"/>
        <v/>
      </c>
      <c r="CG55" s="31" t="str">
        <f>IF(BZ55="","",MAX(CG$12:CG54)+1)</f>
        <v/>
      </c>
      <c r="CH55" s="31" t="str">
        <f t="shared" si="84"/>
        <v/>
      </c>
      <c r="CI55" s="66" t="str">
        <f t="shared" si="85"/>
        <v/>
      </c>
      <c r="CJ55" s="47" t="s">
        <v>0</v>
      </c>
      <c r="CK55" s="73" t="str">
        <f t="shared" si="25"/>
        <v/>
      </c>
      <c r="CL55" s="47"/>
      <c r="CM55" s="19" t="str">
        <f t="shared" si="86"/>
        <v/>
      </c>
      <c r="CN55" s="47" t="s">
        <v>0</v>
      </c>
      <c r="CO55" s="143" t="str">
        <f t="shared" si="87"/>
        <v>OK Jelen</v>
      </c>
      <c r="CP55" s="47" t="s">
        <v>0</v>
      </c>
      <c r="CQ55" s="58" t="str">
        <f t="shared" si="109"/>
        <v/>
      </c>
      <c r="CR55" s="73" t="str">
        <f t="shared" si="110"/>
        <v>2</v>
      </c>
      <c r="CS55" s="229" t="str">
        <f t="shared" si="30"/>
        <v/>
      </c>
      <c r="CT55" s="230" t="str">
        <f t="shared" si="31"/>
        <v/>
      </c>
      <c r="CU55" s="163">
        <f t="shared" si="32"/>
        <v>4</v>
      </c>
      <c r="CV55" s="47" t="s">
        <v>0</v>
      </c>
      <c r="CW55" s="222" t="str">
        <f t="shared" si="89"/>
        <v xml:space="preserve">
</v>
      </c>
      <c r="CX55" s="223">
        <f t="shared" si="90"/>
        <v>5</v>
      </c>
      <c r="CY55" s="47" t="s">
        <v>0</v>
      </c>
      <c r="CZ55" s="47"/>
      <c r="DA55" s="47"/>
      <c r="DB55" s="47"/>
      <c r="DC55" s="47" t="s">
        <v>0</v>
      </c>
      <c r="DD55" s="53" t="str">
        <f t="shared" si="103"/>
        <v/>
      </c>
      <c r="DE55" t="s">
        <v>0</v>
      </c>
      <c r="DF55" s="128" t="str">
        <f t="shared" si="104"/>
        <v>M</v>
      </c>
      <c r="DG55" t="s">
        <v>0</v>
      </c>
      <c r="DH55" s="52" t="str">
        <f t="shared" si="105"/>
        <v/>
      </c>
      <c r="DI55" s="66" t="str">
        <f t="shared" si="106"/>
        <v/>
      </c>
      <c r="DJ55" t="s">
        <v>0</v>
      </c>
      <c r="DK55" s="19" t="str">
        <f t="shared" si="107"/>
        <v/>
      </c>
      <c r="DL55" s="47" t="s">
        <v>0</v>
      </c>
      <c r="DM55" s="19" t="str">
        <f t="shared" si="108"/>
        <v/>
      </c>
      <c r="DN55" s="47" t="s">
        <v>0</v>
      </c>
      <c r="DO55" s="52" t="str">
        <f t="shared" si="39"/>
        <v>Antonio – Cindrić – OK Jelen – M20</v>
      </c>
      <c r="DP55" s="53">
        <f t="shared" si="40"/>
        <v>154</v>
      </c>
      <c r="DQ55" s="47" t="s">
        <v>0</v>
      </c>
      <c r="DR55" s="52" t="str">
        <f t="shared" si="41"/>
        <v>Antonio – Cindrić – OK Jelen</v>
      </c>
      <c r="DS55" s="53">
        <f t="shared" si="42"/>
        <v>154</v>
      </c>
      <c r="DT55" s="47" t="s">
        <v>0</v>
      </c>
      <c r="DU55" s="52" t="str">
        <f t="shared" si="43"/>
        <v>Antonio – Cindrić</v>
      </c>
      <c r="DV55" s="53">
        <f t="shared" si="44"/>
        <v>154</v>
      </c>
      <c r="DW55" s="47" t="s">
        <v>0</v>
      </c>
      <c r="DX55" s="58">
        <f t="shared" si="91"/>
        <v>154</v>
      </c>
      <c r="DY55" s="53" cm="1">
        <f t="array" ref="DY55">IF(DX55&lt;&gt;"",INDEX(regNatjecatelj_id,DX55,0),IF(BD55&lt;&gt;"",BD55,""))</f>
        <v>1311</v>
      </c>
      <c r="DZ55" s="47" t="s">
        <v>0</v>
      </c>
      <c r="EA55" s="58" t="str">
        <f t="shared" si="45"/>
        <v>imepre</v>
      </c>
      <c r="EB55" s="73" t="str">
        <f t="shared" si="46"/>
        <v>klu</v>
      </c>
      <c r="EC55" s="73" t="str">
        <f t="shared" si="47"/>
        <v>kat</v>
      </c>
      <c r="ED55" s="73" t="str">
        <f t="shared" si="48"/>
        <v/>
      </c>
      <c r="EE55" s="66" t="str">
        <f t="shared" si="49"/>
        <v>imepre-klu-kat</v>
      </c>
      <c r="EF55" s="47" t="s">
        <v>0</v>
      </c>
      <c r="EG55" s="58">
        <f>IF(AL55="","",MAX(EG$12:EG54)+1)</f>
        <v>228</v>
      </c>
      <c r="EH55" s="73">
        <f t="shared" si="50"/>
        <v>26</v>
      </c>
      <c r="EI55" s="73">
        <f t="shared" si="92"/>
        <v>1311</v>
      </c>
      <c r="EJ55" s="73" t="str">
        <f t="shared" si="51"/>
        <v/>
      </c>
      <c r="EK55" s="73">
        <f t="shared" si="52"/>
        <v>4</v>
      </c>
      <c r="EL55" s="73">
        <f t="shared" si="93"/>
        <v>1</v>
      </c>
      <c r="EM55" s="73">
        <f t="shared" si="94"/>
        <v>1</v>
      </c>
      <c r="EN55" s="73" t="str">
        <f t="shared" si="55"/>
        <v>2</v>
      </c>
      <c r="EO55" s="73" t="str">
        <f t="shared" si="56"/>
        <v/>
      </c>
      <c r="EP55" s="73" t="str">
        <f t="shared" si="57"/>
        <v/>
      </c>
      <c r="EQ55" s="53" t="str">
        <f t="shared" si="58"/>
        <v/>
      </c>
      <c r="ER55" s="47" t="s">
        <v>0</v>
      </c>
      <c r="ES55" s="19" t="str">
        <f t="shared" si="95"/>
        <v>INSERT INTO rezultat(id,stazakategorija_id,imeprezime_id,vrijeme_sec,status_id,registracija,uparivanje_id,originalstatus_id,imeprezimealias_id,klubalias_id,kategorijaalias_id) VALUES (228,26,1311,Null,4,1,1,2,Null,Null,Null);</v>
      </c>
      <c r="ET55" s="47" t="s">
        <v>0</v>
      </c>
      <c r="EU55" s="19" t="str">
        <f t="shared" si="96"/>
        <v>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5" s="47" t="s">
        <v>0</v>
      </c>
      <c r="EW55" s="180" t="str">
        <f t="shared" si="60"/>
        <v xml:space="preserve">
INSERT INTO rezultat(id,stazakategorija_id,imeprezime_id,vrijeme_sec,status_id,registracija,uparivanje_id,originalstatus_id,imeprezimealias_id,klubalias_id,kategorijaalias_id) VALUES (228,26,1311,Null,4,1,1,2,Null,Null,Null);
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5" s="47" t="s">
        <v>0</v>
      </c>
    </row>
    <row r="56" spans="1:154" x14ac:dyDescent="0.25">
      <c r="A56" t="s">
        <v>0</v>
      </c>
      <c r="B56" s="52" t="str">
        <f>IF(csv!F46="","",csv!T46)</f>
        <v>M20</v>
      </c>
      <c r="C56" s="31" t="s">
        <v>0</v>
      </c>
      <c r="D56" s="31" t="str">
        <f>IF(csv!F46="","",csv!F46)</f>
        <v>Vacant</v>
      </c>
      <c r="E56" s="31" t="str">
        <f>IF(csv!E46="","",csv!E46)</f>
        <v/>
      </c>
      <c r="F56" s="31" t="s">
        <v>0</v>
      </c>
      <c r="G56" s="73" t="str">
        <f>IF(csv!M46="","",csv!M46)</f>
        <v/>
      </c>
      <c r="H56" s="73" t="str">
        <f>IF(csv!N46="","",csv!N46)</f>
        <v>0</v>
      </c>
      <c r="I56" s="31" t="s">
        <v>0</v>
      </c>
      <c r="J56" s="31" t="str">
        <f>IF(csv!P46="","",csv!P46)</f>
        <v/>
      </c>
      <c r="K56" s="31" t="str">
        <f>IF(csv!Q46="","",csv!Q46)</f>
        <v/>
      </c>
      <c r="L56" s="31" t="s">
        <v>0</v>
      </c>
      <c r="M56" s="66" t="str">
        <f>IF(csv!R46="","",csv!R46)</f>
        <v/>
      </c>
      <c r="N56" s="47" t="s">
        <v>0</v>
      </c>
      <c r="O56" s="246" t="str">
        <f t="shared" si="61"/>
        <v/>
      </c>
      <c r="P56" s="47"/>
      <c r="Q56" s="52" t="str">
        <f t="shared" si="62"/>
        <v>M20</v>
      </c>
      <c r="R56" s="73">
        <f>IF(Q56="","",IF(COUNTIF(Q$12:Q55,Q56)=0,R55+1,R55))</f>
        <v>4</v>
      </c>
      <c r="S56" s="73">
        <f t="shared" si="63"/>
        <v>109</v>
      </c>
      <c r="T56" s="73">
        <f t="shared" si="1"/>
        <v>20</v>
      </c>
      <c r="U56" s="66" t="str">
        <f t="shared" si="2"/>
        <v>M20</v>
      </c>
      <c r="V56" s="47" t="s">
        <v>0</v>
      </c>
      <c r="W56" s="222" t="str">
        <f t="shared" si="3"/>
        <v/>
      </c>
      <c r="X56" s="223" t="str">
        <f t="shared" si="4"/>
        <v/>
      </c>
      <c r="Y56" s="47" t="s">
        <v>0</v>
      </c>
      <c r="Z56" s="52" t="str">
        <f t="shared" si="64"/>
        <v/>
      </c>
      <c r="AA56" s="73" t="str">
        <f t="shared" si="5"/>
        <v/>
      </c>
      <c r="AB56" s="31" t="str">
        <f t="shared" si="65"/>
        <v/>
      </c>
      <c r="AC56" s="66" t="str">
        <f>IF(AB56="","",MAX(AC$12:AC55)+1)</f>
        <v/>
      </c>
      <c r="AD56" s="47" t="s">
        <v>0</v>
      </c>
      <c r="AE56" s="125"/>
      <c r="AF56" s="47" t="s">
        <v>0</v>
      </c>
      <c r="AG56" s="19" t="str">
        <f t="shared" si="66"/>
        <v/>
      </c>
      <c r="AH56" s="47" t="s">
        <v>0</v>
      </c>
      <c r="AI56" s="143" t="str">
        <f t="shared" si="67"/>
        <v/>
      </c>
      <c r="AJ56" s="47"/>
      <c r="AK56" s="52" t="str">
        <f t="shared" si="68"/>
        <v/>
      </c>
      <c r="AL56" s="31" t="str">
        <f t="shared" si="69"/>
        <v/>
      </c>
      <c r="AM56" s="73" t="str">
        <f t="shared" si="70"/>
        <v/>
      </c>
      <c r="AN56" s="73" t="str">
        <f t="shared" si="71"/>
        <v/>
      </c>
      <c r="AO56" s="31" t="str">
        <f t="shared" si="8"/>
        <v/>
      </c>
      <c r="AP56" s="66" t="str">
        <f t="shared" si="9"/>
        <v/>
      </c>
      <c r="AQ56" s="47" t="s">
        <v>0</v>
      </c>
      <c r="AR56" s="82" t="str">
        <f t="shared" si="72"/>
        <v/>
      </c>
      <c r="AS56" s="47" t="s">
        <v>0</v>
      </c>
      <c r="AT56" s="19" t="str">
        <f t="shared" si="73"/>
        <v/>
      </c>
      <c r="AU56" s="47" t="s">
        <v>0</v>
      </c>
      <c r="AV56" s="103"/>
      <c r="AW56" s="105"/>
      <c r="AX56" s="47" t="s">
        <v>0</v>
      </c>
      <c r="AY56" s="259" t="str">
        <f t="shared" si="102"/>
        <v/>
      </c>
      <c r="AZ56" s="47" t="s">
        <v>0</v>
      </c>
      <c r="BA56" s="52" t="str">
        <f t="shared" si="11"/>
        <v/>
      </c>
      <c r="BB56" s="73" t="str">
        <f>IF(AV56&amp;AW56="","",MAX(BB$12:BB55)+1)</f>
        <v/>
      </c>
      <c r="BC56" s="272" t="str">
        <f t="shared" si="12"/>
        <v/>
      </c>
      <c r="BD56" s="53" t="str">
        <f>IF(AND(AM56="NEMA",AN56="NEMA",OR(AV56&amp;AW56="",BC56="NEMA")),MAX(BD$12:BD55)+1,"")</f>
        <v/>
      </c>
      <c r="BE56" s="47" t="s">
        <v>0</v>
      </c>
      <c r="BF56" s="52" t="str">
        <f t="shared" si="74"/>
        <v/>
      </c>
      <c r="BG56" s="66" t="str">
        <f t="shared" si="75"/>
        <v/>
      </c>
      <c r="BH56" s="47" t="s">
        <v>0</v>
      </c>
      <c r="BI56" s="52" t="str">
        <f t="shared" si="15"/>
        <v/>
      </c>
      <c r="BJ56" s="31" t="str">
        <f t="shared" si="16"/>
        <v/>
      </c>
      <c r="BK56" s="73" t="str">
        <f t="shared" si="17"/>
        <v/>
      </c>
      <c r="BL56" s="31" t="str" cm="1">
        <f t="array" ref="BL56">IF(BK56="",""&amp;BJ56,IF(BK56="NEMA",BJ56,INDEX(regKlub_naziv,MATCH(INDEX(regKlub_alias_klubId,BK56),regKlub_id,0))))</f>
        <v/>
      </c>
      <c r="BM56" s="31" t="str" cm="1">
        <f t="array" ref="BM56">IFERROR(""&amp;INDEX(regNatjecatelj_klub,DV56),"")</f>
        <v/>
      </c>
      <c r="BN56" s="73" t="str">
        <f t="shared" si="76"/>
        <v/>
      </c>
      <c r="BO56" s="66" t="str">
        <f t="shared" si="77"/>
        <v/>
      </c>
      <c r="BP56" s="47" t="s">
        <v>0</v>
      </c>
      <c r="BQ56" s="52" t="str">
        <f>IF(X56&lt;&gt;"NEMA","",IF(IFERROR(MATCH(W56,W$12:W55,0),0)&lt;&gt;0,"",W56))</f>
        <v/>
      </c>
      <c r="BR56" s="73" t="str">
        <f t="shared" si="78"/>
        <v/>
      </c>
      <c r="BS56" s="31" t="str">
        <f>IF(OR(BR56="",BR56&lt;&gt;"NEMA"),"",MAX(BS$12:BS55)+1)</f>
        <v/>
      </c>
      <c r="BT56" s="66" t="str">
        <f t="shared" si="79"/>
        <v/>
      </c>
      <c r="BU56" s="47" t="s">
        <v>0</v>
      </c>
      <c r="BV56" s="19" t="str">
        <f t="shared" si="80"/>
        <v/>
      </c>
      <c r="BW56" s="47" t="s">
        <v>0</v>
      </c>
      <c r="BX56" s="82" t="str">
        <f>IF(BK56&lt;&gt;"NEMA","",IF(IFERROR(MATCH(BJ56,BJ$12:BJ55,0),0)&lt;&gt;0,"",BJ56))</f>
        <v/>
      </c>
      <c r="BY56" s="47" t="s">
        <v>0</v>
      </c>
      <c r="BZ56" s="125"/>
      <c r="CA56" s="47" t="s">
        <v>0</v>
      </c>
      <c r="CB56" s="58" t="str">
        <f t="shared" si="81"/>
        <v/>
      </c>
      <c r="CC56" s="31" t="str">
        <f t="shared" si="82"/>
        <v/>
      </c>
      <c r="CD56" s="31" t="str">
        <f>IF(CC56="","",MAX(CD$12:CD55)+1)</f>
        <v/>
      </c>
      <c r="CE56" s="31" t="str">
        <f t="shared" si="22"/>
        <v/>
      </c>
      <c r="CF56" s="31" t="str">
        <f t="shared" si="83"/>
        <v/>
      </c>
      <c r="CG56" s="31" t="str">
        <f>IF(BZ56="","",MAX(CG$12:CG55)+1)</f>
        <v/>
      </c>
      <c r="CH56" s="31" t="str">
        <f t="shared" si="84"/>
        <v/>
      </c>
      <c r="CI56" s="66" t="str">
        <f t="shared" si="85"/>
        <v/>
      </c>
      <c r="CJ56" s="47" t="s">
        <v>0</v>
      </c>
      <c r="CK56" s="73" t="str">
        <f t="shared" si="25"/>
        <v/>
      </c>
      <c r="CL56" s="47"/>
      <c r="CM56" s="19" t="str">
        <f t="shared" si="86"/>
        <v/>
      </c>
      <c r="CN56" s="47" t="s">
        <v>0</v>
      </c>
      <c r="CO56" s="143" t="str">
        <f t="shared" si="87"/>
        <v/>
      </c>
      <c r="CP56" s="47" t="s">
        <v>0</v>
      </c>
      <c r="CQ56" s="58" t="str">
        <f t="shared" si="109"/>
        <v/>
      </c>
      <c r="CR56" s="73" t="str">
        <f t="shared" si="110"/>
        <v>0</v>
      </c>
      <c r="CS56" s="229" t="str">
        <f t="shared" si="30"/>
        <v/>
      </c>
      <c r="CT56" s="230" t="str">
        <f t="shared" si="31"/>
        <v/>
      </c>
      <c r="CU56" s="163" t="str">
        <f t="shared" si="32"/>
        <v/>
      </c>
      <c r="CV56" s="47" t="s">
        <v>0</v>
      </c>
      <c r="CW56" s="222" t="str">
        <f t="shared" si="89"/>
        <v xml:space="preserve">
</v>
      </c>
      <c r="CX56" s="223" t="str">
        <f t="shared" si="90"/>
        <v/>
      </c>
      <c r="CY56" s="47" t="s">
        <v>0</v>
      </c>
      <c r="CZ56" s="47"/>
      <c r="DA56" s="47"/>
      <c r="DB56" s="47"/>
      <c r="DC56" s="47" t="s">
        <v>0</v>
      </c>
      <c r="DD56" s="53" t="str">
        <f t="shared" si="103"/>
        <v/>
      </c>
      <c r="DE56" t="s">
        <v>0</v>
      </c>
      <c r="DF56" s="128" t="str">
        <f t="shared" si="104"/>
        <v>M</v>
      </c>
      <c r="DG56" t="s">
        <v>0</v>
      </c>
      <c r="DH56" s="52" t="str">
        <f t="shared" si="105"/>
        <v/>
      </c>
      <c r="DI56" s="66" t="str">
        <f t="shared" si="106"/>
        <v/>
      </c>
      <c r="DJ56" t="s">
        <v>0</v>
      </c>
      <c r="DK56" s="19" t="str">
        <f t="shared" si="107"/>
        <v/>
      </c>
      <c r="DL56" s="47" t="s">
        <v>0</v>
      </c>
      <c r="DM56" s="19" t="str">
        <f t="shared" si="108"/>
        <v/>
      </c>
      <c r="DN56" s="47" t="s">
        <v>0</v>
      </c>
      <c r="DO56" s="52" t="str">
        <f t="shared" si="39"/>
        <v/>
      </c>
      <c r="DP56" s="53" t="str">
        <f t="shared" si="40"/>
        <v/>
      </c>
      <c r="DQ56" s="47" t="s">
        <v>0</v>
      </c>
      <c r="DR56" s="52" t="str">
        <f t="shared" si="41"/>
        <v/>
      </c>
      <c r="DS56" s="53" t="str">
        <f t="shared" si="42"/>
        <v/>
      </c>
      <c r="DT56" s="47" t="s">
        <v>0</v>
      </c>
      <c r="DU56" s="52" t="str">
        <f t="shared" si="43"/>
        <v/>
      </c>
      <c r="DV56" s="53" t="str">
        <f t="shared" si="44"/>
        <v/>
      </c>
      <c r="DW56" s="47" t="s">
        <v>0</v>
      </c>
      <c r="DX56" s="58" t="str">
        <f t="shared" si="91"/>
        <v/>
      </c>
      <c r="DY56" s="53" t="str" cm="1">
        <f t="array" ref="DY56">IF(DX56&lt;&gt;"",INDEX(regNatjecatelj_id,DX56,0),IF(BD56&lt;&gt;"",BD56,""))</f>
        <v/>
      </c>
      <c r="DZ56" s="47" t="s">
        <v>0</v>
      </c>
      <c r="EA56" s="58" t="str">
        <f t="shared" si="45"/>
        <v/>
      </c>
      <c r="EB56" s="73" t="str">
        <f t="shared" si="46"/>
        <v/>
      </c>
      <c r="EC56" s="73" t="str">
        <f t="shared" si="47"/>
        <v/>
      </c>
      <c r="ED56" s="73" t="str">
        <f t="shared" si="48"/>
        <v/>
      </c>
      <c r="EE56" s="66" t="str">
        <f t="shared" si="49"/>
        <v/>
      </c>
      <c r="EF56" s="47" t="s">
        <v>0</v>
      </c>
      <c r="EG56" s="58" t="str">
        <f>IF(AL56="","",MAX(EG$12:EG55)+1)</f>
        <v/>
      </c>
      <c r="EH56" s="73" t="str">
        <f t="shared" si="50"/>
        <v/>
      </c>
      <c r="EI56" s="73" t="str">
        <f t="shared" si="92"/>
        <v/>
      </c>
      <c r="EJ56" s="73" t="str">
        <f t="shared" si="51"/>
        <v/>
      </c>
      <c r="EK56" s="73" t="str">
        <f t="shared" si="52"/>
        <v/>
      </c>
      <c r="EL56" s="73" t="str">
        <f t="shared" si="93"/>
        <v/>
      </c>
      <c r="EM56" s="73" t="str">
        <f t="shared" si="94"/>
        <v/>
      </c>
      <c r="EN56" s="73" t="str">
        <f t="shared" si="55"/>
        <v/>
      </c>
      <c r="EO56" s="73" t="str">
        <f t="shared" si="56"/>
        <v/>
      </c>
      <c r="EP56" s="73" t="str">
        <f t="shared" si="57"/>
        <v/>
      </c>
      <c r="EQ56" s="53" t="str">
        <f t="shared" si="58"/>
        <v/>
      </c>
      <c r="ER56" s="47" t="s">
        <v>0</v>
      </c>
      <c r="ES56" s="19" t="str">
        <f t="shared" si="95"/>
        <v/>
      </c>
      <c r="ET56" s="47" t="s">
        <v>0</v>
      </c>
      <c r="EU56" s="19" t="str">
        <f t="shared" si="96"/>
        <v/>
      </c>
      <c r="EV56" s="47" t="s">
        <v>0</v>
      </c>
      <c r="EW56" s="180" t="str">
        <f t="shared" si="60"/>
        <v/>
      </c>
      <c r="EX56" s="47" t="s">
        <v>0</v>
      </c>
    </row>
    <row r="57" spans="1:154" x14ac:dyDescent="0.25">
      <c r="A57" t="s">
        <v>0</v>
      </c>
      <c r="B57" s="52" t="str">
        <f>IF(csv!F47="","",csv!T47)</f>
        <v>M20</v>
      </c>
      <c r="C57" s="31" t="s">
        <v>0</v>
      </c>
      <c r="D57" s="31" t="str">
        <f>IF(csv!F47="","",csv!F47)</f>
        <v>Ivan</v>
      </c>
      <c r="E57" s="31" t="str">
        <f>IF(csv!E47="","",csv!E47)</f>
        <v>Pasquino</v>
      </c>
      <c r="F57" s="31" t="s">
        <v>0</v>
      </c>
      <c r="G57" s="73" t="str">
        <f>IF(csv!M47="","",csv!M47)</f>
        <v>72:22</v>
      </c>
      <c r="H57" s="73" t="str">
        <f>IF(csv!N47="","",csv!N47)</f>
        <v>3</v>
      </c>
      <c r="I57" s="31" t="s">
        <v>0</v>
      </c>
      <c r="J57" s="31" t="str">
        <f>IF(csv!P47="","",csv!P47)</f>
        <v>OK Varaždin</v>
      </c>
      <c r="K57" s="31" t="str">
        <f>IF(csv!Q47="","",csv!Q47)</f>
        <v>OK Varaždin</v>
      </c>
      <c r="L57" s="31" t="s">
        <v>0</v>
      </c>
      <c r="M57" s="66" t="str">
        <f>IF(csv!R47="","",csv!R47)</f>
        <v>CRO</v>
      </c>
      <c r="N57" s="47" t="s">
        <v>0</v>
      </c>
      <c r="O57" s="246" t="str">
        <f t="shared" si="61"/>
        <v>ok</v>
      </c>
      <c r="P57" s="47"/>
      <c r="Q57" s="52" t="str">
        <f t="shared" si="62"/>
        <v>M20</v>
      </c>
      <c r="R57" s="73">
        <f>IF(Q57="","",IF(COUNTIF(Q$12:Q56,Q57)=0,R56+1,R56))</f>
        <v>4</v>
      </c>
      <c r="S57" s="73">
        <f t="shared" si="63"/>
        <v>109</v>
      </c>
      <c r="T57" s="73">
        <f t="shared" si="1"/>
        <v>20</v>
      </c>
      <c r="U57" s="66" t="str">
        <f t="shared" si="2"/>
        <v>M20</v>
      </c>
      <c r="V57" s="47" t="s">
        <v>0</v>
      </c>
      <c r="W57" s="222" t="str">
        <f t="shared" si="3"/>
        <v>M20</v>
      </c>
      <c r="X57" s="223">
        <f t="shared" si="4"/>
        <v>26</v>
      </c>
      <c r="Y57" s="47" t="s">
        <v>0</v>
      </c>
      <c r="Z57" s="52" t="str">
        <f t="shared" si="64"/>
        <v>CRO</v>
      </c>
      <c r="AA57" s="73">
        <f t="shared" si="5"/>
        <v>1</v>
      </c>
      <c r="AB57" s="31" t="str">
        <f t="shared" si="65"/>
        <v/>
      </c>
      <c r="AC57" s="66" t="str">
        <f>IF(AB57="","",MAX(AC$12:AC56)+1)</f>
        <v/>
      </c>
      <c r="AD57" s="47" t="s">
        <v>0</v>
      </c>
      <c r="AE57" s="125"/>
      <c r="AF57" s="47" t="s">
        <v>0</v>
      </c>
      <c r="AG57" s="19" t="str">
        <f t="shared" si="66"/>
        <v/>
      </c>
      <c r="AH57" s="47" t="s">
        <v>0</v>
      </c>
      <c r="AI57" s="143" t="str">
        <f t="shared" si="67"/>
        <v>CRO</v>
      </c>
      <c r="AJ57" s="47"/>
      <c r="AK57" s="52" t="str">
        <f t="shared" si="68"/>
        <v>Ivan</v>
      </c>
      <c r="AL57" s="31" t="str">
        <f t="shared" si="69"/>
        <v>Pasquino</v>
      </c>
      <c r="AM57" s="73">
        <f t="shared" si="70"/>
        <v>1079</v>
      </c>
      <c r="AN57" s="73" t="str">
        <f t="shared" si="71"/>
        <v/>
      </c>
      <c r="AO57" s="31" t="str">
        <f t="shared" si="8"/>
        <v>Ivan</v>
      </c>
      <c r="AP57" s="66" t="str">
        <f t="shared" si="9"/>
        <v>Pasquino</v>
      </c>
      <c r="AQ57" s="47" t="s">
        <v>0</v>
      </c>
      <c r="AR57" s="82" t="str">
        <f t="shared" si="72"/>
        <v/>
      </c>
      <c r="AS57" s="47" t="s">
        <v>0</v>
      </c>
      <c r="AT57" s="19" t="str">
        <f t="shared" si="73"/>
        <v/>
      </c>
      <c r="AU57" s="47" t="s">
        <v>0</v>
      </c>
      <c r="AV57" s="103"/>
      <c r="AW57" s="105"/>
      <c r="AX57" s="47" t="s">
        <v>0</v>
      </c>
      <c r="AY57" s="259" t="str">
        <f t="shared" si="102"/>
        <v/>
      </c>
      <c r="AZ57" s="47" t="s">
        <v>0</v>
      </c>
      <c r="BA57" s="52" t="str">
        <f t="shared" si="11"/>
        <v/>
      </c>
      <c r="BB57" s="73" t="str">
        <f>IF(AV57&amp;AW57="","",MAX(BB$12:BB56)+1)</f>
        <v/>
      </c>
      <c r="BC57" s="272" t="str">
        <f t="shared" si="12"/>
        <v/>
      </c>
      <c r="BD57" s="53" t="str">
        <f>IF(AND(AM57="NEMA",AN57="NEMA",OR(AV57&amp;AW57="",BC57="NEMA")),MAX(BD$12:BD56)+1,"")</f>
        <v/>
      </c>
      <c r="BE57" s="47" t="s">
        <v>0</v>
      </c>
      <c r="BF57" s="52" t="str">
        <f t="shared" si="74"/>
        <v>Ivan</v>
      </c>
      <c r="BG57" s="66" t="str">
        <f t="shared" si="75"/>
        <v>Pasquino</v>
      </c>
      <c r="BH57" s="47" t="s">
        <v>0</v>
      </c>
      <c r="BI57" s="52" t="str">
        <f t="shared" si="15"/>
        <v>OK Varaždin</v>
      </c>
      <c r="BJ57" s="31" t="str">
        <f t="shared" si="16"/>
        <v>OK Varaždin</v>
      </c>
      <c r="BK57" s="73" t="str">
        <f t="shared" si="17"/>
        <v/>
      </c>
      <c r="BL57" s="31" t="str" cm="1">
        <f t="array" ref="BL57">IF(BK57="",""&amp;BJ57,IF(BK57="NEMA",BJ57,INDEX(regKlub_naziv,MATCH(INDEX(regKlub_alias_klubId,BK57),regKlub_id,0))))</f>
        <v>OK Varaždin</v>
      </c>
      <c r="BM57" s="31" t="str" cm="1">
        <f t="array" ref="BM57">IFERROR(""&amp;INDEX(regNatjecatelj_klub,DV57),"")</f>
        <v>OK Varaždin</v>
      </c>
      <c r="BN57" s="73" t="str">
        <f t="shared" si="76"/>
        <v/>
      </c>
      <c r="BO57" s="66" t="str">
        <f t="shared" si="77"/>
        <v>OK Varaždin</v>
      </c>
      <c r="BP57" s="47" t="s">
        <v>0</v>
      </c>
      <c r="BQ57" s="52" t="str">
        <f>IF(X57&lt;&gt;"NEMA","",IF(IFERROR(MATCH(W57,W$12:W56,0),0)&lt;&gt;0,"",W57))</f>
        <v/>
      </c>
      <c r="BR57" s="73" t="str">
        <f t="shared" si="78"/>
        <v/>
      </c>
      <c r="BS57" s="31" t="str">
        <f>IF(OR(BR57="",BR57&lt;&gt;"NEMA"),"",MAX(BS$12:BS56)+1)</f>
        <v/>
      </c>
      <c r="BT57" s="66" t="str">
        <f t="shared" si="79"/>
        <v/>
      </c>
      <c r="BU57" s="47" t="s">
        <v>0</v>
      </c>
      <c r="BV57" s="19" t="str">
        <f t="shared" si="80"/>
        <v/>
      </c>
      <c r="BW57" s="47" t="s">
        <v>0</v>
      </c>
      <c r="BX57" s="82" t="str">
        <f>IF(BK57&lt;&gt;"NEMA","",IF(IFERROR(MATCH(BJ57,BJ$12:BJ56,0),0)&lt;&gt;0,"",BJ57))</f>
        <v/>
      </c>
      <c r="BY57" s="47" t="s">
        <v>0</v>
      </c>
      <c r="BZ57" s="125"/>
      <c r="CA57" s="47" t="s">
        <v>0</v>
      </c>
      <c r="CB57" s="58" t="str">
        <f t="shared" si="81"/>
        <v/>
      </c>
      <c r="CC57" s="31" t="str">
        <f t="shared" si="82"/>
        <v/>
      </c>
      <c r="CD57" s="31" t="str">
        <f>IF(CC57="","",MAX(CD$12:CD56)+1)</f>
        <v/>
      </c>
      <c r="CE57" s="31" t="str">
        <f t="shared" si="22"/>
        <v/>
      </c>
      <c r="CF57" s="31" t="str">
        <f t="shared" si="83"/>
        <v/>
      </c>
      <c r="CG57" s="31" t="str">
        <f>IF(BZ57="","",MAX(CG$12:CG56)+1)</f>
        <v/>
      </c>
      <c r="CH57" s="31" t="str">
        <f t="shared" si="84"/>
        <v/>
      </c>
      <c r="CI57" s="66" t="str">
        <f t="shared" si="85"/>
        <v/>
      </c>
      <c r="CJ57" s="47" t="s">
        <v>0</v>
      </c>
      <c r="CK57" s="73" t="str">
        <f t="shared" si="25"/>
        <v/>
      </c>
      <c r="CL57" s="47"/>
      <c r="CM57" s="19" t="str">
        <f t="shared" si="86"/>
        <v/>
      </c>
      <c r="CN57" s="47" t="s">
        <v>0</v>
      </c>
      <c r="CO57" s="143" t="str">
        <f t="shared" si="87"/>
        <v>OK Varaždin</v>
      </c>
      <c r="CP57" s="47" t="s">
        <v>0</v>
      </c>
      <c r="CQ57" s="58" t="str">
        <f t="shared" si="109"/>
        <v>72:22</v>
      </c>
      <c r="CR57" s="73" t="str">
        <f t="shared" si="110"/>
        <v>3</v>
      </c>
      <c r="CS57" s="229" t="str">
        <f t="shared" si="30"/>
        <v/>
      </c>
      <c r="CT57" s="230">
        <f t="shared" si="31"/>
        <v>4342</v>
      </c>
      <c r="CU57" s="163">
        <f t="shared" si="32"/>
        <v>3</v>
      </c>
      <c r="CV57" s="47" t="s">
        <v>0</v>
      </c>
      <c r="CW57" s="222" t="str">
        <f t="shared" si="89"/>
        <v xml:space="preserve">
</v>
      </c>
      <c r="CX57" s="223">
        <f t="shared" si="90"/>
        <v>3</v>
      </c>
      <c r="CY57" s="47" t="s">
        <v>0</v>
      </c>
      <c r="CZ57" s="47"/>
      <c r="DA57" s="47"/>
      <c r="DB57" s="47"/>
      <c r="DC57" s="47" t="s">
        <v>0</v>
      </c>
      <c r="DD57" s="53" t="str">
        <f t="shared" si="103"/>
        <v/>
      </c>
      <c r="DE57" t="s">
        <v>0</v>
      </c>
      <c r="DF57" s="128" t="str">
        <f t="shared" si="104"/>
        <v>M</v>
      </c>
      <c r="DG57" t="s">
        <v>0</v>
      </c>
      <c r="DH57" s="52" t="str">
        <f t="shared" si="105"/>
        <v/>
      </c>
      <c r="DI57" s="66" t="str">
        <f t="shared" si="106"/>
        <v/>
      </c>
      <c r="DJ57" t="s">
        <v>0</v>
      </c>
      <c r="DK57" s="19" t="str">
        <f t="shared" si="107"/>
        <v/>
      </c>
      <c r="DL57" s="47" t="s">
        <v>0</v>
      </c>
      <c r="DM57" s="19" t="str">
        <f t="shared" si="108"/>
        <v/>
      </c>
      <c r="DN57" s="47" t="s">
        <v>0</v>
      </c>
      <c r="DO57" s="52" t="str">
        <f t="shared" si="39"/>
        <v>Ivan – Pasquino – OK Varaždin – M20</v>
      </c>
      <c r="DP57" s="53">
        <f t="shared" si="40"/>
        <v>570</v>
      </c>
      <c r="DQ57" s="47" t="s">
        <v>0</v>
      </c>
      <c r="DR57" s="52" t="str">
        <f t="shared" si="41"/>
        <v>Ivan – Pasquino – OK Varaždin</v>
      </c>
      <c r="DS57" s="53">
        <f t="shared" si="42"/>
        <v>570</v>
      </c>
      <c r="DT57" s="47" t="s">
        <v>0</v>
      </c>
      <c r="DU57" s="52" t="str">
        <f t="shared" si="43"/>
        <v>Ivan – Pasquino</v>
      </c>
      <c r="DV57" s="53">
        <f t="shared" si="44"/>
        <v>570</v>
      </c>
      <c r="DW57" s="47" t="s">
        <v>0</v>
      </c>
      <c r="DX57" s="58">
        <f t="shared" si="91"/>
        <v>570</v>
      </c>
      <c r="DY57" s="53" cm="1">
        <f t="array" ref="DY57">IF(DX57&lt;&gt;"",INDEX(regNatjecatelj_id,DX57,0),IF(BD57&lt;&gt;"",BD57,""))</f>
        <v>1079</v>
      </c>
      <c r="DZ57" s="47" t="s">
        <v>0</v>
      </c>
      <c r="EA57" s="58" t="str">
        <f t="shared" si="45"/>
        <v>imepre</v>
      </c>
      <c r="EB57" s="73" t="str">
        <f t="shared" si="46"/>
        <v>klu</v>
      </c>
      <c r="EC57" s="73" t="str">
        <f t="shared" si="47"/>
        <v>kat</v>
      </c>
      <c r="ED57" s="73" t="str">
        <f t="shared" si="48"/>
        <v/>
      </c>
      <c r="EE57" s="66" t="str">
        <f t="shared" si="49"/>
        <v>imepre-klu-kat</v>
      </c>
      <c r="EF57" s="47" t="s">
        <v>0</v>
      </c>
      <c r="EG57" s="58">
        <f>IF(AL57="","",MAX(EG$12:EG56)+1)</f>
        <v>229</v>
      </c>
      <c r="EH57" s="73">
        <f t="shared" si="50"/>
        <v>26</v>
      </c>
      <c r="EI57" s="73">
        <f t="shared" si="92"/>
        <v>1079</v>
      </c>
      <c r="EJ57" s="73">
        <f t="shared" si="51"/>
        <v>4342</v>
      </c>
      <c r="EK57" s="73">
        <f t="shared" si="52"/>
        <v>3</v>
      </c>
      <c r="EL57" s="73">
        <f t="shared" si="93"/>
        <v>1</v>
      </c>
      <c r="EM57" s="73">
        <f t="shared" si="94"/>
        <v>1</v>
      </c>
      <c r="EN57" s="73" t="str">
        <f t="shared" si="55"/>
        <v>3</v>
      </c>
      <c r="EO57" s="73" t="str">
        <f t="shared" si="56"/>
        <v/>
      </c>
      <c r="EP57" s="73" t="str">
        <f t="shared" si="57"/>
        <v/>
      </c>
      <c r="EQ57" s="53" t="str">
        <f t="shared" si="58"/>
        <v/>
      </c>
      <c r="ER57" s="47" t="s">
        <v>0</v>
      </c>
      <c r="ES57" s="19" t="str">
        <f t="shared" si="95"/>
        <v>INSERT INTO rezultat(id,stazakategorija_id,imeprezime_id,vrijeme_sec,status_id,registracija,uparivanje_id,originalstatus_id,imeprezimealias_id,klubalias_id,kategorijaalias_id) VALUES (229,26,1079,4342,3,1,1,3,Null,Null,Null);</v>
      </c>
      <c r="ET57" s="47" t="s">
        <v>0</v>
      </c>
      <c r="EU57" s="19" t="str">
        <f t="shared" si="96"/>
        <v>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7" s="47" t="s">
        <v>0</v>
      </c>
      <c r="EW57" s="180" t="str">
        <f t="shared" si="60"/>
        <v xml:space="preserve">
INSERT INTO rezultat(id,stazakategorija_id,imeprezime_id,vrijeme_sec,status_id,registracija,uparivanje_id,originalstatus_id,imeprezimealias_id,klubalias_id,kategorijaalias_id) VALUES (229,26,1079,4342,3,1,1,3,Null,Null,Null);
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7" s="47" t="s">
        <v>0</v>
      </c>
    </row>
    <row r="58" spans="1:154" x14ac:dyDescent="0.25">
      <c r="A58" t="s">
        <v>0</v>
      </c>
      <c r="B58" s="52" t="str">
        <f>IF(csv!F48="","",csv!T48)</f>
        <v>M21A</v>
      </c>
      <c r="C58" s="31" t="s">
        <v>0</v>
      </c>
      <c r="D58" s="31" t="str">
        <f>IF(csv!F48="","",csv!F48)</f>
        <v>Andraž</v>
      </c>
      <c r="E58" s="31" t="str">
        <f>IF(csv!E48="","",csv!E48)</f>
        <v>Hribar</v>
      </c>
      <c r="F58" s="31" t="s">
        <v>0</v>
      </c>
      <c r="G58" s="73" t="str">
        <f>IF(csv!M48="","",csv!M48)</f>
        <v>63:39</v>
      </c>
      <c r="H58" s="73" t="str">
        <f>IF(csv!N48="","",csv!N48)</f>
        <v>0</v>
      </c>
      <c r="I58" s="31" t="s">
        <v>0</v>
      </c>
      <c r="J58" s="31" t="str">
        <f>IF(csv!P48="","",csv!P48)</f>
        <v>KAP</v>
      </c>
      <c r="K58" s="31" t="str">
        <f>IF(csv!Q48="","",csv!Q48)</f>
        <v>OK Kapela</v>
      </c>
      <c r="L58" s="31" t="s">
        <v>0</v>
      </c>
      <c r="M58" s="66" t="str">
        <f>IF(csv!R48="","",csv!R48)</f>
        <v>CRO</v>
      </c>
      <c r="N58" s="47" t="s">
        <v>0</v>
      </c>
      <c r="O58" s="246" t="str">
        <f t="shared" si="61"/>
        <v>ok</v>
      </c>
      <c r="P58" s="47"/>
      <c r="Q58" s="52" t="str">
        <f t="shared" si="62"/>
        <v>M21A</v>
      </c>
      <c r="R58" s="73">
        <f>IF(Q58="","",IF(COUNTIF(Q$12:Q57,Q58)=0,R57+1,R57))</f>
        <v>5</v>
      </c>
      <c r="S58" s="73">
        <f t="shared" si="63"/>
        <v>101</v>
      </c>
      <c r="T58" s="73">
        <f t="shared" si="1"/>
        <v>13</v>
      </c>
      <c r="U58" s="66" t="str">
        <f t="shared" si="2"/>
        <v>M21A</v>
      </c>
      <c r="V58" s="47" t="s">
        <v>0</v>
      </c>
      <c r="W58" s="222" t="str">
        <f t="shared" si="3"/>
        <v>M21A</v>
      </c>
      <c r="X58" s="223">
        <f t="shared" si="4"/>
        <v>27</v>
      </c>
      <c r="Y58" s="47" t="s">
        <v>0</v>
      </c>
      <c r="Z58" s="52" t="str">
        <f t="shared" si="64"/>
        <v>CRO</v>
      </c>
      <c r="AA58" s="73">
        <f t="shared" si="5"/>
        <v>1</v>
      </c>
      <c r="AB58" s="31" t="str">
        <f t="shared" si="65"/>
        <v/>
      </c>
      <c r="AC58" s="66" t="str">
        <f>IF(AB58="","",MAX(AC$12:AC57)+1)</f>
        <v/>
      </c>
      <c r="AD58" s="47" t="s">
        <v>0</v>
      </c>
      <c r="AE58" s="125"/>
      <c r="AF58" s="47" t="s">
        <v>0</v>
      </c>
      <c r="AG58" s="19" t="str">
        <f t="shared" si="66"/>
        <v/>
      </c>
      <c r="AH58" s="47" t="s">
        <v>0</v>
      </c>
      <c r="AI58" s="143" t="str">
        <f t="shared" si="67"/>
        <v>CRO</v>
      </c>
      <c r="AJ58" s="47"/>
      <c r="AK58" s="52" t="str">
        <f t="shared" si="68"/>
        <v>Andraž</v>
      </c>
      <c r="AL58" s="31" t="str">
        <f t="shared" si="69"/>
        <v>Hribar</v>
      </c>
      <c r="AM58" s="73">
        <f t="shared" si="70"/>
        <v>1861</v>
      </c>
      <c r="AN58" s="73" t="str">
        <f t="shared" si="71"/>
        <v/>
      </c>
      <c r="AO58" s="31" t="str">
        <f t="shared" si="8"/>
        <v>Andraž</v>
      </c>
      <c r="AP58" s="66" t="str">
        <f t="shared" si="9"/>
        <v>Hribar</v>
      </c>
      <c r="AQ58" s="47" t="s">
        <v>0</v>
      </c>
      <c r="AR58" s="82" t="str">
        <f t="shared" si="72"/>
        <v/>
      </c>
      <c r="AS58" s="47" t="s">
        <v>0</v>
      </c>
      <c r="AT58" s="19" t="str">
        <f t="shared" si="73"/>
        <v/>
      </c>
      <c r="AU58" s="47" t="s">
        <v>0</v>
      </c>
      <c r="AV58" s="103"/>
      <c r="AW58" s="105"/>
      <c r="AX58" s="47" t="s">
        <v>0</v>
      </c>
      <c r="AY58" s="259" t="str">
        <f t="shared" si="102"/>
        <v/>
      </c>
      <c r="AZ58" s="47" t="s">
        <v>0</v>
      </c>
      <c r="BA58" s="52" t="str">
        <f t="shared" si="11"/>
        <v/>
      </c>
      <c r="BB58" s="73" t="str">
        <f>IF(AV58&amp;AW58="","",MAX(BB$12:BB57)+1)</f>
        <v/>
      </c>
      <c r="BC58" s="272" t="str">
        <f t="shared" si="12"/>
        <v/>
      </c>
      <c r="BD58" s="53" t="str">
        <f>IF(AND(AM58="NEMA",AN58="NEMA",OR(AV58&amp;AW58="",BC58="NEMA")),MAX(BD$12:BD57)+1,"")</f>
        <v/>
      </c>
      <c r="BE58" s="47" t="s">
        <v>0</v>
      </c>
      <c r="BF58" s="52" t="str">
        <f t="shared" si="74"/>
        <v>Andraž</v>
      </c>
      <c r="BG58" s="66" t="str">
        <f t="shared" si="75"/>
        <v>Hribar</v>
      </c>
      <c r="BH58" s="47" t="s">
        <v>0</v>
      </c>
      <c r="BI58" s="52" t="str">
        <f t="shared" si="15"/>
        <v>KAP</v>
      </c>
      <c r="BJ58" s="31" t="str">
        <f t="shared" si="16"/>
        <v>OK Kapela</v>
      </c>
      <c r="BK58" s="73" t="str">
        <f t="shared" si="17"/>
        <v/>
      </c>
      <c r="BL58" s="31" t="str" cm="1">
        <f t="array" ref="BL58">IF(BK58="",""&amp;BJ58,IF(BK58="NEMA",BJ58,INDEX(regKlub_naziv,MATCH(INDEX(regKlub_alias_klubId,BK58),regKlub_id,0))))</f>
        <v>OK Kapela</v>
      </c>
      <c r="BM58" s="31" t="str" cm="1">
        <f t="array" ref="BM58">IFERROR(""&amp;INDEX(regNatjecatelj_klub,DV58),"")</f>
        <v>OK Kapela</v>
      </c>
      <c r="BN58" s="73" t="str">
        <f t="shared" si="76"/>
        <v/>
      </c>
      <c r="BO58" s="66" t="str">
        <f t="shared" si="77"/>
        <v>OK Kapela</v>
      </c>
      <c r="BP58" s="47" t="s">
        <v>0</v>
      </c>
      <c r="BQ58" s="52" t="str">
        <f>IF(X58&lt;&gt;"NEMA","",IF(IFERROR(MATCH(W58,W$12:W57,0),0)&lt;&gt;0,"",W58))</f>
        <v/>
      </c>
      <c r="BR58" s="73" t="str">
        <f t="shared" si="78"/>
        <v/>
      </c>
      <c r="BS58" s="31" t="str">
        <f>IF(OR(BR58="",BR58&lt;&gt;"NEMA"),"",MAX(BS$12:BS57)+1)</f>
        <v/>
      </c>
      <c r="BT58" s="66" t="str">
        <f t="shared" si="79"/>
        <v/>
      </c>
      <c r="BU58" s="47" t="s">
        <v>0</v>
      </c>
      <c r="BV58" s="19" t="str">
        <f t="shared" si="80"/>
        <v/>
      </c>
      <c r="BW58" s="47" t="s">
        <v>0</v>
      </c>
      <c r="BX58" s="82" t="str">
        <f>IF(BK58&lt;&gt;"NEMA","",IF(IFERROR(MATCH(BJ58,BJ$12:BJ57,0),0)&lt;&gt;0,"",BJ58))</f>
        <v/>
      </c>
      <c r="BY58" s="47" t="s">
        <v>0</v>
      </c>
      <c r="BZ58" s="125"/>
      <c r="CA58" s="47" t="s">
        <v>0</v>
      </c>
      <c r="CB58" s="58" t="str">
        <f t="shared" si="81"/>
        <v/>
      </c>
      <c r="CC58" s="31" t="str">
        <f t="shared" si="82"/>
        <v/>
      </c>
      <c r="CD58" s="31" t="str">
        <f>IF(CC58="","",MAX(CD$12:CD57)+1)</f>
        <v/>
      </c>
      <c r="CE58" s="31" t="str">
        <f t="shared" si="22"/>
        <v/>
      </c>
      <c r="CF58" s="31" t="str">
        <f t="shared" si="83"/>
        <v/>
      </c>
      <c r="CG58" s="31" t="str">
        <f>IF(BZ58="","",MAX(CG$12:CG57)+1)</f>
        <v/>
      </c>
      <c r="CH58" s="31" t="str">
        <f t="shared" si="84"/>
        <v/>
      </c>
      <c r="CI58" s="66" t="str">
        <f t="shared" si="85"/>
        <v/>
      </c>
      <c r="CJ58" s="47" t="s">
        <v>0</v>
      </c>
      <c r="CK58" s="73" t="str">
        <f t="shared" si="25"/>
        <v/>
      </c>
      <c r="CL58" s="47"/>
      <c r="CM58" s="19" t="str">
        <f t="shared" si="86"/>
        <v/>
      </c>
      <c r="CN58" s="47" t="s">
        <v>0</v>
      </c>
      <c r="CO58" s="143" t="str">
        <f t="shared" si="87"/>
        <v>OK Kapela</v>
      </c>
      <c r="CP58" s="47" t="s">
        <v>0</v>
      </c>
      <c r="CQ58" s="58" t="str">
        <f t="shared" si="109"/>
        <v>63:39</v>
      </c>
      <c r="CR58" s="73" t="str">
        <f t="shared" si="110"/>
        <v>0</v>
      </c>
      <c r="CS58" s="229" t="str">
        <f t="shared" si="30"/>
        <v/>
      </c>
      <c r="CT58" s="230">
        <f t="shared" si="31"/>
        <v>3819</v>
      </c>
      <c r="CU58" s="163">
        <f t="shared" si="32"/>
        <v>1</v>
      </c>
      <c r="CV58" s="47" t="s">
        <v>0</v>
      </c>
      <c r="CW58" s="222" t="str">
        <f t="shared" si="89"/>
        <v xml:space="preserve">
</v>
      </c>
      <c r="CX58" s="223">
        <f t="shared" si="90"/>
        <v>6</v>
      </c>
      <c r="CY58" s="47" t="s">
        <v>0</v>
      </c>
      <c r="CZ58" s="47"/>
      <c r="DA58" s="47"/>
      <c r="DB58" s="47"/>
      <c r="DC58" s="47" t="s">
        <v>0</v>
      </c>
      <c r="DD58" s="53" t="str">
        <f t="shared" si="103"/>
        <v/>
      </c>
      <c r="DE58" t="s">
        <v>0</v>
      </c>
      <c r="DF58" s="128" t="str">
        <f t="shared" si="104"/>
        <v>M</v>
      </c>
      <c r="DG58" t="s">
        <v>0</v>
      </c>
      <c r="DH58" s="52" t="str">
        <f t="shared" si="105"/>
        <v/>
      </c>
      <c r="DI58" s="66" t="str">
        <f t="shared" si="106"/>
        <v/>
      </c>
      <c r="DJ58" t="s">
        <v>0</v>
      </c>
      <c r="DK58" s="19" t="str">
        <f t="shared" si="107"/>
        <v/>
      </c>
      <c r="DL58" s="47" t="s">
        <v>0</v>
      </c>
      <c r="DM58" s="19" t="str">
        <f t="shared" si="108"/>
        <v/>
      </c>
      <c r="DN58" s="47" t="s">
        <v>0</v>
      </c>
      <c r="DO58" s="52" t="str">
        <f t="shared" si="39"/>
        <v>Andraž – Hribar – OK Kapela – M21A</v>
      </c>
      <c r="DP58" s="53">
        <f t="shared" si="40"/>
        <v>253</v>
      </c>
      <c r="DQ58" s="47" t="s">
        <v>0</v>
      </c>
      <c r="DR58" s="52" t="str">
        <f t="shared" si="41"/>
        <v>Andraž – Hribar – OK Kapela</v>
      </c>
      <c r="DS58" s="53">
        <f t="shared" si="42"/>
        <v>253</v>
      </c>
      <c r="DT58" s="47" t="s">
        <v>0</v>
      </c>
      <c r="DU58" s="52" t="str">
        <f t="shared" si="43"/>
        <v>Andraž – Hribar</v>
      </c>
      <c r="DV58" s="53">
        <f t="shared" si="44"/>
        <v>253</v>
      </c>
      <c r="DW58" s="47" t="s">
        <v>0</v>
      </c>
      <c r="DX58" s="58">
        <f t="shared" si="91"/>
        <v>253</v>
      </c>
      <c r="DY58" s="53" cm="1">
        <f t="array" ref="DY58">IF(DX58&lt;&gt;"",INDEX(regNatjecatelj_id,DX58,0),IF(BD58&lt;&gt;"",BD58,""))</f>
        <v>1861</v>
      </c>
      <c r="DZ58" s="47" t="s">
        <v>0</v>
      </c>
      <c r="EA58" s="58" t="str">
        <f t="shared" si="45"/>
        <v>imepre</v>
      </c>
      <c r="EB58" s="73" t="str">
        <f t="shared" si="46"/>
        <v>klu</v>
      </c>
      <c r="EC58" s="73" t="str">
        <f t="shared" si="47"/>
        <v>kat</v>
      </c>
      <c r="ED58" s="73" t="str">
        <f t="shared" si="48"/>
        <v/>
      </c>
      <c r="EE58" s="66" t="str">
        <f t="shared" si="49"/>
        <v>imepre-klu-kat</v>
      </c>
      <c r="EF58" s="47" t="s">
        <v>0</v>
      </c>
      <c r="EG58" s="58">
        <f>IF(AL58="","",MAX(EG$12:EG57)+1)</f>
        <v>230</v>
      </c>
      <c r="EH58" s="73">
        <f t="shared" si="50"/>
        <v>27</v>
      </c>
      <c r="EI58" s="73">
        <f t="shared" si="92"/>
        <v>1861</v>
      </c>
      <c r="EJ58" s="73">
        <f t="shared" si="51"/>
        <v>3819</v>
      </c>
      <c r="EK58" s="73">
        <f t="shared" si="52"/>
        <v>1</v>
      </c>
      <c r="EL58" s="73">
        <f t="shared" si="93"/>
        <v>1</v>
      </c>
      <c r="EM58" s="73">
        <f t="shared" si="94"/>
        <v>1</v>
      </c>
      <c r="EN58" s="73" t="str">
        <f t="shared" si="55"/>
        <v>0</v>
      </c>
      <c r="EO58" s="73" t="str">
        <f t="shared" si="56"/>
        <v/>
      </c>
      <c r="EP58" s="73" t="str">
        <f t="shared" si="57"/>
        <v/>
      </c>
      <c r="EQ58" s="53" t="str">
        <f t="shared" si="58"/>
        <v/>
      </c>
      <c r="ER58" s="47" t="s">
        <v>0</v>
      </c>
      <c r="ES58" s="19" t="str">
        <f t="shared" si="95"/>
        <v>INSERT INTO rezultat(id,stazakategorija_id,imeprezime_id,vrijeme_sec,status_id,registracija,uparivanje_id,originalstatus_id,imeprezimealias_id,klubalias_id,kategorijaalias_id) VALUES (230,27,1861,3819,1,1,1,0,Null,Null,Null);</v>
      </c>
      <c r="ET58" s="47" t="s">
        <v>0</v>
      </c>
      <c r="EU58" s="19" t="str">
        <f t="shared" si="96"/>
        <v>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8" s="47" t="s">
        <v>0</v>
      </c>
      <c r="EW58" s="180" t="str">
        <f t="shared" si="60"/>
        <v xml:space="preserve">
INSERT INTO rezultat(id,stazakategorija_id,imeprezime_id,vrijeme_sec,status_id,registracija,uparivanje_id,originalstatus_id,imeprezimealias_id,klubalias_id,kategorijaalias_id) VALUES (230,27,1861,3819,1,1,1,0,Null,Null,Null);
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8" s="47" t="s">
        <v>0</v>
      </c>
    </row>
    <row r="59" spans="1:154" x14ac:dyDescent="0.25">
      <c r="A59" t="s">
        <v>0</v>
      </c>
      <c r="B59" s="52" t="str">
        <f>IF(csv!F49="","",csv!T49)</f>
        <v>M21A</v>
      </c>
      <c r="C59" s="31" t="s">
        <v>0</v>
      </c>
      <c r="D59" s="31" t="str">
        <f>IF(csv!F49="","",csv!F49)</f>
        <v>Matija</v>
      </c>
      <c r="E59" s="31" t="str">
        <f>IF(csv!E49="","",csv!E49)</f>
        <v>Razum</v>
      </c>
      <c r="F59" s="31" t="s">
        <v>0</v>
      </c>
      <c r="G59" s="73" t="str">
        <f>IF(csv!M49="","",csv!M49)</f>
        <v>64:05</v>
      </c>
      <c r="H59" s="73" t="str">
        <f>IF(csv!N49="","",csv!N49)</f>
        <v>0</v>
      </c>
      <c r="I59" s="31" t="s">
        <v>0</v>
      </c>
      <c r="J59" s="31" t="str">
        <f>IF(csv!P49="","",csv!P49)</f>
        <v>JAP</v>
      </c>
      <c r="K59" s="31" t="str">
        <f>IF(csv!Q49="","",csv!Q49)</f>
        <v>OK Japetic</v>
      </c>
      <c r="L59" s="31" t="s">
        <v>0</v>
      </c>
      <c r="M59" s="66" t="str">
        <f>IF(csv!R49="","",csv!R49)</f>
        <v>CRO</v>
      </c>
      <c r="N59" s="47" t="s">
        <v>0</v>
      </c>
      <c r="O59" s="246" t="str">
        <f t="shared" si="61"/>
        <v>ok</v>
      </c>
      <c r="P59" s="47"/>
      <c r="Q59" s="52" t="str">
        <f t="shared" si="62"/>
        <v>M21A</v>
      </c>
      <c r="R59" s="73">
        <f>IF(Q59="","",IF(COUNTIF(Q$12:Q58,Q59)=0,R58+1,R58))</f>
        <v>5</v>
      </c>
      <c r="S59" s="73">
        <f t="shared" si="63"/>
        <v>101</v>
      </c>
      <c r="T59" s="73">
        <f t="shared" si="1"/>
        <v>13</v>
      </c>
      <c r="U59" s="66" t="str">
        <f t="shared" si="2"/>
        <v>M21A</v>
      </c>
      <c r="V59" s="47" t="s">
        <v>0</v>
      </c>
      <c r="W59" s="222" t="str">
        <f t="shared" si="3"/>
        <v>M21A</v>
      </c>
      <c r="X59" s="223">
        <f t="shared" si="4"/>
        <v>27</v>
      </c>
      <c r="Y59" s="47" t="s">
        <v>0</v>
      </c>
      <c r="Z59" s="52" t="str">
        <f t="shared" si="64"/>
        <v>CRO</v>
      </c>
      <c r="AA59" s="73">
        <f t="shared" si="5"/>
        <v>1</v>
      </c>
      <c r="AB59" s="31" t="str">
        <f t="shared" si="65"/>
        <v/>
      </c>
      <c r="AC59" s="66" t="str">
        <f>IF(AB59="","",MAX(AC$12:AC58)+1)</f>
        <v/>
      </c>
      <c r="AD59" s="47" t="s">
        <v>0</v>
      </c>
      <c r="AE59" s="125"/>
      <c r="AF59" s="47" t="s">
        <v>0</v>
      </c>
      <c r="AG59" s="19" t="str">
        <f t="shared" si="66"/>
        <v/>
      </c>
      <c r="AH59" s="47" t="s">
        <v>0</v>
      </c>
      <c r="AI59" s="143" t="str">
        <f t="shared" si="67"/>
        <v>CRO</v>
      </c>
      <c r="AJ59" s="47"/>
      <c r="AK59" s="52" t="str">
        <f t="shared" si="68"/>
        <v>Matija</v>
      </c>
      <c r="AL59" s="31" t="str">
        <f t="shared" si="69"/>
        <v>Razum</v>
      </c>
      <c r="AM59" s="73">
        <f t="shared" si="70"/>
        <v>1459</v>
      </c>
      <c r="AN59" s="73" t="str">
        <f t="shared" si="71"/>
        <v/>
      </c>
      <c r="AO59" s="31" t="str">
        <f t="shared" si="8"/>
        <v>Matija</v>
      </c>
      <c r="AP59" s="66" t="str">
        <f t="shared" si="9"/>
        <v>Razum</v>
      </c>
      <c r="AQ59" s="47" t="s">
        <v>0</v>
      </c>
      <c r="AR59" s="82" t="str">
        <f t="shared" si="72"/>
        <v/>
      </c>
      <c r="AS59" s="47" t="s">
        <v>0</v>
      </c>
      <c r="AT59" s="19" t="str">
        <f t="shared" si="73"/>
        <v/>
      </c>
      <c r="AU59" s="47" t="s">
        <v>0</v>
      </c>
      <c r="AV59" s="103"/>
      <c r="AW59" s="105"/>
      <c r="AX59" s="47" t="s">
        <v>0</v>
      </c>
      <c r="AY59" s="259" t="str">
        <f t="shared" si="102"/>
        <v/>
      </c>
      <c r="AZ59" s="47" t="s">
        <v>0</v>
      </c>
      <c r="BA59" s="52" t="str">
        <f t="shared" si="11"/>
        <v/>
      </c>
      <c r="BB59" s="73" t="str">
        <f>IF(AV59&amp;AW59="","",MAX(BB$12:BB58)+1)</f>
        <v/>
      </c>
      <c r="BC59" s="272" t="str">
        <f t="shared" si="12"/>
        <v/>
      </c>
      <c r="BD59" s="53" t="str">
        <f>IF(AND(AM59="NEMA",AN59="NEMA",OR(AV59&amp;AW59="",BC59="NEMA")),MAX(BD$12:BD58)+1,"")</f>
        <v/>
      </c>
      <c r="BE59" s="47" t="s">
        <v>0</v>
      </c>
      <c r="BF59" s="52" t="str">
        <f t="shared" si="74"/>
        <v>Matija</v>
      </c>
      <c r="BG59" s="66" t="str">
        <f t="shared" si="75"/>
        <v>Razum</v>
      </c>
      <c r="BH59" s="47" t="s">
        <v>0</v>
      </c>
      <c r="BI59" s="52" t="str">
        <f t="shared" si="15"/>
        <v>JAP</v>
      </c>
      <c r="BJ59" s="31" t="str">
        <f t="shared" si="16"/>
        <v>OK Japetic</v>
      </c>
      <c r="BK59" s="73">
        <f t="shared" si="17"/>
        <v>1</v>
      </c>
      <c r="BL59" s="31" t="str" cm="1">
        <f t="array" ref="BL59">IF(BK59="",""&amp;BJ59,IF(BK59="NEMA",BJ59,INDEX(regKlub_naziv,MATCH(INDEX(regKlub_alias_klubId,BK59),regKlub_id,0))))</f>
        <v>OK Japetić</v>
      </c>
      <c r="BM59" s="31" t="str" cm="1">
        <f t="array" ref="BM59">IFERROR(""&amp;INDEX(regNatjecatelj_klub,DV59),"")</f>
        <v>OK Japetić</v>
      </c>
      <c r="BN59" s="73" t="str">
        <f t="shared" si="76"/>
        <v/>
      </c>
      <c r="BO59" s="66" t="str">
        <f t="shared" si="77"/>
        <v>OK Japetić</v>
      </c>
      <c r="BP59" s="47" t="s">
        <v>0</v>
      </c>
      <c r="BQ59" s="52" t="str">
        <f>IF(X59&lt;&gt;"NEMA","",IF(IFERROR(MATCH(W59,W$12:W58,0),0)&lt;&gt;0,"",W59))</f>
        <v/>
      </c>
      <c r="BR59" s="73" t="str">
        <f t="shared" si="78"/>
        <v/>
      </c>
      <c r="BS59" s="31" t="str">
        <f>IF(OR(BR59="",BR59&lt;&gt;"NEMA"),"",MAX(BS$12:BS58)+1)</f>
        <v/>
      </c>
      <c r="BT59" s="66" t="str">
        <f t="shared" si="79"/>
        <v/>
      </c>
      <c r="BU59" s="47" t="s">
        <v>0</v>
      </c>
      <c r="BV59" s="19" t="str">
        <f t="shared" si="80"/>
        <v/>
      </c>
      <c r="BW59" s="47" t="s">
        <v>0</v>
      </c>
      <c r="BX59" s="82" t="str">
        <f>IF(BK59&lt;&gt;"NEMA","",IF(IFERROR(MATCH(BJ59,BJ$12:BJ58,0),0)&lt;&gt;0,"",BJ59))</f>
        <v/>
      </c>
      <c r="BY59" s="47" t="s">
        <v>0</v>
      </c>
      <c r="BZ59" s="125"/>
      <c r="CA59" s="47" t="s">
        <v>0</v>
      </c>
      <c r="CB59" s="58" t="str">
        <f t="shared" si="81"/>
        <v/>
      </c>
      <c r="CC59" s="31" t="str">
        <f t="shared" si="82"/>
        <v/>
      </c>
      <c r="CD59" s="31" t="str">
        <f>IF(CC59="","",MAX(CD$12:CD58)+1)</f>
        <v/>
      </c>
      <c r="CE59" s="31" t="str">
        <f t="shared" si="22"/>
        <v/>
      </c>
      <c r="CF59" s="31" t="str">
        <f t="shared" si="83"/>
        <v/>
      </c>
      <c r="CG59" s="31" t="str">
        <f>IF(BZ59="","",MAX(CG$12:CG58)+1)</f>
        <v/>
      </c>
      <c r="CH59" s="31" t="str">
        <f t="shared" si="84"/>
        <v/>
      </c>
      <c r="CI59" s="66" t="str">
        <f t="shared" si="85"/>
        <v/>
      </c>
      <c r="CJ59" s="47" t="s">
        <v>0</v>
      </c>
      <c r="CK59" s="73" t="str">
        <f t="shared" si="25"/>
        <v/>
      </c>
      <c r="CL59" s="47"/>
      <c r="CM59" s="19" t="str">
        <f t="shared" si="86"/>
        <v/>
      </c>
      <c r="CN59" s="47" t="s">
        <v>0</v>
      </c>
      <c r="CO59" s="143" t="str">
        <f t="shared" si="87"/>
        <v>OK Japetić</v>
      </c>
      <c r="CP59" s="47" t="s">
        <v>0</v>
      </c>
      <c r="CQ59" s="58" t="str">
        <f t="shared" si="109"/>
        <v>64:05</v>
      </c>
      <c r="CR59" s="73" t="str">
        <f t="shared" si="110"/>
        <v>0</v>
      </c>
      <c r="CS59" s="229" t="str">
        <f t="shared" si="30"/>
        <v/>
      </c>
      <c r="CT59" s="230">
        <f t="shared" si="31"/>
        <v>3845</v>
      </c>
      <c r="CU59" s="163">
        <f t="shared" si="32"/>
        <v>1</v>
      </c>
      <c r="CV59" s="47" t="s">
        <v>0</v>
      </c>
      <c r="CW59" s="222" t="str">
        <f t="shared" si="89"/>
        <v xml:space="preserve">
</v>
      </c>
      <c r="CX59" s="223">
        <f t="shared" si="90"/>
        <v>6</v>
      </c>
      <c r="CY59" s="47" t="s">
        <v>0</v>
      </c>
      <c r="CZ59" s="47"/>
      <c r="DA59" s="47"/>
      <c r="DB59" s="47"/>
      <c r="DC59" s="47" t="s">
        <v>0</v>
      </c>
      <c r="DD59" s="53" t="str">
        <f t="shared" si="103"/>
        <v/>
      </c>
      <c r="DE59" t="s">
        <v>0</v>
      </c>
      <c r="DF59" s="128" t="str">
        <f t="shared" si="104"/>
        <v>M</v>
      </c>
      <c r="DG59" t="s">
        <v>0</v>
      </c>
      <c r="DH59" s="52" t="str">
        <f t="shared" si="105"/>
        <v/>
      </c>
      <c r="DI59" s="66" t="str">
        <f t="shared" si="106"/>
        <v/>
      </c>
      <c r="DJ59" t="s">
        <v>0</v>
      </c>
      <c r="DK59" s="19" t="str">
        <f t="shared" si="107"/>
        <v/>
      </c>
      <c r="DL59" s="47" t="s">
        <v>0</v>
      </c>
      <c r="DM59" s="19" t="str">
        <f t="shared" si="108"/>
        <v/>
      </c>
      <c r="DN59" s="47" t="s">
        <v>0</v>
      </c>
      <c r="DO59" s="52" t="str">
        <f t="shared" si="39"/>
        <v>Matija – Razum – OK Japetić – M21A</v>
      </c>
      <c r="DP59" s="53">
        <f t="shared" si="40"/>
        <v>135</v>
      </c>
      <c r="DQ59" s="47" t="s">
        <v>0</v>
      </c>
      <c r="DR59" s="52" t="str">
        <f t="shared" si="41"/>
        <v>Matija – Razum – OK Japetić</v>
      </c>
      <c r="DS59" s="53">
        <f t="shared" si="42"/>
        <v>135</v>
      </c>
      <c r="DT59" s="47" t="s">
        <v>0</v>
      </c>
      <c r="DU59" s="52" t="str">
        <f t="shared" si="43"/>
        <v>Matija – Razum</v>
      </c>
      <c r="DV59" s="53">
        <f t="shared" si="44"/>
        <v>135</v>
      </c>
      <c r="DW59" s="47" t="s">
        <v>0</v>
      </c>
      <c r="DX59" s="58">
        <f t="shared" si="91"/>
        <v>135</v>
      </c>
      <c r="DY59" s="53" cm="1">
        <f t="array" ref="DY59">IF(DX59&lt;&gt;"",INDEX(regNatjecatelj_id,DX59,0),IF(BD59&lt;&gt;"",BD59,""))</f>
        <v>1459</v>
      </c>
      <c r="DZ59" s="47" t="s">
        <v>0</v>
      </c>
      <c r="EA59" s="58" t="str">
        <f t="shared" si="45"/>
        <v>imepre</v>
      </c>
      <c r="EB59" s="73" t="str">
        <f t="shared" si="46"/>
        <v>klu(ali)</v>
      </c>
      <c r="EC59" s="73" t="str">
        <f t="shared" si="47"/>
        <v>kat</v>
      </c>
      <c r="ED59" s="73" t="str">
        <f t="shared" si="48"/>
        <v/>
      </c>
      <c r="EE59" s="66" t="str">
        <f t="shared" si="49"/>
        <v>imepre-klu(ali)-kat</v>
      </c>
      <c r="EF59" s="47" t="s">
        <v>0</v>
      </c>
      <c r="EG59" s="58">
        <f>IF(AL59="","",MAX(EG$12:EG58)+1)</f>
        <v>231</v>
      </c>
      <c r="EH59" s="73">
        <f t="shared" si="50"/>
        <v>27</v>
      </c>
      <c r="EI59" s="73">
        <f t="shared" si="92"/>
        <v>1459</v>
      </c>
      <c r="EJ59" s="73">
        <f t="shared" si="51"/>
        <v>3845</v>
      </c>
      <c r="EK59" s="73">
        <f t="shared" si="52"/>
        <v>1</v>
      </c>
      <c r="EL59" s="73">
        <f t="shared" si="93"/>
        <v>1</v>
      </c>
      <c r="EM59" s="73">
        <f t="shared" si="94"/>
        <v>3</v>
      </c>
      <c r="EN59" s="73" t="str">
        <f t="shared" si="55"/>
        <v>0</v>
      </c>
      <c r="EO59" s="73" t="str">
        <f t="shared" si="56"/>
        <v/>
      </c>
      <c r="EP59" s="73">
        <f t="shared" si="57"/>
        <v>1</v>
      </c>
      <c r="EQ59" s="53" t="str">
        <f t="shared" si="58"/>
        <v/>
      </c>
      <c r="ER59" s="47" t="s">
        <v>0</v>
      </c>
      <c r="ES59" s="19" t="str">
        <f t="shared" si="95"/>
        <v>INSERT INTO rezultat(id,stazakategorija_id,imeprezime_id,vrijeme_sec,status_id,registracija,uparivanje_id,originalstatus_id,imeprezimealias_id,klubalias_id,kategorijaalias_id) VALUES (231,27,1459,3845,1,1,3,0,Null,1,Null);</v>
      </c>
      <c r="ET59" s="47" t="s">
        <v>0</v>
      </c>
      <c r="EU59" s="19" t="str">
        <f t="shared" si="96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9" s="47" t="s">
        <v>0</v>
      </c>
      <c r="EW59" s="180" t="str">
        <f t="shared" si="60"/>
        <v xml:space="preserve">
INSERT INTO rezultat(id,stazakategorija_id,imeprezime_id,vrijeme_sec,status_id,registracija,uparivanje_id,originalstatus_id,imeprezimealias_id,klubalias_id,kategorijaalias_id) VALUES (231,27,1459,3845,1,1,3,0,Null,1,Null);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9" s="47" t="s">
        <v>0</v>
      </c>
    </row>
    <row r="60" spans="1:154" x14ac:dyDescent="0.25">
      <c r="A60" t="s">
        <v>0</v>
      </c>
      <c r="B60" s="52" t="str">
        <f>IF(csv!F50="","",csv!T50)</f>
        <v>M21A</v>
      </c>
      <c r="C60" s="31" t="s">
        <v>0</v>
      </c>
      <c r="D60" s="31" t="str">
        <f>IF(csv!F50="","",csv!F50)</f>
        <v>Lobel</v>
      </c>
      <c r="E60" s="31" t="str">
        <f>IF(csv!E50="","",csv!E50)</f>
        <v>Horvat</v>
      </c>
      <c r="F60" s="31" t="s">
        <v>0</v>
      </c>
      <c r="G60" s="73" t="str">
        <f>IF(csv!M50="","",csv!M50)</f>
        <v>70:16</v>
      </c>
      <c r="H60" s="73" t="str">
        <f>IF(csv!N50="","",csv!N50)</f>
        <v>0</v>
      </c>
      <c r="I60" s="31" t="s">
        <v>0</v>
      </c>
      <c r="J60" s="31" t="str">
        <f>IF(csv!P50="","",csv!P50)</f>
        <v>Maksimir</v>
      </c>
      <c r="K60" s="31" t="str">
        <f>IF(csv!Q50="","",csv!Q50)</f>
        <v>OK Maksimir</v>
      </c>
      <c r="L60" s="31" t="s">
        <v>0</v>
      </c>
      <c r="M60" s="66" t="str">
        <f>IF(csv!R50="","",csv!R50)</f>
        <v>CRO</v>
      </c>
      <c r="N60" s="47" t="s">
        <v>0</v>
      </c>
      <c r="O60" s="246" t="str">
        <f t="shared" si="61"/>
        <v>ok</v>
      </c>
      <c r="P60" s="47"/>
      <c r="Q60" s="52" t="str">
        <f t="shared" si="62"/>
        <v>M21A</v>
      </c>
      <c r="R60" s="73">
        <f>IF(Q60="","",IF(COUNTIF(Q$12:Q59,Q60)=0,R59+1,R59))</f>
        <v>5</v>
      </c>
      <c r="S60" s="73">
        <f t="shared" si="63"/>
        <v>101</v>
      </c>
      <c r="T60" s="73">
        <f t="shared" si="1"/>
        <v>13</v>
      </c>
      <c r="U60" s="66" t="str">
        <f t="shared" si="2"/>
        <v>M21A</v>
      </c>
      <c r="V60" s="47" t="s">
        <v>0</v>
      </c>
      <c r="W60" s="222" t="str">
        <f t="shared" si="3"/>
        <v>M21A</v>
      </c>
      <c r="X60" s="223">
        <f t="shared" si="4"/>
        <v>27</v>
      </c>
      <c r="Y60" s="47" t="s">
        <v>0</v>
      </c>
      <c r="Z60" s="52" t="str">
        <f t="shared" si="64"/>
        <v>CRO</v>
      </c>
      <c r="AA60" s="73">
        <f t="shared" si="5"/>
        <v>1</v>
      </c>
      <c r="AB60" s="31" t="str">
        <f t="shared" si="65"/>
        <v/>
      </c>
      <c r="AC60" s="66" t="str">
        <f>IF(AB60="","",MAX(AC$12:AC59)+1)</f>
        <v/>
      </c>
      <c r="AD60" s="47" t="s">
        <v>0</v>
      </c>
      <c r="AE60" s="125"/>
      <c r="AF60" s="47" t="s">
        <v>0</v>
      </c>
      <c r="AG60" s="19" t="str">
        <f t="shared" si="66"/>
        <v/>
      </c>
      <c r="AH60" s="47" t="s">
        <v>0</v>
      </c>
      <c r="AI60" s="143" t="str">
        <f t="shared" si="67"/>
        <v>CRO</v>
      </c>
      <c r="AJ60" s="47"/>
      <c r="AK60" s="52" t="str">
        <f t="shared" si="68"/>
        <v>Lobel</v>
      </c>
      <c r="AL60" s="31" t="str">
        <f t="shared" si="69"/>
        <v>Horvat</v>
      </c>
      <c r="AM60" s="73">
        <f t="shared" si="70"/>
        <v>1130</v>
      </c>
      <c r="AN60" s="73" t="str">
        <f t="shared" si="71"/>
        <v/>
      </c>
      <c r="AO60" s="31" t="str">
        <f t="shared" si="8"/>
        <v>Lobel</v>
      </c>
      <c r="AP60" s="66" t="str">
        <f t="shared" si="9"/>
        <v>Horvat</v>
      </c>
      <c r="AQ60" s="47" t="s">
        <v>0</v>
      </c>
      <c r="AR60" s="82" t="str">
        <f t="shared" si="72"/>
        <v/>
      </c>
      <c r="AS60" s="47" t="s">
        <v>0</v>
      </c>
      <c r="AT60" s="19" t="str">
        <f t="shared" si="73"/>
        <v/>
      </c>
      <c r="AU60" s="47" t="s">
        <v>0</v>
      </c>
      <c r="AV60" s="103"/>
      <c r="AW60" s="105"/>
      <c r="AX60" s="47" t="s">
        <v>0</v>
      </c>
      <c r="AY60" s="259" t="str">
        <f t="shared" si="102"/>
        <v/>
      </c>
      <c r="AZ60" s="47" t="s">
        <v>0</v>
      </c>
      <c r="BA60" s="52" t="str">
        <f t="shared" si="11"/>
        <v/>
      </c>
      <c r="BB60" s="73" t="str">
        <f>IF(AV60&amp;AW60="","",MAX(BB$12:BB59)+1)</f>
        <v/>
      </c>
      <c r="BC60" s="272" t="str">
        <f t="shared" si="12"/>
        <v/>
      </c>
      <c r="BD60" s="53" t="str">
        <f>IF(AND(AM60="NEMA",AN60="NEMA",OR(AV60&amp;AW60="",BC60="NEMA")),MAX(BD$12:BD59)+1,"")</f>
        <v/>
      </c>
      <c r="BE60" s="47" t="s">
        <v>0</v>
      </c>
      <c r="BF60" s="52" t="str">
        <f t="shared" si="74"/>
        <v>Lobel</v>
      </c>
      <c r="BG60" s="66" t="str">
        <f t="shared" si="75"/>
        <v>Horvat</v>
      </c>
      <c r="BH60" s="47" t="s">
        <v>0</v>
      </c>
      <c r="BI60" s="52" t="str">
        <f t="shared" si="15"/>
        <v>Maksimir</v>
      </c>
      <c r="BJ60" s="31" t="str">
        <f t="shared" si="16"/>
        <v>OK Maksimir</v>
      </c>
      <c r="BK60" s="73" t="str">
        <f t="shared" si="17"/>
        <v/>
      </c>
      <c r="BL60" s="31" t="str" cm="1">
        <f t="array" ref="BL60">IF(BK60="",""&amp;BJ60,IF(BK60="NEMA",BJ60,INDEX(regKlub_naziv,MATCH(INDEX(regKlub_alias_klubId,BK60),regKlub_id,0))))</f>
        <v>OK Maksimir</v>
      </c>
      <c r="BM60" s="31" t="str" cm="1">
        <f t="array" ref="BM60">IFERROR(""&amp;INDEX(regNatjecatelj_klub,DV60),"")</f>
        <v>OK Maksimir</v>
      </c>
      <c r="BN60" s="73" t="str">
        <f t="shared" si="76"/>
        <v/>
      </c>
      <c r="BO60" s="66" t="str">
        <f t="shared" si="77"/>
        <v>OK Maksimir</v>
      </c>
      <c r="BP60" s="47" t="s">
        <v>0</v>
      </c>
      <c r="BQ60" s="52" t="str">
        <f>IF(X60&lt;&gt;"NEMA","",IF(IFERROR(MATCH(W60,W$12:W59,0),0)&lt;&gt;0,"",W60))</f>
        <v/>
      </c>
      <c r="BR60" s="73" t="str">
        <f t="shared" si="78"/>
        <v/>
      </c>
      <c r="BS60" s="31" t="str">
        <f>IF(OR(BR60="",BR60&lt;&gt;"NEMA"),"",MAX(BS$12:BS59)+1)</f>
        <v/>
      </c>
      <c r="BT60" s="66" t="str">
        <f t="shared" si="79"/>
        <v/>
      </c>
      <c r="BU60" s="47" t="s">
        <v>0</v>
      </c>
      <c r="BV60" s="19" t="str">
        <f t="shared" si="80"/>
        <v/>
      </c>
      <c r="BW60" s="47" t="s">
        <v>0</v>
      </c>
      <c r="BX60" s="82" t="str">
        <f>IF(BK60&lt;&gt;"NEMA","",IF(IFERROR(MATCH(BJ60,BJ$12:BJ59,0),0)&lt;&gt;0,"",BJ60))</f>
        <v/>
      </c>
      <c r="BY60" s="47" t="s">
        <v>0</v>
      </c>
      <c r="BZ60" s="125"/>
      <c r="CA60" s="47" t="s">
        <v>0</v>
      </c>
      <c r="CB60" s="58" t="str">
        <f t="shared" si="81"/>
        <v/>
      </c>
      <c r="CC60" s="31" t="str">
        <f t="shared" si="82"/>
        <v/>
      </c>
      <c r="CD60" s="31" t="str">
        <f>IF(CC60="","",MAX(CD$12:CD59)+1)</f>
        <v/>
      </c>
      <c r="CE60" s="31" t="str">
        <f t="shared" si="22"/>
        <v/>
      </c>
      <c r="CF60" s="31" t="str">
        <f t="shared" si="83"/>
        <v/>
      </c>
      <c r="CG60" s="31" t="str">
        <f>IF(BZ60="","",MAX(CG$12:CG59)+1)</f>
        <v/>
      </c>
      <c r="CH60" s="31" t="str">
        <f t="shared" si="84"/>
        <v/>
      </c>
      <c r="CI60" s="66" t="str">
        <f t="shared" si="85"/>
        <v/>
      </c>
      <c r="CJ60" s="47" t="s">
        <v>0</v>
      </c>
      <c r="CK60" s="73" t="str">
        <f t="shared" si="25"/>
        <v/>
      </c>
      <c r="CL60" s="47"/>
      <c r="CM60" s="19" t="str">
        <f t="shared" si="86"/>
        <v/>
      </c>
      <c r="CN60" s="47" t="s">
        <v>0</v>
      </c>
      <c r="CO60" s="143" t="str">
        <f t="shared" si="87"/>
        <v>OK Maksimir</v>
      </c>
      <c r="CP60" s="47" t="s">
        <v>0</v>
      </c>
      <c r="CQ60" s="58" t="str">
        <f t="shared" si="109"/>
        <v>70:16</v>
      </c>
      <c r="CR60" s="73" t="str">
        <f t="shared" si="110"/>
        <v>0</v>
      </c>
      <c r="CS60" s="229" t="str">
        <f t="shared" si="30"/>
        <v/>
      </c>
      <c r="CT60" s="230">
        <f t="shared" ref="CT60" si="111">IF(CQ60="","",VALUE(LEFT(CQ60,SEARCH(":",CQ60)-1))*60+VALUE(RIGHT(CQ60,2)))</f>
        <v>4216</v>
      </c>
      <c r="CU60" s="163">
        <f t="shared" si="32"/>
        <v>1</v>
      </c>
      <c r="CV60" s="47" t="s">
        <v>0</v>
      </c>
      <c r="CW60" s="222" t="str">
        <f t="shared" si="89"/>
        <v xml:space="preserve">
</v>
      </c>
      <c r="CX60" s="223">
        <f t="shared" si="90"/>
        <v>6</v>
      </c>
      <c r="CY60" s="47" t="s">
        <v>0</v>
      </c>
      <c r="CZ60" s="47"/>
      <c r="DA60" s="47"/>
      <c r="DB60" s="47"/>
      <c r="DC60" s="47" t="s">
        <v>0</v>
      </c>
      <c r="DD60" s="53" t="str">
        <f t="shared" si="103"/>
        <v/>
      </c>
      <c r="DE60" t="s">
        <v>0</v>
      </c>
      <c r="DF60" s="128" t="str">
        <f t="shared" si="104"/>
        <v>M</v>
      </c>
      <c r="DG60" t="s">
        <v>0</v>
      </c>
      <c r="DH60" s="52" t="str">
        <f t="shared" si="105"/>
        <v/>
      </c>
      <c r="DI60" s="66" t="str">
        <f t="shared" si="106"/>
        <v/>
      </c>
      <c r="DJ60" t="s">
        <v>0</v>
      </c>
      <c r="DK60" s="19" t="str">
        <f t="shared" si="107"/>
        <v/>
      </c>
      <c r="DL60" s="47" t="s">
        <v>0</v>
      </c>
      <c r="DM60" s="19" t="str">
        <f t="shared" si="108"/>
        <v/>
      </c>
      <c r="DN60" s="47" t="s">
        <v>0</v>
      </c>
      <c r="DO60" s="52" t="str">
        <f t="shared" si="39"/>
        <v>Lobel – Horvat – OK Maksimir – M21A</v>
      </c>
      <c r="DP60" s="53">
        <f t="shared" si="40"/>
        <v>348</v>
      </c>
      <c r="DQ60" s="47" t="s">
        <v>0</v>
      </c>
      <c r="DR60" s="52" t="str">
        <f t="shared" si="41"/>
        <v>Lobel – Horvat – OK Maksimir</v>
      </c>
      <c r="DS60" s="53">
        <f t="shared" si="42"/>
        <v>348</v>
      </c>
      <c r="DT60" s="47" t="s">
        <v>0</v>
      </c>
      <c r="DU60" s="52" t="str">
        <f t="shared" si="43"/>
        <v>Lobel – Horvat</v>
      </c>
      <c r="DV60" s="53">
        <f t="shared" si="44"/>
        <v>348</v>
      </c>
      <c r="DW60" s="47" t="s">
        <v>0</v>
      </c>
      <c r="DX60" s="58">
        <f t="shared" si="91"/>
        <v>348</v>
      </c>
      <c r="DY60" s="53" cm="1">
        <f t="array" ref="DY60">IF(DX60&lt;&gt;"",INDEX(regNatjecatelj_id,DX60,0),IF(BD60&lt;&gt;"",BD60,""))</f>
        <v>1130</v>
      </c>
      <c r="DZ60" s="47" t="s">
        <v>0</v>
      </c>
      <c r="EA60" s="58" t="str">
        <f t="shared" si="45"/>
        <v>imepre</v>
      </c>
      <c r="EB60" s="73" t="str">
        <f t="shared" si="46"/>
        <v>klu</v>
      </c>
      <c r="EC60" s="73" t="str">
        <f t="shared" si="47"/>
        <v>kat</v>
      </c>
      <c r="ED60" s="73" t="str">
        <f t="shared" si="48"/>
        <v/>
      </c>
      <c r="EE60" s="66" t="str">
        <f t="shared" si="49"/>
        <v>imepre-klu-kat</v>
      </c>
      <c r="EF60" s="47" t="s">
        <v>0</v>
      </c>
      <c r="EG60" s="58">
        <f>IF(AL60="","",MAX(EG$12:EG59)+1)</f>
        <v>232</v>
      </c>
      <c r="EH60" s="73">
        <f t="shared" si="50"/>
        <v>27</v>
      </c>
      <c r="EI60" s="73">
        <f t="shared" si="92"/>
        <v>1130</v>
      </c>
      <c r="EJ60" s="73">
        <f t="shared" si="51"/>
        <v>4216</v>
      </c>
      <c r="EK60" s="73">
        <f t="shared" si="52"/>
        <v>1</v>
      </c>
      <c r="EL60" s="73">
        <f t="shared" si="93"/>
        <v>1</v>
      </c>
      <c r="EM60" s="73">
        <f t="shared" si="94"/>
        <v>1</v>
      </c>
      <c r="EN60" s="73" t="str">
        <f t="shared" si="55"/>
        <v>0</v>
      </c>
      <c r="EO60" s="73" t="str">
        <f t="shared" si="56"/>
        <v/>
      </c>
      <c r="EP60" s="73" t="str">
        <f t="shared" si="57"/>
        <v/>
      </c>
      <c r="EQ60" s="53" t="str">
        <f t="shared" si="58"/>
        <v/>
      </c>
      <c r="ER60" s="47" t="s">
        <v>0</v>
      </c>
      <c r="ES60" s="19" t="str">
        <f t="shared" si="95"/>
        <v>INSERT INTO rezultat(id,stazakategorija_id,imeprezime_id,vrijeme_sec,status_id,registracija,uparivanje_id,originalstatus_id,imeprezimealias_id,klubalias_id,kategorijaalias_id) VALUES (232,27,1130,4216,1,1,1,0,Null,Null,Null);</v>
      </c>
      <c r="ET60" s="47" t="s">
        <v>0</v>
      </c>
      <c r="EU60" s="19" t="str">
        <f t="shared" si="96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0" s="47" t="s">
        <v>0</v>
      </c>
      <c r="EW60" s="180" t="str">
        <f t="shared" si="60"/>
        <v xml:space="preserve">
INSERT INTO rezultat(id,stazakategorija_id,imeprezime_id,vrijeme_sec,status_id,registracija,uparivanje_id,originalstatus_id,imeprezimealias_id,klubalias_id,kategorijaalias_id) VALUES (232,27,1130,4216,1,1,1,0,Null,Null,Null);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0" s="47" t="s">
        <v>0</v>
      </c>
    </row>
    <row r="61" spans="1:154" x14ac:dyDescent="0.25">
      <c r="A61" t="s">
        <v>0</v>
      </c>
      <c r="B61" s="52" t="str">
        <f>IF(csv!F51="","",csv!T51)</f>
        <v>M21A</v>
      </c>
      <c r="C61" s="31" t="s">
        <v>0</v>
      </c>
      <c r="D61" s="31" t="str">
        <f>IF(csv!F51="","",csv!F51)</f>
        <v>Dražen</v>
      </c>
      <c r="E61" s="31" t="str">
        <f>IF(csv!E51="","",csv!E51)</f>
        <v>Gadžić</v>
      </c>
      <c r="F61" s="31" t="s">
        <v>0</v>
      </c>
      <c r="G61" s="73" t="str">
        <f>IF(csv!M51="","",csv!M51)</f>
        <v>76:29</v>
      </c>
      <c r="H61" s="73" t="str">
        <f>IF(csv!N51="","",csv!N51)</f>
        <v>0</v>
      </c>
      <c r="I61" s="31" t="s">
        <v>0</v>
      </c>
      <c r="J61" s="31" t="str">
        <f>IF(csv!P51="","",csv!P51)</f>
        <v>KAP</v>
      </c>
      <c r="K61" s="31" t="str">
        <f>IF(csv!Q51="","",csv!Q51)</f>
        <v>OK Kapela</v>
      </c>
      <c r="L61" s="31" t="s">
        <v>0</v>
      </c>
      <c r="M61" s="66" t="str">
        <f>IF(csv!R51="","",csv!R51)</f>
        <v>CRO</v>
      </c>
      <c r="N61" s="47" t="s">
        <v>0</v>
      </c>
      <c r="O61" s="246" t="str">
        <f t="shared" si="61"/>
        <v>ok</v>
      </c>
      <c r="P61" s="47"/>
      <c r="Q61" s="52" t="str">
        <f t="shared" si="62"/>
        <v>M21A</v>
      </c>
      <c r="R61" s="73">
        <f>IF(Q61="","",IF(COUNTIF(Q$12:Q60,Q61)=0,R60+1,R60))</f>
        <v>5</v>
      </c>
      <c r="S61" s="73">
        <f t="shared" si="63"/>
        <v>101</v>
      </c>
      <c r="T61" s="73">
        <f t="shared" si="1"/>
        <v>13</v>
      </c>
      <c r="U61" s="66" t="str">
        <f t="shared" si="2"/>
        <v>M21A</v>
      </c>
      <c r="V61" s="47" t="s">
        <v>0</v>
      </c>
      <c r="W61" s="222" t="str">
        <f t="shared" si="3"/>
        <v>M21A</v>
      </c>
      <c r="X61" s="223">
        <f t="shared" si="4"/>
        <v>27</v>
      </c>
      <c r="Y61" s="47" t="s">
        <v>0</v>
      </c>
      <c r="Z61" s="52" t="str">
        <f t="shared" si="64"/>
        <v>CRO</v>
      </c>
      <c r="AA61" s="73">
        <f t="shared" si="5"/>
        <v>1</v>
      </c>
      <c r="AB61" s="31" t="str">
        <f t="shared" si="65"/>
        <v/>
      </c>
      <c r="AC61" s="66" t="str">
        <f>IF(AB61="","",MAX(AC$12:AC60)+1)</f>
        <v/>
      </c>
      <c r="AD61" s="47" t="s">
        <v>0</v>
      </c>
      <c r="AE61" s="125"/>
      <c r="AF61" s="47" t="s">
        <v>0</v>
      </c>
      <c r="AG61" s="19" t="str">
        <f t="shared" si="66"/>
        <v/>
      </c>
      <c r="AH61" s="47" t="s">
        <v>0</v>
      </c>
      <c r="AI61" s="143" t="str">
        <f t="shared" si="67"/>
        <v>CRO</v>
      </c>
      <c r="AJ61" s="47"/>
      <c r="AK61" s="52" t="str">
        <f t="shared" si="68"/>
        <v>Dražen</v>
      </c>
      <c r="AL61" s="31" t="str">
        <f t="shared" si="69"/>
        <v>Gadžić</v>
      </c>
      <c r="AM61" s="73">
        <f t="shared" si="70"/>
        <v>1238</v>
      </c>
      <c r="AN61" s="73" t="str">
        <f t="shared" si="71"/>
        <v/>
      </c>
      <c r="AO61" s="31" t="str">
        <f t="shared" si="8"/>
        <v>Dražen</v>
      </c>
      <c r="AP61" s="66" t="str">
        <f t="shared" si="9"/>
        <v>Gadžić</v>
      </c>
      <c r="AQ61" s="47" t="s">
        <v>0</v>
      </c>
      <c r="AR61" s="82" t="str">
        <f t="shared" si="72"/>
        <v/>
      </c>
      <c r="AS61" s="47" t="s">
        <v>0</v>
      </c>
      <c r="AT61" s="19" t="str">
        <f t="shared" si="73"/>
        <v/>
      </c>
      <c r="AU61" s="47" t="s">
        <v>0</v>
      </c>
      <c r="AV61" s="103"/>
      <c r="AW61" s="105"/>
      <c r="AX61" s="47" t="s">
        <v>0</v>
      </c>
      <c r="AY61" s="259" t="str">
        <f t="shared" si="102"/>
        <v/>
      </c>
      <c r="AZ61" s="47" t="s">
        <v>0</v>
      </c>
      <c r="BA61" s="52" t="str">
        <f t="shared" si="11"/>
        <v/>
      </c>
      <c r="BB61" s="73" t="str">
        <f>IF(AV61&amp;AW61="","",MAX(BB$12:BB60)+1)</f>
        <v/>
      </c>
      <c r="BC61" s="272" t="str">
        <f t="shared" si="12"/>
        <v/>
      </c>
      <c r="BD61" s="53" t="str">
        <f>IF(AND(AM61="NEMA",AN61="NEMA",OR(AV61&amp;AW61="",BC61="NEMA")),MAX(BD$12:BD60)+1,"")</f>
        <v/>
      </c>
      <c r="BE61" s="47" t="s">
        <v>0</v>
      </c>
      <c r="BF61" s="52" t="str">
        <f t="shared" si="74"/>
        <v>Dražen</v>
      </c>
      <c r="BG61" s="66" t="str">
        <f t="shared" si="75"/>
        <v>Gadžić</v>
      </c>
      <c r="BH61" s="47" t="s">
        <v>0</v>
      </c>
      <c r="BI61" s="52" t="str">
        <f t="shared" si="15"/>
        <v>KAP</v>
      </c>
      <c r="BJ61" s="31" t="str">
        <f t="shared" si="16"/>
        <v>OK Kapela</v>
      </c>
      <c r="BK61" s="73" t="str">
        <f t="shared" si="17"/>
        <v/>
      </c>
      <c r="BL61" s="31" t="str" cm="1">
        <f t="array" ref="BL61">IF(BK61="",""&amp;BJ61,IF(BK61="NEMA",BJ61,INDEX(regKlub_naziv,MATCH(INDEX(regKlub_alias_klubId,BK61),regKlub_id,0))))</f>
        <v>OK Kapela</v>
      </c>
      <c r="BM61" s="31" t="str" cm="1">
        <f t="array" ref="BM61">IFERROR(""&amp;INDEX(regNatjecatelj_klub,DV61),"")</f>
        <v>OK Kapela</v>
      </c>
      <c r="BN61" s="73" t="str">
        <f t="shared" si="76"/>
        <v/>
      </c>
      <c r="BO61" s="66" t="str">
        <f t="shared" si="77"/>
        <v>OK Kapela</v>
      </c>
      <c r="BP61" s="47" t="s">
        <v>0</v>
      </c>
      <c r="BQ61" s="52" t="str">
        <f>IF(X61&lt;&gt;"NEMA","",IF(IFERROR(MATCH(W61,W$12:W60,0),0)&lt;&gt;0,"",W61))</f>
        <v/>
      </c>
      <c r="BR61" s="73" t="str">
        <f t="shared" si="78"/>
        <v/>
      </c>
      <c r="BS61" s="31" t="str">
        <f>IF(OR(BR61="",BR61&lt;&gt;"NEMA"),"",MAX(BS$12:BS60)+1)</f>
        <v/>
      </c>
      <c r="BT61" s="66" t="str">
        <f t="shared" si="79"/>
        <v/>
      </c>
      <c r="BU61" s="47" t="s">
        <v>0</v>
      </c>
      <c r="BV61" s="19" t="str">
        <f t="shared" si="80"/>
        <v/>
      </c>
      <c r="BW61" s="47" t="s">
        <v>0</v>
      </c>
      <c r="BX61" s="82" t="str">
        <f>IF(BK61&lt;&gt;"NEMA","",IF(IFERROR(MATCH(BJ61,BJ$12:BJ60,0),0)&lt;&gt;0,"",BJ61))</f>
        <v/>
      </c>
      <c r="BY61" s="47" t="s">
        <v>0</v>
      </c>
      <c r="BZ61" s="125"/>
      <c r="CA61" s="47" t="s">
        <v>0</v>
      </c>
      <c r="CB61" s="58" t="str">
        <f t="shared" si="81"/>
        <v/>
      </c>
      <c r="CC61" s="31" t="str">
        <f t="shared" si="82"/>
        <v/>
      </c>
      <c r="CD61" s="31" t="str">
        <f>IF(CC61="","",MAX(CD$12:CD60)+1)</f>
        <v/>
      </c>
      <c r="CE61" s="31" t="str">
        <f t="shared" si="22"/>
        <v/>
      </c>
      <c r="CF61" s="31" t="str">
        <f t="shared" si="83"/>
        <v/>
      </c>
      <c r="CG61" s="31" t="str">
        <f>IF(BZ61="","",MAX(CG$12:CG60)+1)</f>
        <v/>
      </c>
      <c r="CH61" s="31" t="str">
        <f t="shared" si="84"/>
        <v/>
      </c>
      <c r="CI61" s="66" t="str">
        <f t="shared" si="85"/>
        <v/>
      </c>
      <c r="CJ61" s="47" t="s">
        <v>0</v>
      </c>
      <c r="CK61" s="73" t="str">
        <f t="shared" si="25"/>
        <v/>
      </c>
      <c r="CL61" s="47"/>
      <c r="CM61" s="19" t="str">
        <f t="shared" si="86"/>
        <v/>
      </c>
      <c r="CN61" s="47" t="s">
        <v>0</v>
      </c>
      <c r="CO61" s="143" t="str">
        <f t="shared" si="87"/>
        <v>OK Kapela</v>
      </c>
      <c r="CP61" s="47" t="s">
        <v>0</v>
      </c>
      <c r="CQ61" s="58" t="str">
        <f t="shared" si="109"/>
        <v>76:29</v>
      </c>
      <c r="CR61" s="73" t="str">
        <f t="shared" si="110"/>
        <v>0</v>
      </c>
      <c r="CS61" s="229" t="str">
        <f t="shared" si="30"/>
        <v/>
      </c>
      <c r="CT61" s="230">
        <f t="shared" ref="CT61:CT124" si="112">IF(CQ61="","",VALUE(LEFT(CQ61,SEARCH(":",CQ61)-1))*60+VALUE(RIGHT(CQ61,2)))</f>
        <v>4589</v>
      </c>
      <c r="CU61" s="163">
        <f t="shared" si="32"/>
        <v>1</v>
      </c>
      <c r="CV61" s="47" t="s">
        <v>0</v>
      </c>
      <c r="CW61" s="222" t="str">
        <f t="shared" si="89"/>
        <v xml:space="preserve">
</v>
      </c>
      <c r="CX61" s="223">
        <f t="shared" si="90"/>
        <v>6</v>
      </c>
      <c r="CY61" s="47" t="s">
        <v>0</v>
      </c>
      <c r="CZ61" s="47"/>
      <c r="DA61" s="47"/>
      <c r="DB61" s="47"/>
      <c r="DC61" s="47" t="s">
        <v>0</v>
      </c>
      <c r="DD61" s="53" t="str">
        <f t="shared" si="103"/>
        <v/>
      </c>
      <c r="DE61" t="s">
        <v>0</v>
      </c>
      <c r="DF61" s="128" t="str">
        <f t="shared" si="104"/>
        <v>M</v>
      </c>
      <c r="DG61" t="s">
        <v>0</v>
      </c>
      <c r="DH61" s="52" t="str">
        <f t="shared" si="105"/>
        <v/>
      </c>
      <c r="DI61" s="66" t="str">
        <f t="shared" si="106"/>
        <v/>
      </c>
      <c r="DJ61" t="s">
        <v>0</v>
      </c>
      <c r="DK61" s="19" t="str">
        <f t="shared" si="107"/>
        <v/>
      </c>
      <c r="DL61" s="47" t="s">
        <v>0</v>
      </c>
      <c r="DM61" s="19" t="str">
        <f t="shared" si="108"/>
        <v/>
      </c>
      <c r="DN61" s="47" t="s">
        <v>0</v>
      </c>
      <c r="DO61" s="52" t="str">
        <f t="shared" si="39"/>
        <v>Dražen – Gadžić – OK Kapela – M21A</v>
      </c>
      <c r="DP61" s="53">
        <f t="shared" si="40"/>
        <v>240</v>
      </c>
      <c r="DQ61" s="47" t="s">
        <v>0</v>
      </c>
      <c r="DR61" s="52" t="str">
        <f t="shared" si="41"/>
        <v>Dražen – Gadžić – OK Kapela</v>
      </c>
      <c r="DS61" s="53">
        <f t="shared" si="42"/>
        <v>240</v>
      </c>
      <c r="DT61" s="47" t="s">
        <v>0</v>
      </c>
      <c r="DU61" s="52" t="str">
        <f t="shared" si="43"/>
        <v>Dražen – Gadžić</v>
      </c>
      <c r="DV61" s="53">
        <f t="shared" si="44"/>
        <v>240</v>
      </c>
      <c r="DW61" s="47" t="s">
        <v>0</v>
      </c>
      <c r="DX61" s="58">
        <f t="shared" si="91"/>
        <v>240</v>
      </c>
      <c r="DY61" s="53" cm="1">
        <f t="array" ref="DY61">IF(DX61&lt;&gt;"",INDEX(regNatjecatelj_id,DX61,0),IF(BD61&lt;&gt;"",BD61,""))</f>
        <v>1238</v>
      </c>
      <c r="DZ61" s="47" t="s">
        <v>0</v>
      </c>
      <c r="EA61" s="58" t="str">
        <f t="shared" si="45"/>
        <v>imepre</v>
      </c>
      <c r="EB61" s="73" t="str">
        <f t="shared" si="46"/>
        <v>klu</v>
      </c>
      <c r="EC61" s="73" t="str">
        <f t="shared" si="47"/>
        <v>kat</v>
      </c>
      <c r="ED61" s="73" t="str">
        <f t="shared" si="48"/>
        <v/>
      </c>
      <c r="EE61" s="66" t="str">
        <f t="shared" si="49"/>
        <v>imepre-klu-kat</v>
      </c>
      <c r="EF61" s="47" t="s">
        <v>0</v>
      </c>
      <c r="EG61" s="58">
        <f>IF(AL61="","",MAX(EG$12:EG60)+1)</f>
        <v>233</v>
      </c>
      <c r="EH61" s="73">
        <f t="shared" si="50"/>
        <v>27</v>
      </c>
      <c r="EI61" s="73">
        <f t="shared" si="92"/>
        <v>1238</v>
      </c>
      <c r="EJ61" s="73">
        <f t="shared" si="51"/>
        <v>4589</v>
      </c>
      <c r="EK61" s="73">
        <f t="shared" si="52"/>
        <v>1</v>
      </c>
      <c r="EL61" s="73">
        <f t="shared" si="93"/>
        <v>1</v>
      </c>
      <c r="EM61" s="73">
        <f t="shared" si="94"/>
        <v>1</v>
      </c>
      <c r="EN61" s="73" t="str">
        <f t="shared" si="55"/>
        <v>0</v>
      </c>
      <c r="EO61" s="73" t="str">
        <f t="shared" si="56"/>
        <v/>
      </c>
      <c r="EP61" s="73" t="str">
        <f t="shared" si="57"/>
        <v/>
      </c>
      <c r="EQ61" s="53" t="str">
        <f t="shared" si="58"/>
        <v/>
      </c>
      <c r="ER61" s="47" t="s">
        <v>0</v>
      </c>
      <c r="ES61" s="19" t="str">
        <f t="shared" si="95"/>
        <v>INSERT INTO rezultat(id,stazakategorija_id,imeprezime_id,vrijeme_sec,status_id,registracija,uparivanje_id,originalstatus_id,imeprezimealias_id,klubalias_id,kategorijaalias_id) VALUES (233,27,1238,4589,1,1,1,0,Null,Null,Null);</v>
      </c>
      <c r="ET61" s="47" t="s">
        <v>0</v>
      </c>
      <c r="EU61" s="19" t="str">
        <f t="shared" si="96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1" s="47" t="s">
        <v>0</v>
      </c>
      <c r="EW61" s="180" t="str">
        <f t="shared" si="60"/>
        <v xml:space="preserve">
INSERT INTO rezultat(id,stazakategorija_id,imeprezime_id,vrijeme_sec,status_id,registracija,uparivanje_id,originalstatus_id,imeprezimealias_id,klubalias_id,kategorijaalias_id) VALUES (233,27,1238,4589,1,1,1,0,Null,Null,Null);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1" s="47" t="s">
        <v>0</v>
      </c>
    </row>
    <row r="62" spans="1:154" x14ac:dyDescent="0.25">
      <c r="A62" t="s">
        <v>0</v>
      </c>
      <c r="B62" s="52" t="str">
        <f>IF(csv!F52="","",csv!T52)</f>
        <v>M21A</v>
      </c>
      <c r="C62" s="31" t="s">
        <v>0</v>
      </c>
      <c r="D62" s="31" t="str">
        <f>IF(csv!F52="","",csv!F52)</f>
        <v>Filip</v>
      </c>
      <c r="E62" s="31" t="str">
        <f>IF(csv!E52="","",csv!E52)</f>
        <v>Vujanić</v>
      </c>
      <c r="F62" s="31" t="s">
        <v>0</v>
      </c>
      <c r="G62" s="73" t="str">
        <f>IF(csv!M52="","",csv!M52)</f>
        <v>91:45</v>
      </c>
      <c r="H62" s="73" t="str">
        <f>IF(csv!N52="","",csv!N52)</f>
        <v>0</v>
      </c>
      <c r="I62" s="31" t="s">
        <v>0</v>
      </c>
      <c r="J62" s="31" t="str">
        <f>IF(csv!P52="","",csv!P52)</f>
        <v>JAP</v>
      </c>
      <c r="K62" s="31" t="str">
        <f>IF(csv!Q52="","",csv!Q52)</f>
        <v>OK Japetic</v>
      </c>
      <c r="L62" s="31" t="s">
        <v>0</v>
      </c>
      <c r="M62" s="66" t="str">
        <f>IF(csv!R52="","",csv!R52)</f>
        <v>CRO</v>
      </c>
      <c r="N62" s="47" t="s">
        <v>0</v>
      </c>
      <c r="O62" s="246" t="str">
        <f t="shared" si="61"/>
        <v>ok</v>
      </c>
      <c r="P62" s="47"/>
      <c r="Q62" s="52" t="str">
        <f t="shared" si="62"/>
        <v>M21A</v>
      </c>
      <c r="R62" s="73">
        <f>IF(Q62="","",IF(COUNTIF(Q$12:Q61,Q62)=0,R61+1,R61))</f>
        <v>5</v>
      </c>
      <c r="S62" s="73">
        <f t="shared" si="63"/>
        <v>101</v>
      </c>
      <c r="T62" s="73">
        <f t="shared" si="1"/>
        <v>13</v>
      </c>
      <c r="U62" s="66" t="str">
        <f t="shared" si="2"/>
        <v>M21A</v>
      </c>
      <c r="V62" s="47" t="s">
        <v>0</v>
      </c>
      <c r="W62" s="222" t="str">
        <f t="shared" si="3"/>
        <v>M21A</v>
      </c>
      <c r="X62" s="223">
        <f t="shared" si="4"/>
        <v>27</v>
      </c>
      <c r="Y62" s="47" t="s">
        <v>0</v>
      </c>
      <c r="Z62" s="52" t="str">
        <f t="shared" si="64"/>
        <v>CRO</v>
      </c>
      <c r="AA62" s="73">
        <f t="shared" si="5"/>
        <v>1</v>
      </c>
      <c r="AB62" s="31" t="str">
        <f t="shared" si="65"/>
        <v/>
      </c>
      <c r="AC62" s="66" t="str">
        <f>IF(AB62="","",MAX(AC$12:AC61)+1)</f>
        <v/>
      </c>
      <c r="AD62" s="47" t="s">
        <v>0</v>
      </c>
      <c r="AE62" s="125"/>
      <c r="AF62" s="47" t="s">
        <v>0</v>
      </c>
      <c r="AG62" s="19" t="str">
        <f t="shared" si="66"/>
        <v/>
      </c>
      <c r="AH62" s="47" t="s">
        <v>0</v>
      </c>
      <c r="AI62" s="143" t="str">
        <f t="shared" si="67"/>
        <v>CRO</v>
      </c>
      <c r="AJ62" s="47"/>
      <c r="AK62" s="52" t="str">
        <f t="shared" si="68"/>
        <v>Filip</v>
      </c>
      <c r="AL62" s="31" t="str">
        <f t="shared" si="69"/>
        <v>Vujanić</v>
      </c>
      <c r="AM62" s="73">
        <f t="shared" si="70"/>
        <v>1858</v>
      </c>
      <c r="AN62" s="73" t="str">
        <f t="shared" si="71"/>
        <v/>
      </c>
      <c r="AO62" s="31" t="str">
        <f t="shared" si="8"/>
        <v>Filip</v>
      </c>
      <c r="AP62" s="66" t="str">
        <f t="shared" si="9"/>
        <v>Vujanić</v>
      </c>
      <c r="AQ62" s="47" t="s">
        <v>0</v>
      </c>
      <c r="AR62" s="82" t="str">
        <f t="shared" si="72"/>
        <v/>
      </c>
      <c r="AS62" s="47" t="s">
        <v>0</v>
      </c>
      <c r="AT62" s="19" t="str">
        <f t="shared" si="73"/>
        <v/>
      </c>
      <c r="AU62" s="47" t="s">
        <v>0</v>
      </c>
      <c r="AV62" s="103"/>
      <c r="AW62" s="105"/>
      <c r="AX62" s="47" t="s">
        <v>0</v>
      </c>
      <c r="AY62" s="259" t="str">
        <f t="shared" si="102"/>
        <v/>
      </c>
      <c r="AZ62" s="47" t="s">
        <v>0</v>
      </c>
      <c r="BA62" s="52" t="str">
        <f t="shared" si="11"/>
        <v/>
      </c>
      <c r="BB62" s="73" t="str">
        <f>IF(AV62&amp;AW62="","",MAX(BB$12:BB61)+1)</f>
        <v/>
      </c>
      <c r="BC62" s="272" t="str">
        <f t="shared" si="12"/>
        <v/>
      </c>
      <c r="BD62" s="53" t="str">
        <f>IF(AND(AM62="NEMA",AN62="NEMA",OR(AV62&amp;AW62="",BC62="NEMA")),MAX(BD$12:BD61)+1,"")</f>
        <v/>
      </c>
      <c r="BE62" s="47" t="s">
        <v>0</v>
      </c>
      <c r="BF62" s="52" t="str">
        <f t="shared" si="74"/>
        <v>Filip</v>
      </c>
      <c r="BG62" s="66" t="str">
        <f t="shared" si="75"/>
        <v>Vujanić</v>
      </c>
      <c r="BH62" s="47" t="s">
        <v>0</v>
      </c>
      <c r="BI62" s="52" t="str">
        <f t="shared" si="15"/>
        <v>JAP</v>
      </c>
      <c r="BJ62" s="31" t="str">
        <f t="shared" si="16"/>
        <v>OK Japetic</v>
      </c>
      <c r="BK62" s="73">
        <f t="shared" si="17"/>
        <v>1</v>
      </c>
      <c r="BL62" s="31" t="str" cm="1">
        <f t="array" ref="BL62">IF(BK62="",""&amp;BJ62,IF(BK62="NEMA",BJ62,INDEX(regKlub_naziv,MATCH(INDEX(regKlub_alias_klubId,BK62),regKlub_id,0))))</f>
        <v>OK Japetić</v>
      </c>
      <c r="BM62" s="31" t="str" cm="1">
        <f t="array" ref="BM62">IFERROR(""&amp;INDEX(regNatjecatelj_klub,DV62),"")</f>
        <v>OK Japetić</v>
      </c>
      <c r="BN62" s="73" t="str">
        <f t="shared" si="76"/>
        <v/>
      </c>
      <c r="BO62" s="66" t="str">
        <f t="shared" si="77"/>
        <v>OK Japetić</v>
      </c>
      <c r="BP62" s="47" t="s">
        <v>0</v>
      </c>
      <c r="BQ62" s="52" t="str">
        <f>IF(X62&lt;&gt;"NEMA","",IF(IFERROR(MATCH(W62,W$12:W61,0),0)&lt;&gt;0,"",W62))</f>
        <v/>
      </c>
      <c r="BR62" s="73" t="str">
        <f t="shared" si="78"/>
        <v/>
      </c>
      <c r="BS62" s="31" t="str">
        <f>IF(OR(BR62="",BR62&lt;&gt;"NEMA"),"",MAX(BS$12:BS61)+1)</f>
        <v/>
      </c>
      <c r="BT62" s="66" t="str">
        <f t="shared" si="79"/>
        <v/>
      </c>
      <c r="BU62" s="47" t="s">
        <v>0</v>
      </c>
      <c r="BV62" s="19" t="str">
        <f t="shared" si="80"/>
        <v/>
      </c>
      <c r="BW62" s="47" t="s">
        <v>0</v>
      </c>
      <c r="BX62" s="82" t="str">
        <f>IF(BK62&lt;&gt;"NEMA","",IF(IFERROR(MATCH(BJ62,BJ$12:BJ61,0),0)&lt;&gt;0,"",BJ62))</f>
        <v/>
      </c>
      <c r="BY62" s="47" t="s">
        <v>0</v>
      </c>
      <c r="BZ62" s="125"/>
      <c r="CA62" s="47" t="s">
        <v>0</v>
      </c>
      <c r="CB62" s="58" t="str">
        <f t="shared" si="81"/>
        <v/>
      </c>
      <c r="CC62" s="31" t="str">
        <f t="shared" si="82"/>
        <v/>
      </c>
      <c r="CD62" s="31" t="str">
        <f>IF(CC62="","",MAX(CD$12:CD61)+1)</f>
        <v/>
      </c>
      <c r="CE62" s="31" t="str">
        <f t="shared" si="22"/>
        <v/>
      </c>
      <c r="CF62" s="31" t="str">
        <f t="shared" si="83"/>
        <v/>
      </c>
      <c r="CG62" s="31" t="str">
        <f>IF(BZ62="","",MAX(CG$12:CG61)+1)</f>
        <v/>
      </c>
      <c r="CH62" s="31" t="str">
        <f t="shared" si="84"/>
        <v/>
      </c>
      <c r="CI62" s="66" t="str">
        <f t="shared" si="85"/>
        <v/>
      </c>
      <c r="CJ62" s="47" t="s">
        <v>0</v>
      </c>
      <c r="CK62" s="73" t="str">
        <f t="shared" si="25"/>
        <v/>
      </c>
      <c r="CL62" s="47"/>
      <c r="CM62" s="19" t="str">
        <f t="shared" si="86"/>
        <v/>
      </c>
      <c r="CN62" s="47" t="s">
        <v>0</v>
      </c>
      <c r="CO62" s="143" t="str">
        <f t="shared" si="87"/>
        <v>OK Japetić</v>
      </c>
      <c r="CP62" s="47" t="s">
        <v>0</v>
      </c>
      <c r="CQ62" s="58" t="str">
        <f t="shared" si="109"/>
        <v>91:45</v>
      </c>
      <c r="CR62" s="73" t="str">
        <f t="shared" si="110"/>
        <v>0</v>
      </c>
      <c r="CS62" s="229" t="str">
        <f t="shared" si="30"/>
        <v/>
      </c>
      <c r="CT62" s="230">
        <f t="shared" si="112"/>
        <v>5505</v>
      </c>
      <c r="CU62" s="163">
        <f t="shared" si="32"/>
        <v>1</v>
      </c>
      <c r="CV62" s="47" t="s">
        <v>0</v>
      </c>
      <c r="CW62" s="222" t="str">
        <f t="shared" si="89"/>
        <v xml:space="preserve">
</v>
      </c>
      <c r="CX62" s="223">
        <f t="shared" si="90"/>
        <v>6</v>
      </c>
      <c r="CY62" s="47" t="s">
        <v>0</v>
      </c>
      <c r="CZ62" s="47"/>
      <c r="DA62" s="47"/>
      <c r="DB62" s="47"/>
      <c r="DC62" s="47" t="s">
        <v>0</v>
      </c>
      <c r="DD62" s="53" t="str">
        <f t="shared" si="103"/>
        <v/>
      </c>
      <c r="DE62" t="s">
        <v>0</v>
      </c>
      <c r="DF62" s="128" t="str">
        <f t="shared" si="104"/>
        <v>M</v>
      </c>
      <c r="DG62" t="s">
        <v>0</v>
      </c>
      <c r="DH62" s="52" t="str">
        <f t="shared" si="105"/>
        <v/>
      </c>
      <c r="DI62" s="66" t="str">
        <f t="shared" si="106"/>
        <v/>
      </c>
      <c r="DJ62" t="s">
        <v>0</v>
      </c>
      <c r="DK62" s="19" t="str">
        <f t="shared" si="107"/>
        <v/>
      </c>
      <c r="DL62" s="47" t="s">
        <v>0</v>
      </c>
      <c r="DM62" s="19" t="str">
        <f t="shared" si="108"/>
        <v/>
      </c>
      <c r="DN62" s="47" t="s">
        <v>0</v>
      </c>
      <c r="DO62" s="52" t="str">
        <f t="shared" si="39"/>
        <v>Filip – Vujanić – OK Japetić – M21A</v>
      </c>
      <c r="DP62" s="53">
        <f t="shared" si="40"/>
        <v>146</v>
      </c>
      <c r="DQ62" s="47" t="s">
        <v>0</v>
      </c>
      <c r="DR62" s="52" t="str">
        <f t="shared" si="41"/>
        <v>Filip – Vujanić – OK Japetić</v>
      </c>
      <c r="DS62" s="53">
        <f t="shared" si="42"/>
        <v>146</v>
      </c>
      <c r="DT62" s="47" t="s">
        <v>0</v>
      </c>
      <c r="DU62" s="52" t="str">
        <f t="shared" si="43"/>
        <v>Filip – Vujanić</v>
      </c>
      <c r="DV62" s="53">
        <f t="shared" si="44"/>
        <v>146</v>
      </c>
      <c r="DW62" s="47" t="s">
        <v>0</v>
      </c>
      <c r="DX62" s="58">
        <f t="shared" si="91"/>
        <v>146</v>
      </c>
      <c r="DY62" s="53" cm="1">
        <f t="array" ref="DY62">IF(DX62&lt;&gt;"",INDEX(regNatjecatelj_id,DX62,0),IF(BD62&lt;&gt;"",BD62,""))</f>
        <v>1858</v>
      </c>
      <c r="DZ62" s="47" t="s">
        <v>0</v>
      </c>
      <c r="EA62" s="58" t="str">
        <f t="shared" si="45"/>
        <v>imepre</v>
      </c>
      <c r="EB62" s="73" t="str">
        <f t="shared" si="46"/>
        <v>klu(ali)</v>
      </c>
      <c r="EC62" s="73" t="str">
        <f t="shared" si="47"/>
        <v>kat</v>
      </c>
      <c r="ED62" s="73" t="str">
        <f t="shared" si="48"/>
        <v/>
      </c>
      <c r="EE62" s="66" t="str">
        <f t="shared" si="49"/>
        <v>imepre-klu(ali)-kat</v>
      </c>
      <c r="EF62" s="47" t="s">
        <v>0</v>
      </c>
      <c r="EG62" s="58">
        <f>IF(AL62="","",MAX(EG$12:EG61)+1)</f>
        <v>234</v>
      </c>
      <c r="EH62" s="73">
        <f t="shared" si="50"/>
        <v>27</v>
      </c>
      <c r="EI62" s="73">
        <f t="shared" si="92"/>
        <v>1858</v>
      </c>
      <c r="EJ62" s="73">
        <f t="shared" si="51"/>
        <v>5505</v>
      </c>
      <c r="EK62" s="73">
        <f t="shared" si="52"/>
        <v>1</v>
      </c>
      <c r="EL62" s="73">
        <f t="shared" si="93"/>
        <v>1</v>
      </c>
      <c r="EM62" s="73">
        <f t="shared" si="94"/>
        <v>3</v>
      </c>
      <c r="EN62" s="73" t="str">
        <f t="shared" si="55"/>
        <v>0</v>
      </c>
      <c r="EO62" s="73" t="str">
        <f t="shared" si="56"/>
        <v/>
      </c>
      <c r="EP62" s="73">
        <f t="shared" si="57"/>
        <v>1</v>
      </c>
      <c r="EQ62" s="53" t="str">
        <f t="shared" si="58"/>
        <v/>
      </c>
      <c r="ER62" s="47" t="s">
        <v>0</v>
      </c>
      <c r="ES62" s="19" t="str">
        <f t="shared" si="95"/>
        <v>INSERT INTO rezultat(id,stazakategorija_id,imeprezime_id,vrijeme_sec,status_id,registracija,uparivanje_id,originalstatus_id,imeprezimealias_id,klubalias_id,kategorijaalias_id) VALUES (234,27,1858,5505,1,1,3,0,Null,1,Null);</v>
      </c>
      <c r="ET62" s="47" t="s">
        <v>0</v>
      </c>
      <c r="EU62" s="19" t="str">
        <f t="shared" si="96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2" s="47" t="s">
        <v>0</v>
      </c>
      <c r="EW62" s="180" t="str">
        <f t="shared" si="60"/>
        <v xml:space="preserve">
INSERT INTO rezultat(id,stazakategorija_id,imeprezime_id,vrijeme_sec,status_id,registracija,uparivanje_id,originalstatus_id,imeprezimealias_id,klubalias_id,kategorijaalias_id) VALUES (234,27,1858,5505,1,1,3,0,Null,1,Null);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2" s="47" t="s">
        <v>0</v>
      </c>
    </row>
    <row r="63" spans="1:154" x14ac:dyDescent="0.25">
      <c r="A63" t="s">
        <v>0</v>
      </c>
      <c r="B63" s="52" t="str">
        <f>IF(csv!F53="","",csv!T53)</f>
        <v>M21A</v>
      </c>
      <c r="C63" s="31" t="s">
        <v>0</v>
      </c>
      <c r="D63" s="31" t="str">
        <f>IF(csv!F53="","",csv!F53)</f>
        <v>Josip</v>
      </c>
      <c r="E63" s="31" t="str">
        <f>IF(csv!E53="","",csv!E53)</f>
        <v>Vujanić</v>
      </c>
      <c r="F63" s="31" t="s">
        <v>0</v>
      </c>
      <c r="G63" s="73" t="str">
        <f>IF(csv!M53="","",csv!M53)</f>
        <v>92:46</v>
      </c>
      <c r="H63" s="73" t="str">
        <f>IF(csv!N53="","",csv!N53)</f>
        <v>0</v>
      </c>
      <c r="I63" s="31" t="s">
        <v>0</v>
      </c>
      <c r="J63" s="31" t="str">
        <f>IF(csv!P53="","",csv!P53)</f>
        <v>JAP</v>
      </c>
      <c r="K63" s="31" t="str">
        <f>IF(csv!Q53="","",csv!Q53)</f>
        <v>OK Japetic</v>
      </c>
      <c r="L63" s="31" t="s">
        <v>0</v>
      </c>
      <c r="M63" s="66" t="str">
        <f>IF(csv!R53="","",csv!R53)</f>
        <v>CRO</v>
      </c>
      <c r="N63" s="47" t="s">
        <v>0</v>
      </c>
      <c r="O63" s="246" t="str">
        <f t="shared" si="61"/>
        <v>ok</v>
      </c>
      <c r="P63" s="47"/>
      <c r="Q63" s="52" t="str">
        <f t="shared" si="62"/>
        <v>M21A</v>
      </c>
      <c r="R63" s="73">
        <f>IF(Q63="","",IF(COUNTIF(Q$12:Q62,Q63)=0,R62+1,R62))</f>
        <v>5</v>
      </c>
      <c r="S63" s="73">
        <f t="shared" si="63"/>
        <v>101</v>
      </c>
      <c r="T63" s="73">
        <f t="shared" si="1"/>
        <v>13</v>
      </c>
      <c r="U63" s="66" t="str">
        <f t="shared" si="2"/>
        <v>M21A</v>
      </c>
      <c r="V63" s="47" t="s">
        <v>0</v>
      </c>
      <c r="W63" s="222" t="str">
        <f t="shared" si="3"/>
        <v>M21A</v>
      </c>
      <c r="X63" s="223">
        <f t="shared" si="4"/>
        <v>27</v>
      </c>
      <c r="Y63" s="47" t="s">
        <v>0</v>
      </c>
      <c r="Z63" s="52" t="str">
        <f t="shared" si="64"/>
        <v>CRO</v>
      </c>
      <c r="AA63" s="73">
        <f t="shared" si="5"/>
        <v>1</v>
      </c>
      <c r="AB63" s="31" t="str">
        <f t="shared" si="65"/>
        <v/>
      </c>
      <c r="AC63" s="66" t="str">
        <f>IF(AB63="","",MAX(AC$12:AC62)+1)</f>
        <v/>
      </c>
      <c r="AD63" s="47" t="s">
        <v>0</v>
      </c>
      <c r="AE63" s="125"/>
      <c r="AF63" s="47" t="s">
        <v>0</v>
      </c>
      <c r="AG63" s="19" t="str">
        <f t="shared" si="66"/>
        <v/>
      </c>
      <c r="AH63" s="47" t="s">
        <v>0</v>
      </c>
      <c r="AI63" s="143" t="str">
        <f t="shared" si="67"/>
        <v>CRO</v>
      </c>
      <c r="AJ63" s="47"/>
      <c r="AK63" s="52" t="str">
        <f t="shared" si="68"/>
        <v>Josip</v>
      </c>
      <c r="AL63" s="31" t="str">
        <f t="shared" si="69"/>
        <v>Vujanić</v>
      </c>
      <c r="AM63" s="73">
        <f t="shared" si="70"/>
        <v>1859</v>
      </c>
      <c r="AN63" s="73" t="str">
        <f t="shared" si="71"/>
        <v/>
      </c>
      <c r="AO63" s="31" t="str">
        <f t="shared" si="8"/>
        <v>Josip</v>
      </c>
      <c r="AP63" s="66" t="str">
        <f t="shared" si="9"/>
        <v>Vujanić</v>
      </c>
      <c r="AQ63" s="47" t="s">
        <v>0</v>
      </c>
      <c r="AR63" s="82" t="str">
        <f t="shared" si="72"/>
        <v/>
      </c>
      <c r="AS63" s="47" t="s">
        <v>0</v>
      </c>
      <c r="AT63" s="19" t="str">
        <f t="shared" si="73"/>
        <v/>
      </c>
      <c r="AU63" s="47" t="s">
        <v>0</v>
      </c>
      <c r="AV63" s="103"/>
      <c r="AW63" s="105"/>
      <c r="AX63" s="47" t="s">
        <v>0</v>
      </c>
      <c r="AY63" s="259" t="str">
        <f t="shared" si="102"/>
        <v/>
      </c>
      <c r="AZ63" s="47" t="s">
        <v>0</v>
      </c>
      <c r="BA63" s="52" t="str">
        <f t="shared" si="11"/>
        <v/>
      </c>
      <c r="BB63" s="73" t="str">
        <f>IF(AV63&amp;AW63="","",MAX(BB$12:BB62)+1)</f>
        <v/>
      </c>
      <c r="BC63" s="272" t="str">
        <f t="shared" si="12"/>
        <v/>
      </c>
      <c r="BD63" s="53" t="str">
        <f>IF(AND(AM63="NEMA",AN63="NEMA",OR(AV63&amp;AW63="",BC63="NEMA")),MAX(BD$12:BD62)+1,"")</f>
        <v/>
      </c>
      <c r="BE63" s="47" t="s">
        <v>0</v>
      </c>
      <c r="BF63" s="52" t="str">
        <f t="shared" si="74"/>
        <v>Josip</v>
      </c>
      <c r="BG63" s="66" t="str">
        <f t="shared" si="75"/>
        <v>Vujanić</v>
      </c>
      <c r="BH63" s="47" t="s">
        <v>0</v>
      </c>
      <c r="BI63" s="52" t="str">
        <f t="shared" si="15"/>
        <v>JAP</v>
      </c>
      <c r="BJ63" s="31" t="str">
        <f t="shared" si="16"/>
        <v>OK Japetic</v>
      </c>
      <c r="BK63" s="73">
        <f t="shared" si="17"/>
        <v>1</v>
      </c>
      <c r="BL63" s="31" t="str" cm="1">
        <f t="array" ref="BL63">IF(BK63="",""&amp;BJ63,IF(BK63="NEMA",BJ63,INDEX(regKlub_naziv,MATCH(INDEX(regKlub_alias_klubId,BK63),regKlub_id,0))))</f>
        <v>OK Japetić</v>
      </c>
      <c r="BM63" s="31" t="str" cm="1">
        <f t="array" ref="BM63">IFERROR(""&amp;INDEX(regNatjecatelj_klub,DV63),"")</f>
        <v>OK Japetić</v>
      </c>
      <c r="BN63" s="73" t="str">
        <f t="shared" si="76"/>
        <v/>
      </c>
      <c r="BO63" s="66" t="str">
        <f t="shared" si="77"/>
        <v>OK Japetić</v>
      </c>
      <c r="BP63" s="47" t="s">
        <v>0</v>
      </c>
      <c r="BQ63" s="52" t="str">
        <f>IF(X63&lt;&gt;"NEMA","",IF(IFERROR(MATCH(W63,W$12:W62,0),0)&lt;&gt;0,"",W63))</f>
        <v/>
      </c>
      <c r="BR63" s="73" t="str">
        <f t="shared" si="78"/>
        <v/>
      </c>
      <c r="BS63" s="31" t="str">
        <f>IF(OR(BR63="",BR63&lt;&gt;"NEMA"),"",MAX(BS$12:BS62)+1)</f>
        <v/>
      </c>
      <c r="BT63" s="66" t="str">
        <f t="shared" si="79"/>
        <v/>
      </c>
      <c r="BU63" s="47" t="s">
        <v>0</v>
      </c>
      <c r="BV63" s="19" t="str">
        <f t="shared" si="80"/>
        <v/>
      </c>
      <c r="BW63" s="47" t="s">
        <v>0</v>
      </c>
      <c r="BX63" s="82" t="str">
        <f>IF(BK63&lt;&gt;"NEMA","",IF(IFERROR(MATCH(BJ63,BJ$12:BJ62,0),0)&lt;&gt;0,"",BJ63))</f>
        <v/>
      </c>
      <c r="BY63" s="47" t="s">
        <v>0</v>
      </c>
      <c r="BZ63" s="125"/>
      <c r="CA63" s="47" t="s">
        <v>0</v>
      </c>
      <c r="CB63" s="58" t="str">
        <f t="shared" si="81"/>
        <v/>
      </c>
      <c r="CC63" s="31" t="str">
        <f t="shared" si="82"/>
        <v/>
      </c>
      <c r="CD63" s="31" t="str">
        <f>IF(CC63="","",MAX(CD$12:CD62)+1)</f>
        <v/>
      </c>
      <c r="CE63" s="31" t="str">
        <f t="shared" si="22"/>
        <v/>
      </c>
      <c r="CF63" s="31" t="str">
        <f t="shared" si="83"/>
        <v/>
      </c>
      <c r="CG63" s="31" t="str">
        <f>IF(BZ63="","",MAX(CG$12:CG62)+1)</f>
        <v/>
      </c>
      <c r="CH63" s="31" t="str">
        <f t="shared" si="84"/>
        <v/>
      </c>
      <c r="CI63" s="66" t="str">
        <f t="shared" si="85"/>
        <v/>
      </c>
      <c r="CJ63" s="47" t="s">
        <v>0</v>
      </c>
      <c r="CK63" s="73" t="str">
        <f t="shared" si="25"/>
        <v/>
      </c>
      <c r="CL63" s="47"/>
      <c r="CM63" s="19" t="str">
        <f t="shared" si="86"/>
        <v/>
      </c>
      <c r="CN63" s="47" t="s">
        <v>0</v>
      </c>
      <c r="CO63" s="143" t="str">
        <f t="shared" si="87"/>
        <v>OK Japetić</v>
      </c>
      <c r="CP63" s="47" t="s">
        <v>0</v>
      </c>
      <c r="CQ63" s="58" t="str">
        <f t="shared" si="109"/>
        <v>92:46</v>
      </c>
      <c r="CR63" s="73" t="str">
        <f t="shared" si="110"/>
        <v>0</v>
      </c>
      <c r="CS63" s="229" t="str">
        <f t="shared" si="30"/>
        <v/>
      </c>
      <c r="CT63" s="230">
        <f t="shared" si="112"/>
        <v>5566</v>
      </c>
      <c r="CU63" s="163">
        <f t="shared" si="32"/>
        <v>1</v>
      </c>
      <c r="CV63" s="47" t="s">
        <v>0</v>
      </c>
      <c r="CW63" s="222" t="str">
        <f t="shared" si="89"/>
        <v xml:space="preserve">
</v>
      </c>
      <c r="CX63" s="223">
        <f t="shared" si="90"/>
        <v>6</v>
      </c>
      <c r="CY63" s="47" t="s">
        <v>0</v>
      </c>
      <c r="CZ63" s="47"/>
      <c r="DA63" s="47"/>
      <c r="DB63" s="47"/>
      <c r="DC63" s="47" t="s">
        <v>0</v>
      </c>
      <c r="DD63" s="53" t="str">
        <f t="shared" si="103"/>
        <v/>
      </c>
      <c r="DE63" t="s">
        <v>0</v>
      </c>
      <c r="DF63" s="128" t="str">
        <f t="shared" si="104"/>
        <v>M</v>
      </c>
      <c r="DG63" t="s">
        <v>0</v>
      </c>
      <c r="DH63" s="52" t="str">
        <f t="shared" si="105"/>
        <v/>
      </c>
      <c r="DI63" s="66" t="str">
        <f t="shared" si="106"/>
        <v/>
      </c>
      <c r="DJ63" t="s">
        <v>0</v>
      </c>
      <c r="DK63" s="19" t="str">
        <f t="shared" si="107"/>
        <v/>
      </c>
      <c r="DL63" s="47" t="s">
        <v>0</v>
      </c>
      <c r="DM63" s="19" t="str">
        <f t="shared" si="108"/>
        <v/>
      </c>
      <c r="DN63" s="47" t="s">
        <v>0</v>
      </c>
      <c r="DO63" s="52" t="str">
        <f t="shared" si="39"/>
        <v>Josip – Vujanić – OK Japetić – M21A</v>
      </c>
      <c r="DP63" s="53">
        <f t="shared" si="40"/>
        <v>147</v>
      </c>
      <c r="DQ63" s="47" t="s">
        <v>0</v>
      </c>
      <c r="DR63" s="52" t="str">
        <f t="shared" si="41"/>
        <v>Josip – Vujanić – OK Japetić</v>
      </c>
      <c r="DS63" s="53">
        <f t="shared" si="42"/>
        <v>147</v>
      </c>
      <c r="DT63" s="47" t="s">
        <v>0</v>
      </c>
      <c r="DU63" s="52" t="str">
        <f t="shared" si="43"/>
        <v>Josip – Vujanić</v>
      </c>
      <c r="DV63" s="53">
        <f t="shared" si="44"/>
        <v>147</v>
      </c>
      <c r="DW63" s="47" t="s">
        <v>0</v>
      </c>
      <c r="DX63" s="58">
        <f t="shared" si="91"/>
        <v>147</v>
      </c>
      <c r="DY63" s="53" cm="1">
        <f t="array" ref="DY63">IF(DX63&lt;&gt;"",INDEX(regNatjecatelj_id,DX63,0),IF(BD63&lt;&gt;"",BD63,""))</f>
        <v>1859</v>
      </c>
      <c r="DZ63" s="47" t="s">
        <v>0</v>
      </c>
      <c r="EA63" s="58" t="str">
        <f t="shared" si="45"/>
        <v>imepre</v>
      </c>
      <c r="EB63" s="73" t="str">
        <f t="shared" si="46"/>
        <v>klu(ali)</v>
      </c>
      <c r="EC63" s="73" t="str">
        <f t="shared" si="47"/>
        <v>kat</v>
      </c>
      <c r="ED63" s="73" t="str">
        <f t="shared" si="48"/>
        <v/>
      </c>
      <c r="EE63" s="66" t="str">
        <f t="shared" si="49"/>
        <v>imepre-klu(ali)-kat</v>
      </c>
      <c r="EF63" s="47" t="s">
        <v>0</v>
      </c>
      <c r="EG63" s="58">
        <f>IF(AL63="","",MAX(EG$12:EG62)+1)</f>
        <v>235</v>
      </c>
      <c r="EH63" s="73">
        <f t="shared" si="50"/>
        <v>27</v>
      </c>
      <c r="EI63" s="73">
        <f t="shared" si="92"/>
        <v>1859</v>
      </c>
      <c r="EJ63" s="73">
        <f t="shared" si="51"/>
        <v>5566</v>
      </c>
      <c r="EK63" s="73">
        <f t="shared" si="52"/>
        <v>1</v>
      </c>
      <c r="EL63" s="73">
        <f t="shared" si="93"/>
        <v>1</v>
      </c>
      <c r="EM63" s="73">
        <f t="shared" si="94"/>
        <v>3</v>
      </c>
      <c r="EN63" s="73" t="str">
        <f t="shared" si="55"/>
        <v>0</v>
      </c>
      <c r="EO63" s="73" t="str">
        <f t="shared" si="56"/>
        <v/>
      </c>
      <c r="EP63" s="73">
        <f t="shared" si="57"/>
        <v>1</v>
      </c>
      <c r="EQ63" s="53" t="str">
        <f t="shared" si="58"/>
        <v/>
      </c>
      <c r="ER63" s="47" t="s">
        <v>0</v>
      </c>
      <c r="ES63" s="19" t="str">
        <f t="shared" si="95"/>
        <v>INSERT INTO rezultat(id,stazakategorija_id,imeprezime_id,vrijeme_sec,status_id,registracija,uparivanje_id,originalstatus_id,imeprezimealias_id,klubalias_id,kategorijaalias_id) VALUES (235,27,1859,5566,1,1,3,0,Null,1,Null);</v>
      </c>
      <c r="ET63" s="47" t="s">
        <v>0</v>
      </c>
      <c r="EU63" s="19" t="str">
        <f t="shared" si="96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3" s="47" t="s">
        <v>0</v>
      </c>
      <c r="EW63" s="180" t="str">
        <f t="shared" si="60"/>
        <v xml:space="preserve">
INSERT INTO rezultat(id,stazakategorija_id,imeprezime_id,vrijeme_sec,status_id,registracija,uparivanje_id,originalstatus_id,imeprezimealias_id,klubalias_id,kategorijaalias_id) VALUES (235,27,1859,5566,1,1,3,0,Null,1,Null);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3" s="47" t="s">
        <v>0</v>
      </c>
    </row>
    <row r="64" spans="1:154" x14ac:dyDescent="0.25">
      <c r="A64" t="s">
        <v>0</v>
      </c>
      <c r="B64" s="52" t="str">
        <f>IF(csv!F54="","",csv!T54)</f>
        <v>M21A</v>
      </c>
      <c r="C64" s="31" t="s">
        <v>0</v>
      </c>
      <c r="D64" s="31" t="str">
        <f>IF(csv!F54="","",csv!F54)</f>
        <v>Tomislav</v>
      </c>
      <c r="E64" s="31" t="str">
        <f>IF(csv!E54="","",csv!E54)</f>
        <v>Varnica</v>
      </c>
      <c r="F64" s="31" t="s">
        <v>0</v>
      </c>
      <c r="G64" s="73" t="str">
        <f>IF(csv!M54="","",csv!M54)</f>
        <v>99:28</v>
      </c>
      <c r="H64" s="73" t="str">
        <f>IF(csv!N54="","",csv!N54)</f>
        <v>0</v>
      </c>
      <c r="I64" s="31" t="s">
        <v>0</v>
      </c>
      <c r="J64" s="31" t="str">
        <f>IF(csv!P54="","",csv!P54)</f>
        <v>Vihor</v>
      </c>
      <c r="K64" s="31" t="str">
        <f>IF(csv!Q54="","",csv!Q54)</f>
        <v>OK Vihor</v>
      </c>
      <c r="L64" s="31" t="s">
        <v>0</v>
      </c>
      <c r="M64" s="66" t="str">
        <f>IF(csv!R54="","",csv!R54)</f>
        <v>CRO</v>
      </c>
      <c r="N64" s="47" t="s">
        <v>0</v>
      </c>
      <c r="O64" s="246" t="str">
        <f t="shared" si="61"/>
        <v>ok</v>
      </c>
      <c r="P64" s="47"/>
      <c r="Q64" s="52" t="str">
        <f t="shared" si="62"/>
        <v>M21A</v>
      </c>
      <c r="R64" s="73">
        <f>IF(Q64="","",IF(COUNTIF(Q$12:Q63,Q64)=0,R63+1,R63))</f>
        <v>5</v>
      </c>
      <c r="S64" s="73">
        <f t="shared" si="63"/>
        <v>101</v>
      </c>
      <c r="T64" s="73">
        <f t="shared" si="1"/>
        <v>13</v>
      </c>
      <c r="U64" s="66" t="str">
        <f t="shared" si="2"/>
        <v>M21A</v>
      </c>
      <c r="V64" s="47" t="s">
        <v>0</v>
      </c>
      <c r="W64" s="222" t="str">
        <f t="shared" si="3"/>
        <v>M21A</v>
      </c>
      <c r="X64" s="223">
        <f t="shared" si="4"/>
        <v>27</v>
      </c>
      <c r="Y64" s="47" t="s">
        <v>0</v>
      </c>
      <c r="Z64" s="52" t="str">
        <f t="shared" si="64"/>
        <v>CRO</v>
      </c>
      <c r="AA64" s="73">
        <f t="shared" si="5"/>
        <v>1</v>
      </c>
      <c r="AB64" s="31" t="str">
        <f t="shared" si="65"/>
        <v/>
      </c>
      <c r="AC64" s="66" t="str">
        <f>IF(AB64="","",MAX(AC$12:AC63)+1)</f>
        <v/>
      </c>
      <c r="AD64" s="47" t="s">
        <v>0</v>
      </c>
      <c r="AE64" s="125"/>
      <c r="AF64" s="47" t="s">
        <v>0</v>
      </c>
      <c r="AG64" s="19" t="str">
        <f t="shared" si="66"/>
        <v/>
      </c>
      <c r="AH64" s="47" t="s">
        <v>0</v>
      </c>
      <c r="AI64" s="143" t="str">
        <f t="shared" si="67"/>
        <v>CRO</v>
      </c>
      <c r="AJ64" s="47"/>
      <c r="AK64" s="52" t="str">
        <f t="shared" si="68"/>
        <v>Tomislav</v>
      </c>
      <c r="AL64" s="31" t="str">
        <f t="shared" si="69"/>
        <v>Varnica</v>
      </c>
      <c r="AM64" s="73">
        <f t="shared" si="70"/>
        <v>1289</v>
      </c>
      <c r="AN64" s="73" t="str">
        <f t="shared" si="71"/>
        <v/>
      </c>
      <c r="AO64" s="31" t="str">
        <f t="shared" si="8"/>
        <v>Tomislav</v>
      </c>
      <c r="AP64" s="66" t="str">
        <f t="shared" si="9"/>
        <v>Varnica</v>
      </c>
      <c r="AQ64" s="47" t="s">
        <v>0</v>
      </c>
      <c r="AR64" s="82" t="str">
        <f t="shared" si="72"/>
        <v/>
      </c>
      <c r="AS64" s="47" t="s">
        <v>0</v>
      </c>
      <c r="AT64" s="19" t="str">
        <f t="shared" si="73"/>
        <v/>
      </c>
      <c r="AU64" s="47" t="s">
        <v>0</v>
      </c>
      <c r="AV64" s="103"/>
      <c r="AW64" s="105"/>
      <c r="AX64" s="47" t="s">
        <v>0</v>
      </c>
      <c r="AY64" s="259" t="str">
        <f t="shared" si="102"/>
        <v/>
      </c>
      <c r="AZ64" s="47" t="s">
        <v>0</v>
      </c>
      <c r="BA64" s="52" t="str">
        <f t="shared" si="11"/>
        <v/>
      </c>
      <c r="BB64" s="73" t="str">
        <f>IF(AV64&amp;AW64="","",MAX(BB$12:BB63)+1)</f>
        <v/>
      </c>
      <c r="BC64" s="272" t="str">
        <f t="shared" si="12"/>
        <v/>
      </c>
      <c r="BD64" s="53" t="str">
        <f>IF(AND(AM64="NEMA",AN64="NEMA",OR(AV64&amp;AW64="",BC64="NEMA")),MAX(BD$12:BD63)+1,"")</f>
        <v/>
      </c>
      <c r="BE64" s="47" t="s">
        <v>0</v>
      </c>
      <c r="BF64" s="52" t="str">
        <f t="shared" si="74"/>
        <v>Tomislav</v>
      </c>
      <c r="BG64" s="66" t="str">
        <f t="shared" si="75"/>
        <v>Varnica</v>
      </c>
      <c r="BH64" s="47" t="s">
        <v>0</v>
      </c>
      <c r="BI64" s="52" t="str">
        <f t="shared" si="15"/>
        <v>Vihor</v>
      </c>
      <c r="BJ64" s="31" t="str">
        <f t="shared" si="16"/>
        <v>OK Vihor</v>
      </c>
      <c r="BK64" s="73" t="str">
        <f t="shared" si="17"/>
        <v/>
      </c>
      <c r="BL64" s="31" t="str" cm="1">
        <f t="array" ref="BL64">IF(BK64="",""&amp;BJ64,IF(BK64="NEMA",BJ64,INDEX(regKlub_naziv,MATCH(INDEX(regKlub_alias_klubId,BK64),regKlub_id,0))))</f>
        <v>OK Vihor</v>
      </c>
      <c r="BM64" s="31" t="str" cm="1">
        <f t="array" ref="BM64">IFERROR(""&amp;INDEX(regNatjecatelj_klub,DV64),"")</f>
        <v>OK Vihor</v>
      </c>
      <c r="BN64" s="73" t="str">
        <f t="shared" si="76"/>
        <v/>
      </c>
      <c r="BO64" s="66" t="str">
        <f t="shared" si="77"/>
        <v>OK Vihor</v>
      </c>
      <c r="BP64" s="47" t="s">
        <v>0</v>
      </c>
      <c r="BQ64" s="52" t="str">
        <f>IF(X64&lt;&gt;"NEMA","",IF(IFERROR(MATCH(W64,W$12:W63,0),0)&lt;&gt;0,"",W64))</f>
        <v/>
      </c>
      <c r="BR64" s="73" t="str">
        <f t="shared" si="78"/>
        <v/>
      </c>
      <c r="BS64" s="31" t="str">
        <f>IF(OR(BR64="",BR64&lt;&gt;"NEMA"),"",MAX(BS$12:BS63)+1)</f>
        <v/>
      </c>
      <c r="BT64" s="66" t="str">
        <f t="shared" si="79"/>
        <v/>
      </c>
      <c r="BU64" s="47" t="s">
        <v>0</v>
      </c>
      <c r="BV64" s="19" t="str">
        <f t="shared" si="80"/>
        <v/>
      </c>
      <c r="BW64" s="47" t="s">
        <v>0</v>
      </c>
      <c r="BX64" s="82" t="str">
        <f>IF(BK64&lt;&gt;"NEMA","",IF(IFERROR(MATCH(BJ64,BJ$12:BJ63,0),0)&lt;&gt;0,"",BJ64))</f>
        <v/>
      </c>
      <c r="BY64" s="47" t="s">
        <v>0</v>
      </c>
      <c r="BZ64" s="125"/>
      <c r="CA64" s="47" t="s">
        <v>0</v>
      </c>
      <c r="CB64" s="58" t="str">
        <f t="shared" si="81"/>
        <v/>
      </c>
      <c r="CC64" s="31" t="str">
        <f t="shared" si="82"/>
        <v/>
      </c>
      <c r="CD64" s="31" t="str">
        <f>IF(CC64="","",MAX(CD$12:CD63)+1)</f>
        <v/>
      </c>
      <c r="CE64" s="31" t="str">
        <f t="shared" si="22"/>
        <v/>
      </c>
      <c r="CF64" s="31" t="str">
        <f t="shared" si="83"/>
        <v/>
      </c>
      <c r="CG64" s="31" t="str">
        <f>IF(BZ64="","",MAX(CG$12:CG63)+1)</f>
        <v/>
      </c>
      <c r="CH64" s="31" t="str">
        <f t="shared" si="84"/>
        <v/>
      </c>
      <c r="CI64" s="66" t="str">
        <f t="shared" si="85"/>
        <v/>
      </c>
      <c r="CJ64" s="47" t="s">
        <v>0</v>
      </c>
      <c r="CK64" s="73" t="str">
        <f t="shared" si="25"/>
        <v/>
      </c>
      <c r="CL64" s="47"/>
      <c r="CM64" s="19" t="str">
        <f t="shared" si="86"/>
        <v/>
      </c>
      <c r="CN64" s="47" t="s">
        <v>0</v>
      </c>
      <c r="CO64" s="143" t="str">
        <f t="shared" si="87"/>
        <v>OK Vihor</v>
      </c>
      <c r="CP64" s="47" t="s">
        <v>0</v>
      </c>
      <c r="CQ64" s="58" t="str">
        <f t="shared" si="109"/>
        <v>99:28</v>
      </c>
      <c r="CR64" s="73" t="str">
        <f t="shared" si="110"/>
        <v>0</v>
      </c>
      <c r="CS64" s="229" t="str">
        <f t="shared" si="30"/>
        <v/>
      </c>
      <c r="CT64" s="230">
        <f t="shared" si="112"/>
        <v>5968</v>
      </c>
      <c r="CU64" s="163">
        <f t="shared" si="32"/>
        <v>1</v>
      </c>
      <c r="CV64" s="47" t="s">
        <v>0</v>
      </c>
      <c r="CW64" s="222" t="str">
        <f t="shared" si="89"/>
        <v xml:space="preserve">
</v>
      </c>
      <c r="CX64" s="223">
        <f t="shared" si="90"/>
        <v>6</v>
      </c>
      <c r="CY64" s="47" t="s">
        <v>0</v>
      </c>
      <c r="CZ64" s="47"/>
      <c r="DA64" s="47"/>
      <c r="DB64" s="47"/>
      <c r="DC64" s="47" t="s">
        <v>0</v>
      </c>
      <c r="DD64" s="53" t="str">
        <f t="shared" si="103"/>
        <v/>
      </c>
      <c r="DE64" t="s">
        <v>0</v>
      </c>
      <c r="DF64" s="128" t="str">
        <f t="shared" si="104"/>
        <v>M</v>
      </c>
      <c r="DG64" t="s">
        <v>0</v>
      </c>
      <c r="DH64" s="52" t="str">
        <f t="shared" si="105"/>
        <v/>
      </c>
      <c r="DI64" s="66" t="str">
        <f t="shared" si="106"/>
        <v/>
      </c>
      <c r="DJ64" t="s">
        <v>0</v>
      </c>
      <c r="DK64" s="19" t="str">
        <f t="shared" si="107"/>
        <v/>
      </c>
      <c r="DL64" s="47" t="s">
        <v>0</v>
      </c>
      <c r="DM64" s="19" t="str">
        <f t="shared" si="108"/>
        <v/>
      </c>
      <c r="DN64" s="47" t="s">
        <v>0</v>
      </c>
      <c r="DO64" s="52" t="str">
        <f t="shared" si="39"/>
        <v>Tomislav – Varnica – OK Vihor – M21A</v>
      </c>
      <c r="DP64" s="53">
        <f t="shared" si="40"/>
        <v>938</v>
      </c>
      <c r="DQ64" s="47" t="s">
        <v>0</v>
      </c>
      <c r="DR64" s="52" t="str">
        <f t="shared" si="41"/>
        <v>Tomislav – Varnica – OK Vihor</v>
      </c>
      <c r="DS64" s="53">
        <f t="shared" si="42"/>
        <v>938</v>
      </c>
      <c r="DT64" s="47" t="s">
        <v>0</v>
      </c>
      <c r="DU64" s="52" t="str">
        <f t="shared" si="43"/>
        <v>Tomislav – Varnica</v>
      </c>
      <c r="DV64" s="53">
        <f t="shared" si="44"/>
        <v>938</v>
      </c>
      <c r="DW64" s="47" t="s">
        <v>0</v>
      </c>
      <c r="DX64" s="58">
        <f t="shared" si="91"/>
        <v>938</v>
      </c>
      <c r="DY64" s="53" cm="1">
        <f t="array" ref="DY64">IF(DX64&lt;&gt;"",INDEX(regNatjecatelj_id,DX64,0),IF(BD64&lt;&gt;"",BD64,""))</f>
        <v>1289</v>
      </c>
      <c r="DZ64" s="47" t="s">
        <v>0</v>
      </c>
      <c r="EA64" s="58" t="str">
        <f t="shared" si="45"/>
        <v>imepre</v>
      </c>
      <c r="EB64" s="73" t="str">
        <f t="shared" si="46"/>
        <v>klu</v>
      </c>
      <c r="EC64" s="73" t="str">
        <f t="shared" si="47"/>
        <v>kat</v>
      </c>
      <c r="ED64" s="73" t="str">
        <f t="shared" si="48"/>
        <v/>
      </c>
      <c r="EE64" s="66" t="str">
        <f t="shared" si="49"/>
        <v>imepre-klu-kat</v>
      </c>
      <c r="EF64" s="47" t="s">
        <v>0</v>
      </c>
      <c r="EG64" s="58">
        <f>IF(AL64="","",MAX(EG$12:EG63)+1)</f>
        <v>236</v>
      </c>
      <c r="EH64" s="73">
        <f t="shared" si="50"/>
        <v>27</v>
      </c>
      <c r="EI64" s="73">
        <f t="shared" si="92"/>
        <v>1289</v>
      </c>
      <c r="EJ64" s="73">
        <f t="shared" si="51"/>
        <v>5968</v>
      </c>
      <c r="EK64" s="73">
        <f t="shared" si="52"/>
        <v>1</v>
      </c>
      <c r="EL64" s="73">
        <f t="shared" si="93"/>
        <v>1</v>
      </c>
      <c r="EM64" s="73">
        <f t="shared" si="94"/>
        <v>1</v>
      </c>
      <c r="EN64" s="73" t="str">
        <f t="shared" si="55"/>
        <v>0</v>
      </c>
      <c r="EO64" s="73" t="str">
        <f t="shared" si="56"/>
        <v/>
      </c>
      <c r="EP64" s="73" t="str">
        <f t="shared" si="57"/>
        <v/>
      </c>
      <c r="EQ64" s="53" t="str">
        <f t="shared" si="58"/>
        <v/>
      </c>
      <c r="ER64" s="47" t="s">
        <v>0</v>
      </c>
      <c r="ES64" s="19" t="str">
        <f t="shared" si="95"/>
        <v>INSERT INTO rezultat(id,stazakategorija_id,imeprezime_id,vrijeme_sec,status_id,registracija,uparivanje_id,originalstatus_id,imeprezimealias_id,klubalias_id,kategorijaalias_id) VALUES (236,27,1289,5968,1,1,1,0,Null,Null,Null);</v>
      </c>
      <c r="ET64" s="47" t="s">
        <v>0</v>
      </c>
      <c r="EU64" s="19" t="str">
        <f t="shared" si="96"/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4" s="47" t="s">
        <v>0</v>
      </c>
      <c r="EW64" s="180" t="str">
        <f t="shared" si="60"/>
        <v xml:space="preserve">
INSERT INTO rezultat(id,stazakategorija_id,imeprezime_id,vrijeme_sec,status_id,registracija,uparivanje_id,originalstatus_id,imeprezimealias_id,klubalias_id,kategorijaalias_id) VALUES (236,27,1289,5968,1,1,1,0,Null,Null,Null);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4" s="47" t="s">
        <v>0</v>
      </c>
    </row>
    <row r="65" spans="1:154" x14ac:dyDescent="0.25">
      <c r="A65" t="s">
        <v>0</v>
      </c>
      <c r="B65" s="52" t="str">
        <f>IF(csv!F55="","",csv!T55)</f>
        <v>M21A</v>
      </c>
      <c r="C65" s="31" t="s">
        <v>0</v>
      </c>
      <c r="D65" s="31" t="str">
        <f>IF(csv!F55="","",csv!F55)</f>
        <v>Frane</v>
      </c>
      <c r="E65" s="31" t="str">
        <f>IF(csv!E55="","",csv!E55)</f>
        <v>Marković</v>
      </c>
      <c r="F65" s="31" t="s">
        <v>0</v>
      </c>
      <c r="G65" s="73" t="str">
        <f>IF(csv!M55="","",csv!M55)</f>
        <v>101:54</v>
      </c>
      <c r="H65" s="73" t="str">
        <f>IF(csv!N55="","",csv!N55)</f>
        <v>0</v>
      </c>
      <c r="I65" s="31" t="s">
        <v>0</v>
      </c>
      <c r="J65" s="31" t="str">
        <f>IF(csv!P55="","",csv!P55)</f>
        <v>JAP</v>
      </c>
      <c r="K65" s="31" t="str">
        <f>IF(csv!Q55="","",csv!Q55)</f>
        <v>OK Japetic</v>
      </c>
      <c r="L65" s="31" t="s">
        <v>0</v>
      </c>
      <c r="M65" s="66" t="str">
        <f>IF(csv!R55="","",csv!R55)</f>
        <v>CRO</v>
      </c>
      <c r="N65" s="47" t="s">
        <v>0</v>
      </c>
      <c r="O65" s="246" t="str">
        <f t="shared" si="61"/>
        <v>ok</v>
      </c>
      <c r="P65" s="47"/>
      <c r="Q65" s="52" t="str">
        <f t="shared" si="62"/>
        <v>M21A</v>
      </c>
      <c r="R65" s="73">
        <f>IF(Q65="","",IF(COUNTIF(Q$12:Q64,Q65)=0,R64+1,R64))</f>
        <v>5</v>
      </c>
      <c r="S65" s="73">
        <f t="shared" si="63"/>
        <v>101</v>
      </c>
      <c r="T65" s="73">
        <f t="shared" si="1"/>
        <v>13</v>
      </c>
      <c r="U65" s="66" t="str">
        <f t="shared" si="2"/>
        <v>M21A</v>
      </c>
      <c r="V65" s="47" t="s">
        <v>0</v>
      </c>
      <c r="W65" s="222" t="str">
        <f t="shared" si="3"/>
        <v>M21A</v>
      </c>
      <c r="X65" s="223">
        <f t="shared" si="4"/>
        <v>27</v>
      </c>
      <c r="Y65" s="47" t="s">
        <v>0</v>
      </c>
      <c r="Z65" s="52" t="str">
        <f t="shared" si="64"/>
        <v>CRO</v>
      </c>
      <c r="AA65" s="73">
        <f t="shared" si="5"/>
        <v>1</v>
      </c>
      <c r="AB65" s="31" t="str">
        <f t="shared" si="65"/>
        <v/>
      </c>
      <c r="AC65" s="66" t="str">
        <f>IF(AB65="","",MAX(AC$12:AC64)+1)</f>
        <v/>
      </c>
      <c r="AD65" s="47" t="s">
        <v>0</v>
      </c>
      <c r="AE65" s="125"/>
      <c r="AF65" s="47" t="s">
        <v>0</v>
      </c>
      <c r="AG65" s="19" t="str">
        <f t="shared" si="66"/>
        <v/>
      </c>
      <c r="AH65" s="47" t="s">
        <v>0</v>
      </c>
      <c r="AI65" s="143" t="str">
        <f t="shared" si="67"/>
        <v>CRO</v>
      </c>
      <c r="AJ65" s="47"/>
      <c r="AK65" s="52" t="str">
        <f t="shared" si="68"/>
        <v>Frane</v>
      </c>
      <c r="AL65" s="31" t="str">
        <f t="shared" si="69"/>
        <v>Marković</v>
      </c>
      <c r="AM65" s="73">
        <f t="shared" si="70"/>
        <v>1139</v>
      </c>
      <c r="AN65" s="73" t="str">
        <f t="shared" si="71"/>
        <v/>
      </c>
      <c r="AO65" s="31" t="str">
        <f t="shared" si="8"/>
        <v>Frane</v>
      </c>
      <c r="AP65" s="66" t="str">
        <f t="shared" si="9"/>
        <v>Marković</v>
      </c>
      <c r="AQ65" s="47" t="s">
        <v>0</v>
      </c>
      <c r="AR65" s="82" t="str">
        <f t="shared" si="72"/>
        <v/>
      </c>
      <c r="AS65" s="47" t="s">
        <v>0</v>
      </c>
      <c r="AT65" s="19" t="str">
        <f t="shared" si="73"/>
        <v/>
      </c>
      <c r="AU65" s="47" t="s">
        <v>0</v>
      </c>
      <c r="AV65" s="103"/>
      <c r="AW65" s="105"/>
      <c r="AX65" s="47" t="s">
        <v>0</v>
      </c>
      <c r="AY65" s="259" t="str">
        <f t="shared" si="102"/>
        <v/>
      </c>
      <c r="AZ65" s="47" t="s">
        <v>0</v>
      </c>
      <c r="BA65" s="52" t="str">
        <f t="shared" si="11"/>
        <v/>
      </c>
      <c r="BB65" s="73" t="str">
        <f>IF(AV65&amp;AW65="","",MAX(BB$12:BB64)+1)</f>
        <v/>
      </c>
      <c r="BC65" s="272" t="str">
        <f t="shared" si="12"/>
        <v/>
      </c>
      <c r="BD65" s="53" t="str">
        <f>IF(AND(AM65="NEMA",AN65="NEMA",OR(AV65&amp;AW65="",BC65="NEMA")),MAX(BD$12:BD64)+1,"")</f>
        <v/>
      </c>
      <c r="BE65" s="47" t="s">
        <v>0</v>
      </c>
      <c r="BF65" s="52" t="str">
        <f t="shared" si="74"/>
        <v>Frane</v>
      </c>
      <c r="BG65" s="66" t="str">
        <f t="shared" si="75"/>
        <v>Marković</v>
      </c>
      <c r="BH65" s="47" t="s">
        <v>0</v>
      </c>
      <c r="BI65" s="52" t="str">
        <f t="shared" si="15"/>
        <v>JAP</v>
      </c>
      <c r="BJ65" s="31" t="str">
        <f t="shared" si="16"/>
        <v>OK Japetic</v>
      </c>
      <c r="BK65" s="73">
        <f t="shared" si="17"/>
        <v>1</v>
      </c>
      <c r="BL65" s="31" t="str" cm="1">
        <f t="array" ref="BL65">IF(BK65="",""&amp;BJ65,IF(BK65="NEMA",BJ65,INDEX(regKlub_naziv,MATCH(INDEX(regKlub_alias_klubId,BK65),regKlub_id,0))))</f>
        <v>OK Japetić</v>
      </c>
      <c r="BM65" s="31" t="str" cm="1">
        <f t="array" ref="BM65">IFERROR(""&amp;INDEX(regNatjecatelj_klub,DV65),"")</f>
        <v>OK Japetić</v>
      </c>
      <c r="BN65" s="73" t="str">
        <f t="shared" si="76"/>
        <v/>
      </c>
      <c r="BO65" s="66" t="str">
        <f t="shared" si="77"/>
        <v>OK Japetić</v>
      </c>
      <c r="BP65" s="47" t="s">
        <v>0</v>
      </c>
      <c r="BQ65" s="52" t="str">
        <f>IF(X65&lt;&gt;"NEMA","",IF(IFERROR(MATCH(W65,W$12:W64,0),0)&lt;&gt;0,"",W65))</f>
        <v/>
      </c>
      <c r="BR65" s="73" t="str">
        <f t="shared" si="78"/>
        <v/>
      </c>
      <c r="BS65" s="31" t="str">
        <f>IF(OR(BR65="",BR65&lt;&gt;"NEMA"),"",MAX(BS$12:BS64)+1)</f>
        <v/>
      </c>
      <c r="BT65" s="66" t="str">
        <f t="shared" si="79"/>
        <v/>
      </c>
      <c r="BU65" s="47" t="s">
        <v>0</v>
      </c>
      <c r="BV65" s="19" t="str">
        <f t="shared" si="80"/>
        <v/>
      </c>
      <c r="BW65" s="47" t="s">
        <v>0</v>
      </c>
      <c r="BX65" s="82" t="str">
        <f>IF(BK65&lt;&gt;"NEMA","",IF(IFERROR(MATCH(BJ65,BJ$12:BJ64,0),0)&lt;&gt;0,"",BJ65))</f>
        <v/>
      </c>
      <c r="BY65" s="47" t="s">
        <v>0</v>
      </c>
      <c r="BZ65" s="125"/>
      <c r="CA65" s="47" t="s">
        <v>0</v>
      </c>
      <c r="CB65" s="58" t="str">
        <f t="shared" si="81"/>
        <v/>
      </c>
      <c r="CC65" s="31" t="str">
        <f t="shared" si="82"/>
        <v/>
      </c>
      <c r="CD65" s="31" t="str">
        <f>IF(CC65="","",MAX(CD$12:CD64)+1)</f>
        <v/>
      </c>
      <c r="CE65" s="31" t="str">
        <f t="shared" si="22"/>
        <v/>
      </c>
      <c r="CF65" s="31" t="str">
        <f t="shared" si="83"/>
        <v/>
      </c>
      <c r="CG65" s="31" t="str">
        <f>IF(BZ65="","",MAX(CG$12:CG64)+1)</f>
        <v/>
      </c>
      <c r="CH65" s="31" t="str">
        <f t="shared" si="84"/>
        <v/>
      </c>
      <c r="CI65" s="66" t="str">
        <f t="shared" si="85"/>
        <v/>
      </c>
      <c r="CJ65" s="47" t="s">
        <v>0</v>
      </c>
      <c r="CK65" s="73" t="str">
        <f t="shared" si="25"/>
        <v/>
      </c>
      <c r="CL65" s="47"/>
      <c r="CM65" s="19" t="str">
        <f t="shared" si="86"/>
        <v/>
      </c>
      <c r="CN65" s="47" t="s">
        <v>0</v>
      </c>
      <c r="CO65" s="143" t="str">
        <f t="shared" si="87"/>
        <v>OK Japetić</v>
      </c>
      <c r="CP65" s="47" t="s">
        <v>0</v>
      </c>
      <c r="CQ65" s="58" t="str">
        <f t="shared" si="109"/>
        <v>101:54</v>
      </c>
      <c r="CR65" s="73" t="str">
        <f t="shared" si="110"/>
        <v>0</v>
      </c>
      <c r="CS65" s="229" t="str">
        <f t="shared" si="30"/>
        <v/>
      </c>
      <c r="CT65" s="230">
        <f t="shared" si="112"/>
        <v>6114</v>
      </c>
      <c r="CU65" s="163">
        <f t="shared" si="32"/>
        <v>1</v>
      </c>
      <c r="CV65" s="47" t="s">
        <v>0</v>
      </c>
      <c r="CW65" s="222" t="str">
        <f t="shared" si="89"/>
        <v xml:space="preserve">
</v>
      </c>
      <c r="CX65" s="223">
        <f t="shared" si="90"/>
        <v>6</v>
      </c>
      <c r="CY65" s="47" t="s">
        <v>0</v>
      </c>
      <c r="CZ65" s="47"/>
      <c r="DA65" s="47"/>
      <c r="DB65" s="47"/>
      <c r="DC65" s="47" t="s">
        <v>0</v>
      </c>
      <c r="DD65" s="53" t="str">
        <f t="shared" si="103"/>
        <v/>
      </c>
      <c r="DE65" t="s">
        <v>0</v>
      </c>
      <c r="DF65" s="128" t="str">
        <f t="shared" si="104"/>
        <v>M</v>
      </c>
      <c r="DG65" t="s">
        <v>0</v>
      </c>
      <c r="DH65" s="52" t="str">
        <f t="shared" si="105"/>
        <v/>
      </c>
      <c r="DI65" s="66" t="str">
        <f t="shared" si="106"/>
        <v/>
      </c>
      <c r="DJ65" t="s">
        <v>0</v>
      </c>
      <c r="DK65" s="19" t="str">
        <f t="shared" si="107"/>
        <v/>
      </c>
      <c r="DL65" s="47" t="s">
        <v>0</v>
      </c>
      <c r="DM65" s="19" t="str">
        <f t="shared" si="108"/>
        <v/>
      </c>
      <c r="DN65" s="47" t="s">
        <v>0</v>
      </c>
      <c r="DO65" s="52" t="str">
        <f t="shared" si="39"/>
        <v>Frane – Marković – OK Japetić – M21A</v>
      </c>
      <c r="DP65" s="53">
        <f t="shared" si="40"/>
        <v>114</v>
      </c>
      <c r="DQ65" s="47" t="s">
        <v>0</v>
      </c>
      <c r="DR65" s="52" t="str">
        <f t="shared" si="41"/>
        <v>Frane – Marković – OK Japetić</v>
      </c>
      <c r="DS65" s="53">
        <f t="shared" si="42"/>
        <v>114</v>
      </c>
      <c r="DT65" s="47" t="s">
        <v>0</v>
      </c>
      <c r="DU65" s="52" t="str">
        <f t="shared" si="43"/>
        <v>Frane – Marković</v>
      </c>
      <c r="DV65" s="53">
        <f t="shared" si="44"/>
        <v>114</v>
      </c>
      <c r="DW65" s="47" t="s">
        <v>0</v>
      </c>
      <c r="DX65" s="58">
        <f t="shared" si="91"/>
        <v>114</v>
      </c>
      <c r="DY65" s="53" cm="1">
        <f t="array" ref="DY65">IF(DX65&lt;&gt;"",INDEX(regNatjecatelj_id,DX65,0),IF(BD65&lt;&gt;"",BD65,""))</f>
        <v>1139</v>
      </c>
      <c r="DZ65" s="47" t="s">
        <v>0</v>
      </c>
      <c r="EA65" s="58" t="str">
        <f t="shared" si="45"/>
        <v>imepre</v>
      </c>
      <c r="EB65" s="73" t="str">
        <f t="shared" si="46"/>
        <v>klu(ali)</v>
      </c>
      <c r="EC65" s="73" t="str">
        <f t="shared" si="47"/>
        <v>kat</v>
      </c>
      <c r="ED65" s="73" t="str">
        <f t="shared" si="48"/>
        <v/>
      </c>
      <c r="EE65" s="66" t="str">
        <f t="shared" si="49"/>
        <v>imepre-klu(ali)-kat</v>
      </c>
      <c r="EF65" s="47" t="s">
        <v>0</v>
      </c>
      <c r="EG65" s="58">
        <f>IF(AL65="","",MAX(EG$12:EG64)+1)</f>
        <v>237</v>
      </c>
      <c r="EH65" s="73">
        <f t="shared" si="50"/>
        <v>27</v>
      </c>
      <c r="EI65" s="73">
        <f t="shared" si="92"/>
        <v>1139</v>
      </c>
      <c r="EJ65" s="73">
        <f t="shared" si="51"/>
        <v>6114</v>
      </c>
      <c r="EK65" s="73">
        <f t="shared" si="52"/>
        <v>1</v>
      </c>
      <c r="EL65" s="73">
        <f t="shared" si="93"/>
        <v>1</v>
      </c>
      <c r="EM65" s="73">
        <f t="shared" si="94"/>
        <v>3</v>
      </c>
      <c r="EN65" s="73" t="str">
        <f t="shared" si="55"/>
        <v>0</v>
      </c>
      <c r="EO65" s="73" t="str">
        <f t="shared" si="56"/>
        <v/>
      </c>
      <c r="EP65" s="73">
        <f t="shared" si="57"/>
        <v>1</v>
      </c>
      <c r="EQ65" s="53" t="str">
        <f t="shared" si="58"/>
        <v/>
      </c>
      <c r="ER65" s="47" t="s">
        <v>0</v>
      </c>
      <c r="ES65" s="19" t="str">
        <f t="shared" si="95"/>
        <v>INSERT INTO rezultat(id,stazakategorija_id,imeprezime_id,vrijeme_sec,status_id,registracija,uparivanje_id,originalstatus_id,imeprezimealias_id,klubalias_id,kategorijaalias_id) VALUES (237,27,1139,6114,1,1,3,0,Null,1,Null);</v>
      </c>
      <c r="ET65" s="47" t="s">
        <v>0</v>
      </c>
      <c r="EU65" s="19" t="str">
        <f t="shared" si="96"/>
        <v>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5" s="47" t="s">
        <v>0</v>
      </c>
      <c r="EW65" s="180" t="str">
        <f t="shared" si="60"/>
        <v xml:space="preserve">
INSERT INTO rezultat(id,stazakategorija_id,imeprezime_id,vrijeme_sec,status_id,registracija,uparivanje_id,originalstatus_id,imeprezimealias_id,klubalias_id,kategorijaalias_id) VALUES (237,27,1139,6114,1,1,3,0,Null,1,Null);
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5" s="47" t="s">
        <v>0</v>
      </c>
    </row>
    <row r="66" spans="1:154" x14ac:dyDescent="0.25">
      <c r="A66" t="s">
        <v>0</v>
      </c>
      <c r="B66" s="52" t="str">
        <f>IF(csv!F56="","",csv!T56)</f>
        <v>M21A</v>
      </c>
      <c r="C66" s="31" t="s">
        <v>0</v>
      </c>
      <c r="D66" s="31" t="str">
        <f>IF(csv!F56="","",csv!F56)</f>
        <v>Vedran</v>
      </c>
      <c r="E66" s="31" t="str">
        <f>IF(csv!E56="","",csv!E56)</f>
        <v>Berković</v>
      </c>
      <c r="F66" s="31" t="s">
        <v>0</v>
      </c>
      <c r="G66" s="73" t="str">
        <f>IF(csv!M56="","",csv!M56)</f>
        <v>125:48</v>
      </c>
      <c r="H66" s="73" t="str">
        <f>IF(csv!N56="","",csv!N56)</f>
        <v>0</v>
      </c>
      <c r="I66" s="31" t="s">
        <v>0</v>
      </c>
      <c r="J66" s="31" t="str">
        <f>IF(csv!P56="","",csv!P56)</f>
        <v>KAP</v>
      </c>
      <c r="K66" s="31" t="str">
        <f>IF(csv!Q56="","",csv!Q56)</f>
        <v>OK Kapela</v>
      </c>
      <c r="L66" s="31" t="s">
        <v>0</v>
      </c>
      <c r="M66" s="66" t="str">
        <f>IF(csv!R56="","",csv!R56)</f>
        <v>CRO</v>
      </c>
      <c r="N66" s="47" t="s">
        <v>0</v>
      </c>
      <c r="O66" s="246" t="str">
        <f t="shared" si="61"/>
        <v>ok</v>
      </c>
      <c r="P66" s="47"/>
      <c r="Q66" s="52" t="str">
        <f t="shared" si="62"/>
        <v>M21A</v>
      </c>
      <c r="R66" s="73">
        <f>IF(Q66="","",IF(COUNTIF(Q$12:Q65,Q66)=0,R65+1,R65))</f>
        <v>5</v>
      </c>
      <c r="S66" s="73">
        <f t="shared" si="63"/>
        <v>101</v>
      </c>
      <c r="T66" s="73">
        <f t="shared" si="1"/>
        <v>13</v>
      </c>
      <c r="U66" s="66" t="str">
        <f t="shared" si="2"/>
        <v>M21A</v>
      </c>
      <c r="V66" s="47" t="s">
        <v>0</v>
      </c>
      <c r="W66" s="222" t="str">
        <f t="shared" si="3"/>
        <v>M21A</v>
      </c>
      <c r="X66" s="223">
        <f t="shared" si="4"/>
        <v>27</v>
      </c>
      <c r="Y66" s="47" t="s">
        <v>0</v>
      </c>
      <c r="Z66" s="52" t="str">
        <f t="shared" si="64"/>
        <v>CRO</v>
      </c>
      <c r="AA66" s="73">
        <f t="shared" si="5"/>
        <v>1</v>
      </c>
      <c r="AB66" s="31" t="str">
        <f t="shared" si="65"/>
        <v/>
      </c>
      <c r="AC66" s="66" t="str">
        <f>IF(AB66="","",MAX(AC$12:AC65)+1)</f>
        <v/>
      </c>
      <c r="AD66" s="47" t="s">
        <v>0</v>
      </c>
      <c r="AE66" s="125"/>
      <c r="AF66" s="47" t="s">
        <v>0</v>
      </c>
      <c r="AG66" s="19" t="str">
        <f t="shared" si="66"/>
        <v/>
      </c>
      <c r="AH66" s="47" t="s">
        <v>0</v>
      </c>
      <c r="AI66" s="143" t="str">
        <f t="shared" si="67"/>
        <v>CRO</v>
      </c>
      <c r="AJ66" s="47"/>
      <c r="AK66" s="52" t="str">
        <f t="shared" si="68"/>
        <v>Vedran</v>
      </c>
      <c r="AL66" s="31" t="str">
        <f t="shared" si="69"/>
        <v>Berković</v>
      </c>
      <c r="AM66" s="73">
        <f t="shared" si="70"/>
        <v>1056</v>
      </c>
      <c r="AN66" s="73" t="str">
        <f t="shared" si="71"/>
        <v/>
      </c>
      <c r="AO66" s="31" t="str">
        <f t="shared" si="8"/>
        <v>Vedran</v>
      </c>
      <c r="AP66" s="66" t="str">
        <f t="shared" si="9"/>
        <v>Berković</v>
      </c>
      <c r="AQ66" s="47" t="s">
        <v>0</v>
      </c>
      <c r="AR66" s="82" t="str">
        <f t="shared" si="72"/>
        <v/>
      </c>
      <c r="AS66" s="47" t="s">
        <v>0</v>
      </c>
      <c r="AT66" s="19" t="str">
        <f t="shared" si="73"/>
        <v/>
      </c>
      <c r="AU66" s="47" t="s">
        <v>0</v>
      </c>
      <c r="AV66" s="103"/>
      <c r="AW66" s="105"/>
      <c r="AX66" s="47" t="s">
        <v>0</v>
      </c>
      <c r="AY66" s="259" t="str">
        <f t="shared" si="102"/>
        <v/>
      </c>
      <c r="AZ66" s="47" t="s">
        <v>0</v>
      </c>
      <c r="BA66" s="52" t="str">
        <f t="shared" si="11"/>
        <v/>
      </c>
      <c r="BB66" s="73" t="str">
        <f>IF(AV66&amp;AW66="","",MAX(BB$12:BB65)+1)</f>
        <v/>
      </c>
      <c r="BC66" s="272" t="str">
        <f t="shared" si="12"/>
        <v/>
      </c>
      <c r="BD66" s="53" t="str">
        <f>IF(AND(AM66="NEMA",AN66="NEMA",OR(AV66&amp;AW66="",BC66="NEMA")),MAX(BD$12:BD65)+1,"")</f>
        <v/>
      </c>
      <c r="BE66" s="47" t="s">
        <v>0</v>
      </c>
      <c r="BF66" s="52" t="str">
        <f t="shared" si="74"/>
        <v>Vedran</v>
      </c>
      <c r="BG66" s="66" t="str">
        <f t="shared" si="75"/>
        <v>Berković</v>
      </c>
      <c r="BH66" s="47" t="s">
        <v>0</v>
      </c>
      <c r="BI66" s="52" t="str">
        <f t="shared" si="15"/>
        <v>KAP</v>
      </c>
      <c r="BJ66" s="31" t="str">
        <f t="shared" si="16"/>
        <v>OK Kapela</v>
      </c>
      <c r="BK66" s="73" t="str">
        <f t="shared" si="17"/>
        <v/>
      </c>
      <c r="BL66" s="31" t="str" cm="1">
        <f t="array" ref="BL66">IF(BK66="",""&amp;BJ66,IF(BK66="NEMA",BJ66,INDEX(regKlub_naziv,MATCH(INDEX(regKlub_alias_klubId,BK66),regKlub_id,0))))</f>
        <v>OK Kapela</v>
      </c>
      <c r="BM66" s="31" t="str" cm="1">
        <f t="array" ref="BM66">IFERROR(""&amp;INDEX(regNatjecatelj_klub,DV66),"")</f>
        <v>OK Kapela</v>
      </c>
      <c r="BN66" s="73" t="str">
        <f t="shared" si="76"/>
        <v/>
      </c>
      <c r="BO66" s="66" t="str">
        <f t="shared" si="77"/>
        <v>OK Kapela</v>
      </c>
      <c r="BP66" s="47" t="s">
        <v>0</v>
      </c>
      <c r="BQ66" s="52" t="str">
        <f>IF(X66&lt;&gt;"NEMA","",IF(IFERROR(MATCH(W66,W$12:W65,0),0)&lt;&gt;0,"",W66))</f>
        <v/>
      </c>
      <c r="BR66" s="73" t="str">
        <f t="shared" si="78"/>
        <v/>
      </c>
      <c r="BS66" s="31" t="str">
        <f>IF(OR(BR66="",BR66&lt;&gt;"NEMA"),"",MAX(BS$12:BS65)+1)</f>
        <v/>
      </c>
      <c r="BT66" s="66" t="str">
        <f t="shared" si="79"/>
        <v/>
      </c>
      <c r="BU66" s="47" t="s">
        <v>0</v>
      </c>
      <c r="BV66" s="19" t="str">
        <f t="shared" si="80"/>
        <v/>
      </c>
      <c r="BW66" s="47" t="s">
        <v>0</v>
      </c>
      <c r="BX66" s="82" t="str">
        <f>IF(BK66&lt;&gt;"NEMA","",IF(IFERROR(MATCH(BJ66,BJ$12:BJ65,0),0)&lt;&gt;0,"",BJ66))</f>
        <v/>
      </c>
      <c r="BY66" s="47" t="s">
        <v>0</v>
      </c>
      <c r="BZ66" s="125"/>
      <c r="CA66" s="47" t="s">
        <v>0</v>
      </c>
      <c r="CB66" s="58" t="str">
        <f t="shared" si="81"/>
        <v/>
      </c>
      <c r="CC66" s="31" t="str">
        <f t="shared" si="82"/>
        <v/>
      </c>
      <c r="CD66" s="31" t="str">
        <f>IF(CC66="","",MAX(CD$12:CD65)+1)</f>
        <v/>
      </c>
      <c r="CE66" s="31" t="str">
        <f t="shared" si="22"/>
        <v/>
      </c>
      <c r="CF66" s="31" t="str">
        <f t="shared" si="83"/>
        <v/>
      </c>
      <c r="CG66" s="31" t="str">
        <f>IF(BZ66="","",MAX(CG$12:CG65)+1)</f>
        <v/>
      </c>
      <c r="CH66" s="31" t="str">
        <f t="shared" si="84"/>
        <v/>
      </c>
      <c r="CI66" s="66" t="str">
        <f t="shared" si="85"/>
        <v/>
      </c>
      <c r="CJ66" s="47" t="s">
        <v>0</v>
      </c>
      <c r="CK66" s="73" t="str">
        <f t="shared" si="25"/>
        <v/>
      </c>
      <c r="CL66" s="47"/>
      <c r="CM66" s="19" t="str">
        <f t="shared" si="86"/>
        <v/>
      </c>
      <c r="CN66" s="47" t="s">
        <v>0</v>
      </c>
      <c r="CO66" s="143" t="str">
        <f t="shared" si="87"/>
        <v>OK Kapela</v>
      </c>
      <c r="CP66" s="47" t="s">
        <v>0</v>
      </c>
      <c r="CQ66" s="58" t="str">
        <f t="shared" si="109"/>
        <v>125:48</v>
      </c>
      <c r="CR66" s="73" t="str">
        <f t="shared" si="110"/>
        <v>0</v>
      </c>
      <c r="CS66" s="229" t="str">
        <f t="shared" si="30"/>
        <v/>
      </c>
      <c r="CT66" s="230">
        <f t="shared" si="112"/>
        <v>7548</v>
      </c>
      <c r="CU66" s="163">
        <f t="shared" si="32"/>
        <v>1</v>
      </c>
      <c r="CV66" s="47" t="s">
        <v>0</v>
      </c>
      <c r="CW66" s="222" t="str">
        <f t="shared" si="89"/>
        <v xml:space="preserve">
</v>
      </c>
      <c r="CX66" s="223">
        <f t="shared" si="90"/>
        <v>6</v>
      </c>
      <c r="CY66" s="47" t="s">
        <v>0</v>
      </c>
      <c r="CZ66" s="47"/>
      <c r="DA66" s="47"/>
      <c r="DB66" s="47"/>
      <c r="DC66" s="47" t="s">
        <v>0</v>
      </c>
      <c r="DD66" s="53" t="str">
        <f t="shared" si="103"/>
        <v/>
      </c>
      <c r="DE66" t="s">
        <v>0</v>
      </c>
      <c r="DF66" s="128" t="str">
        <f t="shared" si="104"/>
        <v>M</v>
      </c>
      <c r="DG66" t="s">
        <v>0</v>
      </c>
      <c r="DH66" s="52" t="str">
        <f t="shared" si="105"/>
        <v/>
      </c>
      <c r="DI66" s="66" t="str">
        <f t="shared" si="106"/>
        <v/>
      </c>
      <c r="DJ66" t="s">
        <v>0</v>
      </c>
      <c r="DK66" s="19" t="str">
        <f t="shared" si="107"/>
        <v/>
      </c>
      <c r="DL66" s="47" t="s">
        <v>0</v>
      </c>
      <c r="DM66" s="19" t="str">
        <f t="shared" si="108"/>
        <v/>
      </c>
      <c r="DN66" s="47" t="s">
        <v>0</v>
      </c>
      <c r="DO66" s="52" t="str">
        <f t="shared" si="39"/>
        <v>Vedran – Berković – OK Kapela – M21A</v>
      </c>
      <c r="DP66" s="53">
        <f t="shared" si="40"/>
        <v>210</v>
      </c>
      <c r="DQ66" s="47" t="s">
        <v>0</v>
      </c>
      <c r="DR66" s="52" t="str">
        <f t="shared" si="41"/>
        <v>Vedran – Berković – OK Kapela</v>
      </c>
      <c r="DS66" s="53">
        <f t="shared" si="42"/>
        <v>210</v>
      </c>
      <c r="DT66" s="47" t="s">
        <v>0</v>
      </c>
      <c r="DU66" s="52" t="str">
        <f t="shared" si="43"/>
        <v>Vedran – Berković</v>
      </c>
      <c r="DV66" s="53">
        <f t="shared" si="44"/>
        <v>210</v>
      </c>
      <c r="DW66" s="47" t="s">
        <v>0</v>
      </c>
      <c r="DX66" s="58">
        <f t="shared" si="91"/>
        <v>210</v>
      </c>
      <c r="DY66" s="53" cm="1">
        <f t="array" ref="DY66">IF(DX66&lt;&gt;"",INDEX(regNatjecatelj_id,DX66,0),IF(BD66&lt;&gt;"",BD66,""))</f>
        <v>1056</v>
      </c>
      <c r="DZ66" s="47" t="s">
        <v>0</v>
      </c>
      <c r="EA66" s="58" t="str">
        <f t="shared" si="45"/>
        <v>imepre</v>
      </c>
      <c r="EB66" s="73" t="str">
        <f t="shared" si="46"/>
        <v>klu</v>
      </c>
      <c r="EC66" s="73" t="str">
        <f t="shared" si="47"/>
        <v>kat</v>
      </c>
      <c r="ED66" s="73" t="str">
        <f t="shared" si="48"/>
        <v/>
      </c>
      <c r="EE66" s="66" t="str">
        <f t="shared" si="49"/>
        <v>imepre-klu-kat</v>
      </c>
      <c r="EF66" s="47" t="s">
        <v>0</v>
      </c>
      <c r="EG66" s="58">
        <f>IF(AL66="","",MAX(EG$12:EG65)+1)</f>
        <v>238</v>
      </c>
      <c r="EH66" s="73">
        <f t="shared" si="50"/>
        <v>27</v>
      </c>
      <c r="EI66" s="73">
        <f t="shared" si="92"/>
        <v>1056</v>
      </c>
      <c r="EJ66" s="73">
        <f t="shared" si="51"/>
        <v>7548</v>
      </c>
      <c r="EK66" s="73">
        <f t="shared" si="52"/>
        <v>1</v>
      </c>
      <c r="EL66" s="73">
        <f t="shared" si="93"/>
        <v>1</v>
      </c>
      <c r="EM66" s="73">
        <f t="shared" si="94"/>
        <v>1</v>
      </c>
      <c r="EN66" s="73" t="str">
        <f t="shared" si="55"/>
        <v>0</v>
      </c>
      <c r="EO66" s="73" t="str">
        <f t="shared" si="56"/>
        <v/>
      </c>
      <c r="EP66" s="73" t="str">
        <f t="shared" si="57"/>
        <v/>
      </c>
      <c r="EQ66" s="53" t="str">
        <f t="shared" si="58"/>
        <v/>
      </c>
      <c r="ER66" s="47" t="s">
        <v>0</v>
      </c>
      <c r="ES66" s="19" t="str">
        <f t="shared" si="95"/>
        <v>INSERT INTO rezultat(id,stazakategorija_id,imeprezime_id,vrijeme_sec,status_id,registracija,uparivanje_id,originalstatus_id,imeprezimealias_id,klubalias_id,kategorijaalias_id) VALUES (238,27,1056,7548,1,1,1,0,Null,Null,Null);</v>
      </c>
      <c r="ET66" s="47" t="s">
        <v>0</v>
      </c>
      <c r="EU66" s="19" t="str">
        <f t="shared" si="96"/>
        <v>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6" s="47" t="s">
        <v>0</v>
      </c>
      <c r="EW66" s="180" t="str">
        <f t="shared" si="60"/>
        <v xml:space="preserve">
INSERT INTO rezultat(id,stazakategorija_id,imeprezime_id,vrijeme_sec,status_id,registracija,uparivanje_id,originalstatus_id,imeprezimealias_id,klubalias_id,kategorijaalias_id) VALUES (238,27,1056,7548,1,1,1,0,Null,Null,Null);
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6" s="47" t="s">
        <v>0</v>
      </c>
    </row>
    <row r="67" spans="1:154" x14ac:dyDescent="0.25">
      <c r="A67" t="s">
        <v>0</v>
      </c>
      <c r="B67" s="52" t="str">
        <f>IF(csv!F57="","",csv!T57)</f>
        <v>M21A</v>
      </c>
      <c r="C67" s="31" t="s">
        <v>0</v>
      </c>
      <c r="D67" s="31" t="str">
        <f>IF(csv!F57="","",csv!F57)</f>
        <v>Miran</v>
      </c>
      <c r="E67" s="31" t="str">
        <f>IF(csv!E57="","",csv!E57)</f>
        <v>Košćica</v>
      </c>
      <c r="F67" s="31" t="s">
        <v>0</v>
      </c>
      <c r="G67" s="73" t="str">
        <f>IF(csv!M57="","",csv!M57)</f>
        <v>129:16</v>
      </c>
      <c r="H67" s="73" t="str">
        <f>IF(csv!N57="","",csv!N57)</f>
        <v>0</v>
      </c>
      <c r="I67" s="31" t="s">
        <v>0</v>
      </c>
      <c r="J67" s="31" t="str">
        <f>IF(csv!P57="","",csv!P57)</f>
        <v>OK Jelen</v>
      </c>
      <c r="K67" s="31" t="str">
        <f>IF(csv!Q57="","",csv!Q57)</f>
        <v>OK Jelen</v>
      </c>
      <c r="L67" s="31" t="s">
        <v>0</v>
      </c>
      <c r="M67" s="66" t="str">
        <f>IF(csv!R57="","",csv!R57)</f>
        <v>CRO</v>
      </c>
      <c r="N67" s="47" t="s">
        <v>0</v>
      </c>
      <c r="O67" s="246" t="str">
        <f t="shared" si="61"/>
        <v>ok</v>
      </c>
      <c r="P67" s="47"/>
      <c r="Q67" s="52" t="str">
        <f t="shared" si="62"/>
        <v>M21A</v>
      </c>
      <c r="R67" s="73">
        <f>IF(Q67="","",IF(COUNTIF(Q$12:Q66,Q67)=0,R66+1,R66))</f>
        <v>5</v>
      </c>
      <c r="S67" s="73">
        <f t="shared" si="63"/>
        <v>101</v>
      </c>
      <c r="T67" s="73">
        <f t="shared" si="1"/>
        <v>13</v>
      </c>
      <c r="U67" s="66" t="str">
        <f t="shared" si="2"/>
        <v>M21A</v>
      </c>
      <c r="V67" s="47" t="s">
        <v>0</v>
      </c>
      <c r="W67" s="222" t="str">
        <f t="shared" si="3"/>
        <v>M21A</v>
      </c>
      <c r="X67" s="223">
        <f t="shared" si="4"/>
        <v>27</v>
      </c>
      <c r="Y67" s="47" t="s">
        <v>0</v>
      </c>
      <c r="Z67" s="52" t="str">
        <f t="shared" si="64"/>
        <v>CRO</v>
      </c>
      <c r="AA67" s="73">
        <f t="shared" si="5"/>
        <v>1</v>
      </c>
      <c r="AB67" s="31" t="str">
        <f t="shared" si="65"/>
        <v/>
      </c>
      <c r="AC67" s="66" t="str">
        <f>IF(AB67="","",MAX(AC$12:AC66)+1)</f>
        <v/>
      </c>
      <c r="AD67" s="47" t="s">
        <v>0</v>
      </c>
      <c r="AE67" s="125"/>
      <c r="AF67" s="47" t="s">
        <v>0</v>
      </c>
      <c r="AG67" s="19" t="str">
        <f t="shared" si="66"/>
        <v/>
      </c>
      <c r="AH67" s="47" t="s">
        <v>0</v>
      </c>
      <c r="AI67" s="143" t="str">
        <f t="shared" si="67"/>
        <v>CRO</v>
      </c>
      <c r="AJ67" s="47"/>
      <c r="AK67" s="52" t="str">
        <f t="shared" si="68"/>
        <v>Miran</v>
      </c>
      <c r="AL67" s="31" t="str">
        <f t="shared" si="69"/>
        <v>Košćica</v>
      </c>
      <c r="AM67" s="73">
        <f t="shared" si="70"/>
        <v>1082</v>
      </c>
      <c r="AN67" s="73" t="str">
        <f t="shared" si="71"/>
        <v/>
      </c>
      <c r="AO67" s="31" t="str">
        <f t="shared" si="8"/>
        <v>Miran</v>
      </c>
      <c r="AP67" s="66" t="str">
        <f t="shared" si="9"/>
        <v>Košćica</v>
      </c>
      <c r="AQ67" s="47" t="s">
        <v>0</v>
      </c>
      <c r="AR67" s="82" t="str">
        <f t="shared" si="72"/>
        <v/>
      </c>
      <c r="AS67" s="47" t="s">
        <v>0</v>
      </c>
      <c r="AT67" s="19" t="str">
        <f t="shared" si="73"/>
        <v/>
      </c>
      <c r="AU67" s="47" t="s">
        <v>0</v>
      </c>
      <c r="AV67" s="103"/>
      <c r="AW67" s="105"/>
      <c r="AX67" s="47" t="s">
        <v>0</v>
      </c>
      <c r="AY67" s="259" t="str">
        <f t="shared" si="102"/>
        <v/>
      </c>
      <c r="AZ67" s="47" t="s">
        <v>0</v>
      </c>
      <c r="BA67" s="52" t="str">
        <f t="shared" si="11"/>
        <v/>
      </c>
      <c r="BB67" s="73" t="str">
        <f>IF(AV67&amp;AW67="","",MAX(BB$12:BB66)+1)</f>
        <v/>
      </c>
      <c r="BC67" s="272" t="str">
        <f t="shared" si="12"/>
        <v/>
      </c>
      <c r="BD67" s="53" t="str">
        <f>IF(AND(AM67="NEMA",AN67="NEMA",OR(AV67&amp;AW67="",BC67="NEMA")),MAX(BD$12:BD66)+1,"")</f>
        <v/>
      </c>
      <c r="BE67" s="47" t="s">
        <v>0</v>
      </c>
      <c r="BF67" s="52" t="str">
        <f t="shared" si="74"/>
        <v>Miran</v>
      </c>
      <c r="BG67" s="66" t="str">
        <f t="shared" si="75"/>
        <v>Košćica</v>
      </c>
      <c r="BH67" s="47" t="s">
        <v>0</v>
      </c>
      <c r="BI67" s="52" t="str">
        <f t="shared" si="15"/>
        <v>OK Jelen</v>
      </c>
      <c r="BJ67" s="31" t="str">
        <f t="shared" si="16"/>
        <v>OK Jelen</v>
      </c>
      <c r="BK67" s="73" t="str">
        <f t="shared" si="17"/>
        <v/>
      </c>
      <c r="BL67" s="31" t="str" cm="1">
        <f t="array" ref="BL67">IF(BK67="",""&amp;BJ67,IF(BK67="NEMA",BJ67,INDEX(regKlub_naziv,MATCH(INDEX(regKlub_alias_klubId,BK67),regKlub_id,0))))</f>
        <v>OK Jelen</v>
      </c>
      <c r="BM67" s="31" t="str" cm="1">
        <f t="array" ref="BM67">IFERROR(""&amp;INDEX(regNatjecatelj_klub,DV67),"")</f>
        <v>OK Jelen</v>
      </c>
      <c r="BN67" s="73" t="str">
        <f t="shared" si="76"/>
        <v/>
      </c>
      <c r="BO67" s="66" t="str">
        <f t="shared" si="77"/>
        <v>OK Jelen</v>
      </c>
      <c r="BP67" s="47" t="s">
        <v>0</v>
      </c>
      <c r="BQ67" s="52" t="str">
        <f>IF(X67&lt;&gt;"NEMA","",IF(IFERROR(MATCH(W67,W$12:W66,0),0)&lt;&gt;0,"",W67))</f>
        <v/>
      </c>
      <c r="BR67" s="73" t="str">
        <f t="shared" si="78"/>
        <v/>
      </c>
      <c r="BS67" s="31" t="str">
        <f>IF(OR(BR67="",BR67&lt;&gt;"NEMA"),"",MAX(BS$12:BS66)+1)</f>
        <v/>
      </c>
      <c r="BT67" s="66" t="str">
        <f t="shared" si="79"/>
        <v/>
      </c>
      <c r="BU67" s="47" t="s">
        <v>0</v>
      </c>
      <c r="BV67" s="19" t="str">
        <f t="shared" si="80"/>
        <v/>
      </c>
      <c r="BW67" s="47" t="s">
        <v>0</v>
      </c>
      <c r="BX67" s="82" t="str">
        <f>IF(BK67&lt;&gt;"NEMA","",IF(IFERROR(MATCH(BJ67,BJ$12:BJ66,0),0)&lt;&gt;0,"",BJ67))</f>
        <v/>
      </c>
      <c r="BY67" s="47" t="s">
        <v>0</v>
      </c>
      <c r="BZ67" s="125"/>
      <c r="CA67" s="47" t="s">
        <v>0</v>
      </c>
      <c r="CB67" s="58" t="str">
        <f t="shared" si="81"/>
        <v/>
      </c>
      <c r="CC67" s="31" t="str">
        <f t="shared" si="82"/>
        <v/>
      </c>
      <c r="CD67" s="31" t="str">
        <f>IF(CC67="","",MAX(CD$12:CD66)+1)</f>
        <v/>
      </c>
      <c r="CE67" s="31" t="str">
        <f t="shared" si="22"/>
        <v/>
      </c>
      <c r="CF67" s="31" t="str">
        <f t="shared" si="83"/>
        <v/>
      </c>
      <c r="CG67" s="31" t="str">
        <f>IF(BZ67="","",MAX(CG$12:CG66)+1)</f>
        <v/>
      </c>
      <c r="CH67" s="31" t="str">
        <f t="shared" si="84"/>
        <v/>
      </c>
      <c r="CI67" s="66" t="str">
        <f t="shared" si="85"/>
        <v/>
      </c>
      <c r="CJ67" s="47" t="s">
        <v>0</v>
      </c>
      <c r="CK67" s="73" t="str">
        <f t="shared" si="25"/>
        <v/>
      </c>
      <c r="CL67" s="47"/>
      <c r="CM67" s="19" t="str">
        <f t="shared" si="86"/>
        <v/>
      </c>
      <c r="CN67" s="47" t="s">
        <v>0</v>
      </c>
      <c r="CO67" s="143" t="str">
        <f t="shared" si="87"/>
        <v>OK Jelen</v>
      </c>
      <c r="CP67" s="47" t="s">
        <v>0</v>
      </c>
      <c r="CQ67" s="58" t="str">
        <f t="shared" si="109"/>
        <v>129:16</v>
      </c>
      <c r="CR67" s="73" t="str">
        <f t="shared" si="110"/>
        <v>0</v>
      </c>
      <c r="CS67" s="229" t="str">
        <f t="shared" si="30"/>
        <v/>
      </c>
      <c r="CT67" s="230">
        <f t="shared" si="112"/>
        <v>7756</v>
      </c>
      <c r="CU67" s="163">
        <f t="shared" si="32"/>
        <v>1</v>
      </c>
      <c r="CV67" s="47" t="s">
        <v>0</v>
      </c>
      <c r="CW67" s="222" t="str">
        <f t="shared" si="89"/>
        <v xml:space="preserve">
</v>
      </c>
      <c r="CX67" s="223">
        <f t="shared" si="90"/>
        <v>6</v>
      </c>
      <c r="CY67" s="47" t="s">
        <v>0</v>
      </c>
      <c r="CZ67" s="47"/>
      <c r="DA67" s="47"/>
      <c r="DB67" s="47"/>
      <c r="DC67" s="47" t="s">
        <v>0</v>
      </c>
      <c r="DD67" s="53" t="str">
        <f t="shared" si="103"/>
        <v/>
      </c>
      <c r="DE67" t="s">
        <v>0</v>
      </c>
      <c r="DF67" s="128" t="str">
        <f t="shared" si="104"/>
        <v>M</v>
      </c>
      <c r="DG67" t="s">
        <v>0</v>
      </c>
      <c r="DH67" s="52" t="str">
        <f t="shared" si="105"/>
        <v/>
      </c>
      <c r="DI67" s="66" t="str">
        <f t="shared" si="106"/>
        <v/>
      </c>
      <c r="DJ67" t="s">
        <v>0</v>
      </c>
      <c r="DK67" s="19" t="str">
        <f t="shared" si="107"/>
        <v/>
      </c>
      <c r="DL67" s="47" t="s">
        <v>0</v>
      </c>
      <c r="DM67" s="19" t="str">
        <f t="shared" si="108"/>
        <v/>
      </c>
      <c r="DN67" s="47" t="s">
        <v>0</v>
      </c>
      <c r="DO67" s="52" t="str">
        <f t="shared" si="39"/>
        <v>Miran – Košćica – OK Jelen – M21A</v>
      </c>
      <c r="DP67" s="53">
        <f t="shared" si="40"/>
        <v>168</v>
      </c>
      <c r="DQ67" s="47" t="s">
        <v>0</v>
      </c>
      <c r="DR67" s="52" t="str">
        <f t="shared" si="41"/>
        <v>Miran – Košćica – OK Jelen</v>
      </c>
      <c r="DS67" s="53">
        <f t="shared" si="42"/>
        <v>168</v>
      </c>
      <c r="DT67" s="47" t="s">
        <v>0</v>
      </c>
      <c r="DU67" s="52" t="str">
        <f t="shared" si="43"/>
        <v>Miran – Košćica</v>
      </c>
      <c r="DV67" s="53">
        <f t="shared" si="44"/>
        <v>168</v>
      </c>
      <c r="DW67" s="47" t="s">
        <v>0</v>
      </c>
      <c r="DX67" s="58">
        <f t="shared" si="91"/>
        <v>168</v>
      </c>
      <c r="DY67" s="53" cm="1">
        <f t="array" ref="DY67">IF(DX67&lt;&gt;"",INDEX(regNatjecatelj_id,DX67,0),IF(BD67&lt;&gt;"",BD67,""))</f>
        <v>1082</v>
      </c>
      <c r="DZ67" s="47" t="s">
        <v>0</v>
      </c>
      <c r="EA67" s="58" t="str">
        <f t="shared" si="45"/>
        <v>imepre</v>
      </c>
      <c r="EB67" s="73" t="str">
        <f t="shared" si="46"/>
        <v>klu</v>
      </c>
      <c r="EC67" s="73" t="str">
        <f t="shared" si="47"/>
        <v>kat</v>
      </c>
      <c r="ED67" s="73" t="str">
        <f t="shared" si="48"/>
        <v/>
      </c>
      <c r="EE67" s="66" t="str">
        <f t="shared" si="49"/>
        <v>imepre-klu-kat</v>
      </c>
      <c r="EF67" s="47" t="s">
        <v>0</v>
      </c>
      <c r="EG67" s="58">
        <f>IF(AL67="","",MAX(EG$12:EG66)+1)</f>
        <v>239</v>
      </c>
      <c r="EH67" s="73">
        <f t="shared" si="50"/>
        <v>27</v>
      </c>
      <c r="EI67" s="73">
        <f t="shared" si="92"/>
        <v>1082</v>
      </c>
      <c r="EJ67" s="73">
        <f t="shared" si="51"/>
        <v>7756</v>
      </c>
      <c r="EK67" s="73">
        <f t="shared" si="52"/>
        <v>1</v>
      </c>
      <c r="EL67" s="73">
        <f t="shared" si="93"/>
        <v>1</v>
      </c>
      <c r="EM67" s="73">
        <f t="shared" si="94"/>
        <v>1</v>
      </c>
      <c r="EN67" s="73" t="str">
        <f t="shared" si="55"/>
        <v>0</v>
      </c>
      <c r="EO67" s="73" t="str">
        <f t="shared" si="56"/>
        <v/>
      </c>
      <c r="EP67" s="73" t="str">
        <f t="shared" si="57"/>
        <v/>
      </c>
      <c r="EQ67" s="53" t="str">
        <f t="shared" si="58"/>
        <v/>
      </c>
      <c r="ER67" s="47" t="s">
        <v>0</v>
      </c>
      <c r="ES67" s="19" t="str">
        <f t="shared" si="95"/>
        <v>INSERT INTO rezultat(id,stazakategorija_id,imeprezime_id,vrijeme_sec,status_id,registracija,uparivanje_id,originalstatus_id,imeprezimealias_id,klubalias_id,kategorijaalias_id) VALUES (239,27,1082,7756,1,1,1,0,Null,Null,Null);</v>
      </c>
      <c r="ET67" s="47" t="s">
        <v>0</v>
      </c>
      <c r="EU67" s="19" t="str">
        <f t="shared" si="96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7" s="47" t="s">
        <v>0</v>
      </c>
      <c r="EW67" s="180" t="str">
        <f t="shared" si="60"/>
        <v xml:space="preserve">
INSERT INTO rezultat(id,stazakategorija_id,imeprezime_id,vrijeme_sec,status_id,registracija,uparivanje_id,originalstatus_id,imeprezimealias_id,klubalias_id,kategorijaalias_id) VALUES (239,27,1082,7756,1,1,1,0,Null,Null,Null);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7" s="47" t="s">
        <v>0</v>
      </c>
    </row>
    <row r="68" spans="1:154" x14ac:dyDescent="0.25">
      <c r="A68" t="s">
        <v>0</v>
      </c>
      <c r="B68" s="52" t="str">
        <f>IF(csv!F58="","",csv!T58)</f>
        <v>M21A</v>
      </c>
      <c r="C68" s="31" t="s">
        <v>0</v>
      </c>
      <c r="D68" s="31" t="str">
        <f>IF(csv!F58="","",csv!F58)</f>
        <v>Vacant</v>
      </c>
      <c r="E68" s="31" t="str">
        <f>IF(csv!E58="","",csv!E58)</f>
        <v/>
      </c>
      <c r="F68" s="31" t="s">
        <v>0</v>
      </c>
      <c r="G68" s="73" t="str">
        <f>IF(csv!M58="","",csv!M58)</f>
        <v/>
      </c>
      <c r="H68" s="73" t="str">
        <f>IF(csv!N58="","",csv!N58)</f>
        <v>0</v>
      </c>
      <c r="I68" s="31" t="s">
        <v>0</v>
      </c>
      <c r="J68" s="31" t="str">
        <f>IF(csv!P58="","",csv!P58)</f>
        <v/>
      </c>
      <c r="K68" s="31" t="str">
        <f>IF(csv!Q58="","",csv!Q58)</f>
        <v/>
      </c>
      <c r="L68" s="31" t="s">
        <v>0</v>
      </c>
      <c r="M68" s="66" t="str">
        <f>IF(csv!R58="","",csv!R58)</f>
        <v/>
      </c>
      <c r="N68" s="47" t="s">
        <v>0</v>
      </c>
      <c r="O68" s="246" t="str">
        <f t="shared" si="61"/>
        <v/>
      </c>
      <c r="P68" s="47"/>
      <c r="Q68" s="52" t="str">
        <f t="shared" si="62"/>
        <v>M21A</v>
      </c>
      <c r="R68" s="73">
        <f>IF(Q68="","",IF(COUNTIF(Q$12:Q67,Q68)=0,R67+1,R67))</f>
        <v>5</v>
      </c>
      <c r="S68" s="73">
        <f t="shared" si="63"/>
        <v>101</v>
      </c>
      <c r="T68" s="73">
        <f t="shared" si="1"/>
        <v>13</v>
      </c>
      <c r="U68" s="66" t="str">
        <f t="shared" si="2"/>
        <v>M21A</v>
      </c>
      <c r="V68" s="47" t="s">
        <v>0</v>
      </c>
      <c r="W68" s="222" t="str">
        <f t="shared" si="3"/>
        <v/>
      </c>
      <c r="X68" s="223" t="str">
        <f t="shared" si="4"/>
        <v/>
      </c>
      <c r="Y68" s="47" t="s">
        <v>0</v>
      </c>
      <c r="Z68" s="52" t="str">
        <f t="shared" si="64"/>
        <v/>
      </c>
      <c r="AA68" s="73" t="str">
        <f t="shared" si="5"/>
        <v/>
      </c>
      <c r="AB68" s="31" t="str">
        <f t="shared" si="65"/>
        <v/>
      </c>
      <c r="AC68" s="66" t="str">
        <f>IF(AB68="","",MAX(AC$12:AC67)+1)</f>
        <v/>
      </c>
      <c r="AD68" s="47" t="s">
        <v>0</v>
      </c>
      <c r="AE68" s="125"/>
      <c r="AF68" s="47" t="s">
        <v>0</v>
      </c>
      <c r="AG68" s="19" t="str">
        <f t="shared" si="66"/>
        <v/>
      </c>
      <c r="AH68" s="47" t="s">
        <v>0</v>
      </c>
      <c r="AI68" s="143" t="str">
        <f t="shared" si="67"/>
        <v/>
      </c>
      <c r="AJ68" s="47"/>
      <c r="AK68" s="52" t="str">
        <f t="shared" si="68"/>
        <v/>
      </c>
      <c r="AL68" s="31" t="str">
        <f t="shared" si="69"/>
        <v/>
      </c>
      <c r="AM68" s="73" t="str">
        <f t="shared" si="70"/>
        <v/>
      </c>
      <c r="AN68" s="73" t="str">
        <f t="shared" si="71"/>
        <v/>
      </c>
      <c r="AO68" s="31" t="str">
        <f t="shared" si="8"/>
        <v/>
      </c>
      <c r="AP68" s="66" t="str">
        <f t="shared" si="9"/>
        <v/>
      </c>
      <c r="AQ68" s="47" t="s">
        <v>0</v>
      </c>
      <c r="AR68" s="82" t="str">
        <f t="shared" si="72"/>
        <v/>
      </c>
      <c r="AS68" s="47" t="s">
        <v>0</v>
      </c>
      <c r="AT68" s="19" t="str">
        <f t="shared" si="73"/>
        <v/>
      </c>
      <c r="AU68" s="47" t="s">
        <v>0</v>
      </c>
      <c r="AV68" s="103"/>
      <c r="AW68" s="105"/>
      <c r="AX68" s="47" t="s">
        <v>0</v>
      </c>
      <c r="AY68" s="259" t="str">
        <f t="shared" si="102"/>
        <v/>
      </c>
      <c r="AZ68" s="47" t="s">
        <v>0</v>
      </c>
      <c r="BA68" s="52" t="str">
        <f t="shared" si="11"/>
        <v/>
      </c>
      <c r="BB68" s="73" t="str">
        <f>IF(AV68&amp;AW68="","",MAX(BB$12:BB67)+1)</f>
        <v/>
      </c>
      <c r="BC68" s="272" t="str">
        <f t="shared" si="12"/>
        <v/>
      </c>
      <c r="BD68" s="53" t="str">
        <f>IF(AND(AM68="NEMA",AN68="NEMA",OR(AV68&amp;AW68="",BC68="NEMA")),MAX(BD$12:BD67)+1,"")</f>
        <v/>
      </c>
      <c r="BE68" s="47" t="s">
        <v>0</v>
      </c>
      <c r="BF68" s="52" t="str">
        <f t="shared" si="74"/>
        <v/>
      </c>
      <c r="BG68" s="66" t="str">
        <f t="shared" si="75"/>
        <v/>
      </c>
      <c r="BH68" s="47" t="s">
        <v>0</v>
      </c>
      <c r="BI68" s="52" t="str">
        <f t="shared" si="15"/>
        <v/>
      </c>
      <c r="BJ68" s="31" t="str">
        <f t="shared" si="16"/>
        <v/>
      </c>
      <c r="BK68" s="73" t="str">
        <f t="shared" si="17"/>
        <v/>
      </c>
      <c r="BL68" s="31" t="str" cm="1">
        <f t="array" ref="BL68">IF(BK68="",""&amp;BJ68,IF(BK68="NEMA",BJ68,INDEX(regKlub_naziv,MATCH(INDEX(regKlub_alias_klubId,BK68),regKlub_id,0))))</f>
        <v/>
      </c>
      <c r="BM68" s="31" t="str" cm="1">
        <f t="array" ref="BM68">IFERROR(""&amp;INDEX(regNatjecatelj_klub,DV68),"")</f>
        <v/>
      </c>
      <c r="BN68" s="73" t="str">
        <f t="shared" si="76"/>
        <v/>
      </c>
      <c r="BO68" s="66" t="str">
        <f t="shared" si="77"/>
        <v/>
      </c>
      <c r="BP68" s="47" t="s">
        <v>0</v>
      </c>
      <c r="BQ68" s="52" t="str">
        <f>IF(X68&lt;&gt;"NEMA","",IF(IFERROR(MATCH(W68,W$12:W67,0),0)&lt;&gt;0,"",W68))</f>
        <v/>
      </c>
      <c r="BR68" s="73" t="str">
        <f t="shared" si="78"/>
        <v/>
      </c>
      <c r="BS68" s="31" t="str">
        <f>IF(OR(BR68="",BR68&lt;&gt;"NEMA"),"",MAX(BS$12:BS67)+1)</f>
        <v/>
      </c>
      <c r="BT68" s="66" t="str">
        <f t="shared" si="79"/>
        <v/>
      </c>
      <c r="BU68" s="47" t="s">
        <v>0</v>
      </c>
      <c r="BV68" s="19" t="str">
        <f t="shared" si="80"/>
        <v/>
      </c>
      <c r="BW68" s="47" t="s">
        <v>0</v>
      </c>
      <c r="BX68" s="82" t="str">
        <f>IF(BK68&lt;&gt;"NEMA","",IF(IFERROR(MATCH(BJ68,BJ$12:BJ67,0),0)&lt;&gt;0,"",BJ68))</f>
        <v/>
      </c>
      <c r="BY68" s="47" t="s">
        <v>0</v>
      </c>
      <c r="BZ68" s="125"/>
      <c r="CA68" s="47" t="s">
        <v>0</v>
      </c>
      <c r="CB68" s="58" t="str">
        <f t="shared" si="81"/>
        <v/>
      </c>
      <c r="CC68" s="31" t="str">
        <f t="shared" si="82"/>
        <v/>
      </c>
      <c r="CD68" s="31" t="str">
        <f>IF(CC68="","",MAX(CD$12:CD67)+1)</f>
        <v/>
      </c>
      <c r="CE68" s="31" t="str">
        <f t="shared" si="22"/>
        <v/>
      </c>
      <c r="CF68" s="31" t="str">
        <f t="shared" si="83"/>
        <v/>
      </c>
      <c r="CG68" s="31" t="str">
        <f>IF(BZ68="","",MAX(CG$12:CG67)+1)</f>
        <v/>
      </c>
      <c r="CH68" s="31" t="str">
        <f t="shared" si="84"/>
        <v/>
      </c>
      <c r="CI68" s="66" t="str">
        <f t="shared" si="85"/>
        <v/>
      </c>
      <c r="CJ68" s="47" t="s">
        <v>0</v>
      </c>
      <c r="CK68" s="73" t="str">
        <f t="shared" si="25"/>
        <v/>
      </c>
      <c r="CL68" s="47"/>
      <c r="CM68" s="19" t="str">
        <f t="shared" si="86"/>
        <v/>
      </c>
      <c r="CN68" s="47" t="s">
        <v>0</v>
      </c>
      <c r="CO68" s="143" t="str">
        <f t="shared" si="87"/>
        <v/>
      </c>
      <c r="CP68" s="47" t="s">
        <v>0</v>
      </c>
      <c r="CQ68" s="58" t="str">
        <f t="shared" si="109"/>
        <v/>
      </c>
      <c r="CR68" s="73" t="str">
        <f t="shared" si="110"/>
        <v>0</v>
      </c>
      <c r="CS68" s="229" t="str">
        <f t="shared" si="30"/>
        <v/>
      </c>
      <c r="CT68" s="230" t="str">
        <f t="shared" si="112"/>
        <v/>
      </c>
      <c r="CU68" s="163" t="str">
        <f t="shared" si="32"/>
        <v/>
      </c>
      <c r="CV68" s="47" t="s">
        <v>0</v>
      </c>
      <c r="CW68" s="222" t="str">
        <f t="shared" si="89"/>
        <v xml:space="preserve">
</v>
      </c>
      <c r="CX68" s="223" t="str">
        <f t="shared" si="90"/>
        <v/>
      </c>
      <c r="CY68" s="47" t="s">
        <v>0</v>
      </c>
      <c r="CZ68" s="47"/>
      <c r="DA68" s="47"/>
      <c r="DB68" s="47"/>
      <c r="DC68" s="47" t="s">
        <v>0</v>
      </c>
      <c r="DD68" s="53" t="str">
        <f t="shared" si="103"/>
        <v/>
      </c>
      <c r="DE68" t="s">
        <v>0</v>
      </c>
      <c r="DF68" s="128" t="str">
        <f t="shared" si="104"/>
        <v>M</v>
      </c>
      <c r="DG68" t="s">
        <v>0</v>
      </c>
      <c r="DH68" s="52" t="str">
        <f t="shared" si="105"/>
        <v/>
      </c>
      <c r="DI68" s="66" t="str">
        <f t="shared" si="106"/>
        <v/>
      </c>
      <c r="DJ68" t="s">
        <v>0</v>
      </c>
      <c r="DK68" s="19" t="str">
        <f t="shared" si="107"/>
        <v/>
      </c>
      <c r="DL68" s="47" t="s">
        <v>0</v>
      </c>
      <c r="DM68" s="19" t="str">
        <f t="shared" si="108"/>
        <v/>
      </c>
      <c r="DN68" s="47" t="s">
        <v>0</v>
      </c>
      <c r="DO68" s="52" t="str">
        <f t="shared" si="39"/>
        <v/>
      </c>
      <c r="DP68" s="53" t="str">
        <f t="shared" si="40"/>
        <v/>
      </c>
      <c r="DQ68" s="47" t="s">
        <v>0</v>
      </c>
      <c r="DR68" s="52" t="str">
        <f t="shared" si="41"/>
        <v/>
      </c>
      <c r="DS68" s="53" t="str">
        <f t="shared" si="42"/>
        <v/>
      </c>
      <c r="DT68" s="47" t="s">
        <v>0</v>
      </c>
      <c r="DU68" s="52" t="str">
        <f t="shared" si="43"/>
        <v/>
      </c>
      <c r="DV68" s="53" t="str">
        <f t="shared" si="44"/>
        <v/>
      </c>
      <c r="DW68" s="47" t="s">
        <v>0</v>
      </c>
      <c r="DX68" s="58" t="str">
        <f t="shared" si="91"/>
        <v/>
      </c>
      <c r="DY68" s="53" t="str" cm="1">
        <f t="array" ref="DY68">IF(DX68&lt;&gt;"",INDEX(regNatjecatelj_id,DX68,0),IF(BD68&lt;&gt;"",BD68,""))</f>
        <v/>
      </c>
      <c r="DZ68" s="47" t="s">
        <v>0</v>
      </c>
      <c r="EA68" s="58" t="str">
        <f t="shared" si="45"/>
        <v/>
      </c>
      <c r="EB68" s="73" t="str">
        <f t="shared" si="46"/>
        <v/>
      </c>
      <c r="EC68" s="73" t="str">
        <f t="shared" si="47"/>
        <v/>
      </c>
      <c r="ED68" s="73" t="str">
        <f t="shared" si="48"/>
        <v/>
      </c>
      <c r="EE68" s="66" t="str">
        <f t="shared" si="49"/>
        <v/>
      </c>
      <c r="EF68" s="47" t="s">
        <v>0</v>
      </c>
      <c r="EG68" s="58" t="str">
        <f>IF(AL68="","",MAX(EG$12:EG67)+1)</f>
        <v/>
      </c>
      <c r="EH68" s="73" t="str">
        <f t="shared" si="50"/>
        <v/>
      </c>
      <c r="EI68" s="73" t="str">
        <f t="shared" si="92"/>
        <v/>
      </c>
      <c r="EJ68" s="73" t="str">
        <f t="shared" si="51"/>
        <v/>
      </c>
      <c r="EK68" s="73" t="str">
        <f t="shared" si="52"/>
        <v/>
      </c>
      <c r="EL68" s="73" t="str">
        <f t="shared" si="93"/>
        <v/>
      </c>
      <c r="EM68" s="73" t="str">
        <f t="shared" si="94"/>
        <v/>
      </c>
      <c r="EN68" s="73" t="str">
        <f t="shared" si="55"/>
        <v/>
      </c>
      <c r="EO68" s="73" t="str">
        <f t="shared" si="56"/>
        <v/>
      </c>
      <c r="EP68" s="73" t="str">
        <f t="shared" si="57"/>
        <v/>
      </c>
      <c r="EQ68" s="53" t="str">
        <f t="shared" si="58"/>
        <v/>
      </c>
      <c r="ER68" s="47" t="s">
        <v>0</v>
      </c>
      <c r="ES68" s="19" t="str">
        <f t="shared" si="95"/>
        <v/>
      </c>
      <c r="ET68" s="47" t="s">
        <v>0</v>
      </c>
      <c r="EU68" s="19" t="str">
        <f t="shared" si="96"/>
        <v/>
      </c>
      <c r="EV68" s="47" t="s">
        <v>0</v>
      </c>
      <c r="EW68" s="180" t="str">
        <f t="shared" si="60"/>
        <v/>
      </c>
      <c r="EX68" s="47" t="s">
        <v>0</v>
      </c>
    </row>
    <row r="69" spans="1:154" x14ac:dyDescent="0.25">
      <c r="A69" t="s">
        <v>0</v>
      </c>
      <c r="B69" s="52" t="str">
        <f>IF(csv!F59="","",csv!T59)</f>
        <v>M21A</v>
      </c>
      <c r="C69" s="31" t="s">
        <v>0</v>
      </c>
      <c r="D69" s="31" t="str">
        <f>IF(csv!F59="","",csv!F59)</f>
        <v>Vacant</v>
      </c>
      <c r="E69" s="31" t="str">
        <f>IF(csv!E59="","",csv!E59)</f>
        <v/>
      </c>
      <c r="F69" s="31" t="s">
        <v>0</v>
      </c>
      <c r="G69" s="73" t="str">
        <f>IF(csv!M59="","",csv!M59)</f>
        <v/>
      </c>
      <c r="H69" s="73" t="str">
        <f>IF(csv!N59="","",csv!N59)</f>
        <v>0</v>
      </c>
      <c r="I69" s="31" t="s">
        <v>0</v>
      </c>
      <c r="J69" s="31" t="str">
        <f>IF(csv!P59="","",csv!P59)</f>
        <v/>
      </c>
      <c r="K69" s="31" t="str">
        <f>IF(csv!Q59="","",csv!Q59)</f>
        <v/>
      </c>
      <c r="L69" s="31" t="s">
        <v>0</v>
      </c>
      <c r="M69" s="66" t="str">
        <f>IF(csv!R59="","",csv!R59)</f>
        <v/>
      </c>
      <c r="N69" s="47" t="s">
        <v>0</v>
      </c>
      <c r="O69" s="246" t="str">
        <f t="shared" si="61"/>
        <v/>
      </c>
      <c r="P69" s="47"/>
      <c r="Q69" s="52" t="str">
        <f t="shared" si="62"/>
        <v>M21A</v>
      </c>
      <c r="R69" s="73">
        <f>IF(Q69="","",IF(COUNTIF(Q$12:Q68,Q69)=0,R68+1,R68))</f>
        <v>5</v>
      </c>
      <c r="S69" s="73">
        <f t="shared" si="63"/>
        <v>101</v>
      </c>
      <c r="T69" s="73">
        <f t="shared" si="1"/>
        <v>13</v>
      </c>
      <c r="U69" s="66" t="str">
        <f t="shared" si="2"/>
        <v>M21A</v>
      </c>
      <c r="V69" s="47" t="s">
        <v>0</v>
      </c>
      <c r="W69" s="222" t="str">
        <f t="shared" si="3"/>
        <v/>
      </c>
      <c r="X69" s="223" t="str">
        <f t="shared" si="4"/>
        <v/>
      </c>
      <c r="Y69" s="47" t="s">
        <v>0</v>
      </c>
      <c r="Z69" s="52" t="str">
        <f t="shared" si="64"/>
        <v/>
      </c>
      <c r="AA69" s="73" t="str">
        <f t="shared" si="5"/>
        <v/>
      </c>
      <c r="AB69" s="31" t="str">
        <f t="shared" si="65"/>
        <v/>
      </c>
      <c r="AC69" s="66" t="str">
        <f>IF(AB69="","",MAX(AC$12:AC68)+1)</f>
        <v/>
      </c>
      <c r="AD69" s="47" t="s">
        <v>0</v>
      </c>
      <c r="AE69" s="125"/>
      <c r="AF69" s="47" t="s">
        <v>0</v>
      </c>
      <c r="AG69" s="19" t="str">
        <f t="shared" si="66"/>
        <v/>
      </c>
      <c r="AH69" s="47" t="s">
        <v>0</v>
      </c>
      <c r="AI69" s="143" t="str">
        <f t="shared" si="67"/>
        <v/>
      </c>
      <c r="AJ69" s="47"/>
      <c r="AK69" s="52" t="str">
        <f t="shared" si="68"/>
        <v/>
      </c>
      <c r="AL69" s="31" t="str">
        <f t="shared" si="69"/>
        <v/>
      </c>
      <c r="AM69" s="73" t="str">
        <f t="shared" si="70"/>
        <v/>
      </c>
      <c r="AN69" s="73" t="str">
        <f t="shared" si="71"/>
        <v/>
      </c>
      <c r="AO69" s="31" t="str">
        <f t="shared" si="8"/>
        <v/>
      </c>
      <c r="AP69" s="66" t="str">
        <f t="shared" si="9"/>
        <v/>
      </c>
      <c r="AQ69" s="47" t="s">
        <v>0</v>
      </c>
      <c r="AR69" s="82" t="str">
        <f t="shared" si="72"/>
        <v/>
      </c>
      <c r="AS69" s="47" t="s">
        <v>0</v>
      </c>
      <c r="AT69" s="19" t="str">
        <f t="shared" si="73"/>
        <v/>
      </c>
      <c r="AU69" s="47" t="s">
        <v>0</v>
      </c>
      <c r="AV69" s="103"/>
      <c r="AW69" s="105"/>
      <c r="AX69" s="47" t="s">
        <v>0</v>
      </c>
      <c r="AY69" s="259" t="str">
        <f t="shared" si="102"/>
        <v/>
      </c>
      <c r="AZ69" s="47" t="s">
        <v>0</v>
      </c>
      <c r="BA69" s="52" t="str">
        <f t="shared" si="11"/>
        <v/>
      </c>
      <c r="BB69" s="73" t="str">
        <f>IF(AV69&amp;AW69="","",MAX(BB$12:BB68)+1)</f>
        <v/>
      </c>
      <c r="BC69" s="272" t="str">
        <f t="shared" si="12"/>
        <v/>
      </c>
      <c r="BD69" s="53" t="str">
        <f>IF(AND(AM69="NEMA",AN69="NEMA",OR(AV69&amp;AW69="",BC69="NEMA")),MAX(BD$12:BD68)+1,"")</f>
        <v/>
      </c>
      <c r="BE69" s="47" t="s">
        <v>0</v>
      </c>
      <c r="BF69" s="52" t="str">
        <f t="shared" si="74"/>
        <v/>
      </c>
      <c r="BG69" s="66" t="str">
        <f t="shared" si="75"/>
        <v/>
      </c>
      <c r="BH69" s="47" t="s">
        <v>0</v>
      </c>
      <c r="BI69" s="52" t="str">
        <f t="shared" si="15"/>
        <v/>
      </c>
      <c r="BJ69" s="31" t="str">
        <f t="shared" si="16"/>
        <v/>
      </c>
      <c r="BK69" s="73" t="str">
        <f t="shared" si="17"/>
        <v/>
      </c>
      <c r="BL69" s="31" t="str" cm="1">
        <f t="array" ref="BL69">IF(BK69="",""&amp;BJ69,IF(BK69="NEMA",BJ69,INDEX(regKlub_naziv,MATCH(INDEX(regKlub_alias_klubId,BK69),regKlub_id,0))))</f>
        <v/>
      </c>
      <c r="BM69" s="31" t="str" cm="1">
        <f t="array" ref="BM69">IFERROR(""&amp;INDEX(regNatjecatelj_klub,DV69),"")</f>
        <v/>
      </c>
      <c r="BN69" s="73" t="str">
        <f t="shared" si="76"/>
        <v/>
      </c>
      <c r="BO69" s="66" t="str">
        <f t="shared" si="77"/>
        <v/>
      </c>
      <c r="BP69" s="47" t="s">
        <v>0</v>
      </c>
      <c r="BQ69" s="52" t="str">
        <f>IF(X69&lt;&gt;"NEMA","",IF(IFERROR(MATCH(W69,W$12:W68,0),0)&lt;&gt;0,"",W69))</f>
        <v/>
      </c>
      <c r="BR69" s="73" t="str">
        <f t="shared" si="78"/>
        <v/>
      </c>
      <c r="BS69" s="31" t="str">
        <f>IF(OR(BR69="",BR69&lt;&gt;"NEMA"),"",MAX(BS$12:BS68)+1)</f>
        <v/>
      </c>
      <c r="BT69" s="66" t="str">
        <f t="shared" si="79"/>
        <v/>
      </c>
      <c r="BU69" s="47" t="s">
        <v>0</v>
      </c>
      <c r="BV69" s="19" t="str">
        <f t="shared" si="80"/>
        <v/>
      </c>
      <c r="BW69" s="47" t="s">
        <v>0</v>
      </c>
      <c r="BX69" s="82" t="str">
        <f>IF(BK69&lt;&gt;"NEMA","",IF(IFERROR(MATCH(BJ69,BJ$12:BJ68,0),0)&lt;&gt;0,"",BJ69))</f>
        <v/>
      </c>
      <c r="BY69" s="47" t="s">
        <v>0</v>
      </c>
      <c r="BZ69" s="125"/>
      <c r="CA69" s="47" t="s">
        <v>0</v>
      </c>
      <c r="CB69" s="58" t="str">
        <f t="shared" si="81"/>
        <v/>
      </c>
      <c r="CC69" s="31" t="str">
        <f t="shared" si="82"/>
        <v/>
      </c>
      <c r="CD69" s="31" t="str">
        <f>IF(CC69="","",MAX(CD$12:CD68)+1)</f>
        <v/>
      </c>
      <c r="CE69" s="31" t="str">
        <f t="shared" si="22"/>
        <v/>
      </c>
      <c r="CF69" s="31" t="str">
        <f t="shared" si="83"/>
        <v/>
      </c>
      <c r="CG69" s="31" t="str">
        <f>IF(BZ69="","",MAX(CG$12:CG68)+1)</f>
        <v/>
      </c>
      <c r="CH69" s="31" t="str">
        <f t="shared" si="84"/>
        <v/>
      </c>
      <c r="CI69" s="66" t="str">
        <f t="shared" si="85"/>
        <v/>
      </c>
      <c r="CJ69" s="47" t="s">
        <v>0</v>
      </c>
      <c r="CK69" s="73" t="str">
        <f t="shared" si="25"/>
        <v/>
      </c>
      <c r="CL69" s="47"/>
      <c r="CM69" s="19" t="str">
        <f t="shared" si="86"/>
        <v/>
      </c>
      <c r="CN69" s="47" t="s">
        <v>0</v>
      </c>
      <c r="CO69" s="143" t="str">
        <f t="shared" si="87"/>
        <v/>
      </c>
      <c r="CP69" s="47" t="s">
        <v>0</v>
      </c>
      <c r="CQ69" s="58" t="str">
        <f t="shared" si="109"/>
        <v/>
      </c>
      <c r="CR69" s="73" t="str">
        <f t="shared" si="110"/>
        <v>0</v>
      </c>
      <c r="CS69" s="229" t="str">
        <f t="shared" si="30"/>
        <v/>
      </c>
      <c r="CT69" s="230" t="str">
        <f t="shared" si="112"/>
        <v/>
      </c>
      <c r="CU69" s="163" t="str">
        <f t="shared" si="32"/>
        <v/>
      </c>
      <c r="CV69" s="47" t="s">
        <v>0</v>
      </c>
      <c r="CW69" s="222" t="str">
        <f t="shared" si="89"/>
        <v xml:space="preserve">
</v>
      </c>
      <c r="CX69" s="223" t="str">
        <f t="shared" si="90"/>
        <v/>
      </c>
      <c r="CY69" s="47" t="s">
        <v>0</v>
      </c>
      <c r="CZ69" s="47"/>
      <c r="DA69" s="47"/>
      <c r="DB69" s="47"/>
      <c r="DC69" s="47" t="s">
        <v>0</v>
      </c>
      <c r="DD69" s="53" t="str">
        <f t="shared" si="103"/>
        <v/>
      </c>
      <c r="DE69" t="s">
        <v>0</v>
      </c>
      <c r="DF69" s="128" t="str">
        <f t="shared" si="104"/>
        <v>M</v>
      </c>
      <c r="DG69" t="s">
        <v>0</v>
      </c>
      <c r="DH69" s="52" t="str">
        <f t="shared" si="105"/>
        <v/>
      </c>
      <c r="DI69" s="66" t="str">
        <f t="shared" si="106"/>
        <v/>
      </c>
      <c r="DJ69" t="s">
        <v>0</v>
      </c>
      <c r="DK69" s="19" t="str">
        <f t="shared" si="107"/>
        <v/>
      </c>
      <c r="DL69" s="47" t="s">
        <v>0</v>
      </c>
      <c r="DM69" s="19" t="str">
        <f t="shared" si="108"/>
        <v/>
      </c>
      <c r="DN69" s="47" t="s">
        <v>0</v>
      </c>
      <c r="DO69" s="52" t="str">
        <f t="shared" si="39"/>
        <v/>
      </c>
      <c r="DP69" s="53" t="str">
        <f t="shared" si="40"/>
        <v/>
      </c>
      <c r="DQ69" s="47" t="s">
        <v>0</v>
      </c>
      <c r="DR69" s="52" t="str">
        <f t="shared" si="41"/>
        <v/>
      </c>
      <c r="DS69" s="53" t="str">
        <f t="shared" si="42"/>
        <v/>
      </c>
      <c r="DT69" s="47" t="s">
        <v>0</v>
      </c>
      <c r="DU69" s="52" t="str">
        <f t="shared" si="43"/>
        <v/>
      </c>
      <c r="DV69" s="53" t="str">
        <f t="shared" si="44"/>
        <v/>
      </c>
      <c r="DW69" s="47" t="s">
        <v>0</v>
      </c>
      <c r="DX69" s="58" t="str">
        <f t="shared" si="91"/>
        <v/>
      </c>
      <c r="DY69" s="53" t="str" cm="1">
        <f t="array" ref="DY69">IF(DX69&lt;&gt;"",INDEX(regNatjecatelj_id,DX69,0),IF(BD69&lt;&gt;"",BD69,""))</f>
        <v/>
      </c>
      <c r="DZ69" s="47" t="s">
        <v>0</v>
      </c>
      <c r="EA69" s="58" t="str">
        <f t="shared" si="45"/>
        <v/>
      </c>
      <c r="EB69" s="73" t="str">
        <f t="shared" si="46"/>
        <v/>
      </c>
      <c r="EC69" s="73" t="str">
        <f t="shared" si="47"/>
        <v/>
      </c>
      <c r="ED69" s="73" t="str">
        <f t="shared" si="48"/>
        <v/>
      </c>
      <c r="EE69" s="66" t="str">
        <f t="shared" si="49"/>
        <v/>
      </c>
      <c r="EF69" s="47" t="s">
        <v>0</v>
      </c>
      <c r="EG69" s="58" t="str">
        <f>IF(AL69="","",MAX(EG$12:EG68)+1)</f>
        <v/>
      </c>
      <c r="EH69" s="73" t="str">
        <f t="shared" si="50"/>
        <v/>
      </c>
      <c r="EI69" s="73" t="str">
        <f t="shared" si="92"/>
        <v/>
      </c>
      <c r="EJ69" s="73" t="str">
        <f t="shared" si="51"/>
        <v/>
      </c>
      <c r="EK69" s="73" t="str">
        <f t="shared" si="52"/>
        <v/>
      </c>
      <c r="EL69" s="73" t="str">
        <f t="shared" si="93"/>
        <v/>
      </c>
      <c r="EM69" s="73" t="str">
        <f t="shared" si="94"/>
        <v/>
      </c>
      <c r="EN69" s="73" t="str">
        <f t="shared" si="55"/>
        <v/>
      </c>
      <c r="EO69" s="73" t="str">
        <f t="shared" si="56"/>
        <v/>
      </c>
      <c r="EP69" s="73" t="str">
        <f t="shared" si="57"/>
        <v/>
      </c>
      <c r="EQ69" s="53" t="str">
        <f t="shared" si="58"/>
        <v/>
      </c>
      <c r="ER69" s="47" t="s">
        <v>0</v>
      </c>
      <c r="ES69" s="19" t="str">
        <f t="shared" si="95"/>
        <v/>
      </c>
      <c r="ET69" s="47" t="s">
        <v>0</v>
      </c>
      <c r="EU69" s="19" t="str">
        <f t="shared" si="96"/>
        <v/>
      </c>
      <c r="EV69" s="47" t="s">
        <v>0</v>
      </c>
      <c r="EW69" s="180" t="str">
        <f t="shared" si="60"/>
        <v/>
      </c>
      <c r="EX69" s="47" t="s">
        <v>0</v>
      </c>
    </row>
    <row r="70" spans="1:154" x14ac:dyDescent="0.25">
      <c r="A70" t="s">
        <v>0</v>
      </c>
      <c r="B70" s="52" t="str">
        <f>IF(csv!F60="","",csv!T60)</f>
        <v>M21A</v>
      </c>
      <c r="C70" s="31" t="s">
        <v>0</v>
      </c>
      <c r="D70" s="31" t="str">
        <f>IF(csv!F60="","",csv!F60)</f>
        <v>Luka</v>
      </c>
      <c r="E70" s="31" t="str">
        <f>IF(csv!E60="","",csv!E60)</f>
        <v>Filetin</v>
      </c>
      <c r="F70" s="31" t="s">
        <v>0</v>
      </c>
      <c r="G70" s="73" t="str">
        <f>IF(csv!M60="","",csv!M60)</f>
        <v/>
      </c>
      <c r="H70" s="73" t="str">
        <f>IF(csv!N60="","",csv!N60)</f>
        <v>1</v>
      </c>
      <c r="I70" s="31" t="s">
        <v>0</v>
      </c>
      <c r="J70" s="31" t="str">
        <f>IF(csv!P60="","",csv!P60)</f>
        <v>KAP</v>
      </c>
      <c r="K70" s="31" t="str">
        <f>IF(csv!Q60="","",csv!Q60)</f>
        <v>OK Kapela</v>
      </c>
      <c r="L70" s="31" t="s">
        <v>0</v>
      </c>
      <c r="M70" s="66" t="str">
        <f>IF(csv!R60="","",csv!R60)</f>
        <v>CRO</v>
      </c>
      <c r="N70" s="47" t="s">
        <v>0</v>
      </c>
      <c r="O70" s="246" t="str">
        <f t="shared" si="61"/>
        <v>ok</v>
      </c>
      <c r="P70" s="47"/>
      <c r="Q70" s="52" t="str">
        <f t="shared" si="62"/>
        <v>M21A</v>
      </c>
      <c r="R70" s="73">
        <f>IF(Q70="","",IF(COUNTIF(Q$12:Q69,Q70)=0,R69+1,R69))</f>
        <v>5</v>
      </c>
      <c r="S70" s="73">
        <f t="shared" si="63"/>
        <v>101</v>
      </c>
      <c r="T70" s="73">
        <f t="shared" si="1"/>
        <v>13</v>
      </c>
      <c r="U70" s="66" t="str">
        <f t="shared" si="2"/>
        <v>M21A</v>
      </c>
      <c r="V70" s="47" t="s">
        <v>0</v>
      </c>
      <c r="W70" s="222" t="str">
        <f t="shared" si="3"/>
        <v>M21A</v>
      </c>
      <c r="X70" s="223">
        <f t="shared" si="4"/>
        <v>27</v>
      </c>
      <c r="Y70" s="47" t="s">
        <v>0</v>
      </c>
      <c r="Z70" s="52" t="str">
        <f t="shared" si="64"/>
        <v>CRO</v>
      </c>
      <c r="AA70" s="73">
        <f t="shared" si="5"/>
        <v>1</v>
      </c>
      <c r="AB70" s="31" t="str">
        <f t="shared" si="65"/>
        <v/>
      </c>
      <c r="AC70" s="66" t="str">
        <f>IF(AB70="","",MAX(AC$12:AC69)+1)</f>
        <v/>
      </c>
      <c r="AD70" s="47" t="s">
        <v>0</v>
      </c>
      <c r="AE70" s="125"/>
      <c r="AF70" s="47" t="s">
        <v>0</v>
      </c>
      <c r="AG70" s="19" t="str">
        <f t="shared" si="66"/>
        <v/>
      </c>
      <c r="AH70" s="47" t="s">
        <v>0</v>
      </c>
      <c r="AI70" s="143" t="str">
        <f t="shared" si="67"/>
        <v>CRO</v>
      </c>
      <c r="AJ70" s="47"/>
      <c r="AK70" s="52" t="str">
        <f t="shared" si="68"/>
        <v>Luka</v>
      </c>
      <c r="AL70" s="31" t="str">
        <f t="shared" si="69"/>
        <v>Filetin</v>
      </c>
      <c r="AM70" s="73">
        <f t="shared" si="70"/>
        <v>1195</v>
      </c>
      <c r="AN70" s="73" t="str">
        <f t="shared" si="71"/>
        <v/>
      </c>
      <c r="AO70" s="31" t="str">
        <f t="shared" si="8"/>
        <v>Luka</v>
      </c>
      <c r="AP70" s="66" t="str">
        <f t="shared" si="9"/>
        <v>Filetin</v>
      </c>
      <c r="AQ70" s="47" t="s">
        <v>0</v>
      </c>
      <c r="AR70" s="82" t="str">
        <f t="shared" si="72"/>
        <v/>
      </c>
      <c r="AS70" s="47" t="s">
        <v>0</v>
      </c>
      <c r="AT70" s="19" t="str">
        <f t="shared" si="73"/>
        <v/>
      </c>
      <c r="AU70" s="47" t="s">
        <v>0</v>
      </c>
      <c r="AV70" s="103"/>
      <c r="AW70" s="105"/>
      <c r="AX70" s="47" t="s">
        <v>0</v>
      </c>
      <c r="AY70" s="259" t="str">
        <f t="shared" si="102"/>
        <v/>
      </c>
      <c r="AZ70" s="47" t="s">
        <v>0</v>
      </c>
      <c r="BA70" s="52" t="str">
        <f t="shared" si="11"/>
        <v/>
      </c>
      <c r="BB70" s="73" t="str">
        <f>IF(AV70&amp;AW70="","",MAX(BB$12:BB69)+1)</f>
        <v/>
      </c>
      <c r="BC70" s="272" t="str">
        <f t="shared" si="12"/>
        <v/>
      </c>
      <c r="BD70" s="53" t="str">
        <f>IF(AND(AM70="NEMA",AN70="NEMA",OR(AV70&amp;AW70="",BC70="NEMA")),MAX(BD$12:BD69)+1,"")</f>
        <v/>
      </c>
      <c r="BE70" s="47" t="s">
        <v>0</v>
      </c>
      <c r="BF70" s="52" t="str">
        <f t="shared" si="74"/>
        <v>Luka</v>
      </c>
      <c r="BG70" s="66" t="str">
        <f t="shared" si="75"/>
        <v>Filetin</v>
      </c>
      <c r="BH70" s="47" t="s">
        <v>0</v>
      </c>
      <c r="BI70" s="52" t="str">
        <f t="shared" si="15"/>
        <v>KAP</v>
      </c>
      <c r="BJ70" s="31" t="str">
        <f t="shared" si="16"/>
        <v>OK Kapela</v>
      </c>
      <c r="BK70" s="73" t="str">
        <f t="shared" si="17"/>
        <v/>
      </c>
      <c r="BL70" s="31" t="str" cm="1">
        <f t="array" ref="BL70">IF(BK70="",""&amp;BJ70,IF(BK70="NEMA",BJ70,INDEX(regKlub_naziv,MATCH(INDEX(regKlub_alias_klubId,BK70),regKlub_id,0))))</f>
        <v>OK Kapela</v>
      </c>
      <c r="BM70" s="31" t="str" cm="1">
        <f t="array" ref="BM70">IFERROR(""&amp;INDEX(regNatjecatelj_klub,DV70),"")</f>
        <v>OK Kapela</v>
      </c>
      <c r="BN70" s="73" t="str">
        <f t="shared" si="76"/>
        <v/>
      </c>
      <c r="BO70" s="66" t="str">
        <f t="shared" si="77"/>
        <v>OK Kapela</v>
      </c>
      <c r="BP70" s="47" t="s">
        <v>0</v>
      </c>
      <c r="BQ70" s="52" t="str">
        <f>IF(X70&lt;&gt;"NEMA","",IF(IFERROR(MATCH(W70,W$12:W69,0),0)&lt;&gt;0,"",W70))</f>
        <v/>
      </c>
      <c r="BR70" s="73" t="str">
        <f t="shared" si="78"/>
        <v/>
      </c>
      <c r="BS70" s="31" t="str">
        <f>IF(OR(BR70="",BR70&lt;&gt;"NEMA"),"",MAX(BS$12:BS69)+1)</f>
        <v/>
      </c>
      <c r="BT70" s="66" t="str">
        <f t="shared" si="79"/>
        <v/>
      </c>
      <c r="BU70" s="47" t="s">
        <v>0</v>
      </c>
      <c r="BV70" s="19" t="str">
        <f t="shared" si="80"/>
        <v/>
      </c>
      <c r="BW70" s="47" t="s">
        <v>0</v>
      </c>
      <c r="BX70" s="82" t="str">
        <f>IF(BK70&lt;&gt;"NEMA","",IF(IFERROR(MATCH(BJ70,BJ$12:BJ69,0),0)&lt;&gt;0,"",BJ70))</f>
        <v/>
      </c>
      <c r="BY70" s="47" t="s">
        <v>0</v>
      </c>
      <c r="BZ70" s="125"/>
      <c r="CA70" s="47" t="s">
        <v>0</v>
      </c>
      <c r="CB70" s="58" t="str">
        <f t="shared" si="81"/>
        <v/>
      </c>
      <c r="CC70" s="31" t="str">
        <f t="shared" si="82"/>
        <v/>
      </c>
      <c r="CD70" s="31" t="str">
        <f>IF(CC70="","",MAX(CD$12:CD69)+1)</f>
        <v/>
      </c>
      <c r="CE70" s="31" t="str">
        <f t="shared" si="22"/>
        <v/>
      </c>
      <c r="CF70" s="31" t="str">
        <f t="shared" si="83"/>
        <v/>
      </c>
      <c r="CG70" s="31" t="str">
        <f>IF(BZ70="","",MAX(CG$12:CG69)+1)</f>
        <v/>
      </c>
      <c r="CH70" s="31" t="str">
        <f t="shared" si="84"/>
        <v/>
      </c>
      <c r="CI70" s="66" t="str">
        <f t="shared" si="85"/>
        <v/>
      </c>
      <c r="CJ70" s="47" t="s">
        <v>0</v>
      </c>
      <c r="CK70" s="73" t="str">
        <f t="shared" si="25"/>
        <v/>
      </c>
      <c r="CL70" s="47"/>
      <c r="CM70" s="19" t="str">
        <f t="shared" si="86"/>
        <v/>
      </c>
      <c r="CN70" s="47" t="s">
        <v>0</v>
      </c>
      <c r="CO70" s="143" t="str">
        <f t="shared" si="87"/>
        <v>OK Kapela</v>
      </c>
      <c r="CP70" s="47" t="s">
        <v>0</v>
      </c>
      <c r="CQ70" s="58" t="str">
        <f t="shared" si="109"/>
        <v/>
      </c>
      <c r="CR70" s="73" t="str">
        <f t="shared" si="110"/>
        <v>1</v>
      </c>
      <c r="CS70" s="229" t="str">
        <f t="shared" si="30"/>
        <v/>
      </c>
      <c r="CT70" s="230" t="str">
        <f t="shared" si="112"/>
        <v/>
      </c>
      <c r="CU70" s="163">
        <f t="shared" si="32"/>
        <v>6</v>
      </c>
      <c r="CV70" s="47" t="s">
        <v>0</v>
      </c>
      <c r="CW70" s="222" t="str">
        <f t="shared" si="89"/>
        <v xml:space="preserve">
</v>
      </c>
      <c r="CX70" s="223" t="e">
        <f t="shared" si="90"/>
        <v>#N/A</v>
      </c>
      <c r="CY70" s="47" t="s">
        <v>0</v>
      </c>
      <c r="CZ70" s="47"/>
      <c r="DA70" s="47"/>
      <c r="DB70" s="47"/>
      <c r="DC70" s="47" t="s">
        <v>0</v>
      </c>
      <c r="DD70" s="53" t="str">
        <f t="shared" si="103"/>
        <v/>
      </c>
      <c r="DE70" t="s">
        <v>0</v>
      </c>
      <c r="DF70" s="128" t="str">
        <f t="shared" si="104"/>
        <v>M</v>
      </c>
      <c r="DG70" t="s">
        <v>0</v>
      </c>
      <c r="DH70" s="52" t="str">
        <f t="shared" si="105"/>
        <v/>
      </c>
      <c r="DI70" s="66" t="str">
        <f t="shared" si="106"/>
        <v/>
      </c>
      <c r="DJ70" t="s">
        <v>0</v>
      </c>
      <c r="DK70" s="19" t="str">
        <f t="shared" si="107"/>
        <v/>
      </c>
      <c r="DL70" s="47" t="s">
        <v>0</v>
      </c>
      <c r="DM70" s="19" t="str">
        <f t="shared" si="108"/>
        <v/>
      </c>
      <c r="DN70" s="47" t="s">
        <v>0</v>
      </c>
      <c r="DO70" s="52" t="str">
        <f t="shared" si="39"/>
        <v>Luka – Filetin – OK Kapela – M21A</v>
      </c>
      <c r="DP70" s="53">
        <f t="shared" si="40"/>
        <v>236</v>
      </c>
      <c r="DQ70" s="47" t="s">
        <v>0</v>
      </c>
      <c r="DR70" s="52" t="str">
        <f t="shared" si="41"/>
        <v>Luka – Filetin – OK Kapela</v>
      </c>
      <c r="DS70" s="53">
        <f t="shared" si="42"/>
        <v>236</v>
      </c>
      <c r="DT70" s="47" t="s">
        <v>0</v>
      </c>
      <c r="DU70" s="52" t="str">
        <f t="shared" si="43"/>
        <v>Luka – Filetin</v>
      </c>
      <c r="DV70" s="53">
        <f t="shared" si="44"/>
        <v>236</v>
      </c>
      <c r="DW70" s="47" t="s">
        <v>0</v>
      </c>
      <c r="DX70" s="58">
        <f t="shared" si="91"/>
        <v>236</v>
      </c>
      <c r="DY70" s="53" cm="1">
        <f t="array" ref="DY70">IF(DX70&lt;&gt;"",INDEX(regNatjecatelj_id,DX70,0),IF(BD70&lt;&gt;"",BD70,""))</f>
        <v>1195</v>
      </c>
      <c r="DZ70" s="47" t="s">
        <v>0</v>
      </c>
      <c r="EA70" s="58" t="str">
        <f t="shared" si="45"/>
        <v>imepre</v>
      </c>
      <c r="EB70" s="73" t="str">
        <f t="shared" si="46"/>
        <v>klu</v>
      </c>
      <c r="EC70" s="73" t="str">
        <f t="shared" si="47"/>
        <v>kat</v>
      </c>
      <c r="ED70" s="73" t="str">
        <f t="shared" si="48"/>
        <v/>
      </c>
      <c r="EE70" s="66" t="str">
        <f t="shared" si="49"/>
        <v>imepre-klu-kat</v>
      </c>
      <c r="EF70" s="47" t="s">
        <v>0</v>
      </c>
      <c r="EG70" s="58">
        <f>IF(AL70="","",MAX(EG$12:EG69)+1)</f>
        <v>240</v>
      </c>
      <c r="EH70" s="73">
        <f t="shared" si="50"/>
        <v>27</v>
      </c>
      <c r="EI70" s="73">
        <f t="shared" si="92"/>
        <v>1195</v>
      </c>
      <c r="EJ70" s="73" t="str">
        <f t="shared" si="51"/>
        <v/>
      </c>
      <c r="EK70" s="73">
        <f t="shared" si="52"/>
        <v>6</v>
      </c>
      <c r="EL70" s="73">
        <f t="shared" si="93"/>
        <v>1</v>
      </c>
      <c r="EM70" s="73">
        <f t="shared" si="94"/>
        <v>1</v>
      </c>
      <c r="EN70" s="73" t="str">
        <f t="shared" si="55"/>
        <v>1</v>
      </c>
      <c r="EO70" s="73" t="str">
        <f t="shared" si="56"/>
        <v/>
      </c>
      <c r="EP70" s="73" t="str">
        <f t="shared" si="57"/>
        <v/>
      </c>
      <c r="EQ70" s="53" t="str">
        <f t="shared" si="58"/>
        <v/>
      </c>
      <c r="ER70" s="47" t="s">
        <v>0</v>
      </c>
      <c r="ES70" s="19" t="str">
        <f t="shared" si="95"/>
        <v>INSERT INTO rezultat(id,stazakategorija_id,imeprezime_id,vrijeme_sec,status_id,registracija,uparivanje_id,originalstatus_id,imeprezimealias_id,klubalias_id,kategorijaalias_id) VALUES (240,27,1195,Null,6,1,1,1,Null,Null,Null);</v>
      </c>
      <c r="ET70" s="47" t="s">
        <v>0</v>
      </c>
      <c r="EU70" s="19" t="str">
        <f t="shared" si="96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70" s="47" t="s">
        <v>0</v>
      </c>
      <c r="EW70" s="180" t="str">
        <f t="shared" si="60"/>
        <v xml:space="preserve">
INSERT INTO rezultat(id,stazakategorija_id,imeprezime_id,vrijeme_sec,status_id,registracija,uparivanje_id,originalstatus_id,imeprezimealias_id,klubalias_id,kategorijaalias_id) VALUES (240,27,1195,Null,6,1,1,1,Null,Null,Null);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70" s="47" t="s">
        <v>0</v>
      </c>
    </row>
    <row r="71" spans="1:154" x14ac:dyDescent="0.25">
      <c r="A71" t="s">
        <v>0</v>
      </c>
      <c r="B71" s="52" t="str">
        <f>IF(csv!F61="","",csv!T61)</f>
        <v>M21B</v>
      </c>
      <c r="C71" s="31" t="s">
        <v>0</v>
      </c>
      <c r="D71" s="31" t="str">
        <f>IF(csv!F61="","",csv!F61)</f>
        <v>Ivor</v>
      </c>
      <c r="E71" s="31" t="str">
        <f>IF(csv!E61="","",csv!E61)</f>
        <v>Jelić</v>
      </c>
      <c r="F71" s="31" t="s">
        <v>0</v>
      </c>
      <c r="G71" s="73" t="str">
        <f>IF(csv!M61="","",csv!M61)</f>
        <v>42:32</v>
      </c>
      <c r="H71" s="73" t="str">
        <f>IF(csv!N61="","",csv!N61)</f>
        <v>0</v>
      </c>
      <c r="I71" s="31" t="s">
        <v>0</v>
      </c>
      <c r="J71" s="31" t="str">
        <f>IF(csv!P61="","",csv!P61)</f>
        <v>KAP</v>
      </c>
      <c r="K71" s="31" t="str">
        <f>IF(csv!Q61="","",csv!Q61)</f>
        <v>OK Kapela</v>
      </c>
      <c r="L71" s="31" t="s">
        <v>0</v>
      </c>
      <c r="M71" s="66" t="str">
        <f>IF(csv!R61="","",csv!R61)</f>
        <v>CRO</v>
      </c>
      <c r="N71" s="47" t="s">
        <v>0</v>
      </c>
      <c r="O71" s="246" t="str">
        <f t="shared" si="61"/>
        <v>ok</v>
      </c>
      <c r="P71" s="47"/>
      <c r="Q71" s="52" t="str">
        <f t="shared" si="62"/>
        <v>M21B</v>
      </c>
      <c r="R71" s="73">
        <f>IF(Q71="","",IF(COUNTIF(Q$12:Q70,Q71)=0,R70+1,R70))</f>
        <v>6</v>
      </c>
      <c r="S71" s="73">
        <f t="shared" si="63"/>
        <v>108</v>
      </c>
      <c r="T71" s="73">
        <f t="shared" si="1"/>
        <v>19</v>
      </c>
      <c r="U71" s="66" t="str">
        <f t="shared" si="2"/>
        <v>M21B – M16</v>
      </c>
      <c r="V71" s="47" t="s">
        <v>0</v>
      </c>
      <c r="W71" s="222" t="str">
        <f t="shared" si="3"/>
        <v>M21B</v>
      </c>
      <c r="X71" s="223">
        <f t="shared" si="4"/>
        <v>28</v>
      </c>
      <c r="Y71" s="47" t="s">
        <v>0</v>
      </c>
      <c r="Z71" s="52" t="str">
        <f t="shared" si="64"/>
        <v>CRO</v>
      </c>
      <c r="AA71" s="73">
        <f t="shared" si="5"/>
        <v>1</v>
      </c>
      <c r="AB71" s="31" t="str">
        <f t="shared" si="65"/>
        <v/>
      </c>
      <c r="AC71" s="66" t="str">
        <f>IF(AB71="","",MAX(AC$12:AC70)+1)</f>
        <v/>
      </c>
      <c r="AD71" s="47" t="s">
        <v>0</v>
      </c>
      <c r="AE71" s="125"/>
      <c r="AF71" s="47" t="s">
        <v>0</v>
      </c>
      <c r="AG71" s="19" t="str">
        <f t="shared" si="66"/>
        <v/>
      </c>
      <c r="AH71" s="47" t="s">
        <v>0</v>
      </c>
      <c r="AI71" s="143" t="str">
        <f t="shared" si="67"/>
        <v>CRO</v>
      </c>
      <c r="AJ71" s="47"/>
      <c r="AK71" s="52" t="str">
        <f t="shared" si="68"/>
        <v>Ivor</v>
      </c>
      <c r="AL71" s="31" t="str">
        <f t="shared" si="69"/>
        <v>Jelić</v>
      </c>
      <c r="AM71" s="73">
        <f t="shared" si="70"/>
        <v>1514</v>
      </c>
      <c r="AN71" s="73" t="str">
        <f t="shared" si="71"/>
        <v/>
      </c>
      <c r="AO71" s="31" t="str">
        <f t="shared" si="8"/>
        <v>Ivor</v>
      </c>
      <c r="AP71" s="66" t="str">
        <f t="shared" si="9"/>
        <v>Jelić</v>
      </c>
      <c r="AQ71" s="47" t="s">
        <v>0</v>
      </c>
      <c r="AR71" s="82" t="str">
        <f t="shared" si="72"/>
        <v/>
      </c>
      <c r="AS71" s="47" t="s">
        <v>0</v>
      </c>
      <c r="AT71" s="19" t="str">
        <f t="shared" si="73"/>
        <v/>
      </c>
      <c r="AU71" s="47" t="s">
        <v>0</v>
      </c>
      <c r="AV71" s="103"/>
      <c r="AW71" s="105"/>
      <c r="AX71" s="47" t="s">
        <v>0</v>
      </c>
      <c r="AY71" s="259" t="str">
        <f t="shared" si="102"/>
        <v/>
      </c>
      <c r="AZ71" s="47" t="s">
        <v>0</v>
      </c>
      <c r="BA71" s="52" t="str">
        <f t="shared" si="11"/>
        <v/>
      </c>
      <c r="BB71" s="73" t="str">
        <f>IF(AV71&amp;AW71="","",MAX(BB$12:BB70)+1)</f>
        <v/>
      </c>
      <c r="BC71" s="272" t="str">
        <f t="shared" si="12"/>
        <v/>
      </c>
      <c r="BD71" s="53" t="str">
        <f>IF(AND(AM71="NEMA",AN71="NEMA",OR(AV71&amp;AW71="",BC71="NEMA")),MAX(BD$12:BD70)+1,"")</f>
        <v/>
      </c>
      <c r="BE71" s="47" t="s">
        <v>0</v>
      </c>
      <c r="BF71" s="52" t="str">
        <f t="shared" si="74"/>
        <v>Ivor</v>
      </c>
      <c r="BG71" s="66" t="str">
        <f t="shared" si="75"/>
        <v>Jelić</v>
      </c>
      <c r="BH71" s="47" t="s">
        <v>0</v>
      </c>
      <c r="BI71" s="52" t="str">
        <f t="shared" si="15"/>
        <v>KAP</v>
      </c>
      <c r="BJ71" s="31" t="str">
        <f t="shared" si="16"/>
        <v>OK Kapela</v>
      </c>
      <c r="BK71" s="73" t="str">
        <f t="shared" si="17"/>
        <v/>
      </c>
      <c r="BL71" s="31" t="str" cm="1">
        <f t="array" ref="BL71">IF(BK71="",""&amp;BJ71,IF(BK71="NEMA",BJ71,INDEX(regKlub_naziv,MATCH(INDEX(regKlub_alias_klubId,BK71),regKlub_id,0))))</f>
        <v>OK Kapela</v>
      </c>
      <c r="BM71" s="31" t="str" cm="1">
        <f t="array" ref="BM71">IFERROR(""&amp;INDEX(regNatjecatelj_klub,DV71),"")</f>
        <v>OK Kapela</v>
      </c>
      <c r="BN71" s="73" t="str">
        <f t="shared" si="76"/>
        <v/>
      </c>
      <c r="BO71" s="66" t="str">
        <f t="shared" si="77"/>
        <v>OK Kapela</v>
      </c>
      <c r="BP71" s="47" t="s">
        <v>0</v>
      </c>
      <c r="BQ71" s="52" t="str">
        <f>IF(X71&lt;&gt;"NEMA","",IF(IFERROR(MATCH(W71,W$12:W70,0),0)&lt;&gt;0,"",W71))</f>
        <v/>
      </c>
      <c r="BR71" s="73" t="str">
        <f t="shared" si="78"/>
        <v/>
      </c>
      <c r="BS71" s="31" t="str">
        <f>IF(OR(BR71="",BR71&lt;&gt;"NEMA"),"",MAX(BS$12:BS70)+1)</f>
        <v/>
      </c>
      <c r="BT71" s="66" t="str">
        <f t="shared" si="79"/>
        <v/>
      </c>
      <c r="BU71" s="47" t="s">
        <v>0</v>
      </c>
      <c r="BV71" s="19" t="str">
        <f t="shared" si="80"/>
        <v/>
      </c>
      <c r="BW71" s="47" t="s">
        <v>0</v>
      </c>
      <c r="BX71" s="82" t="str">
        <f>IF(BK71&lt;&gt;"NEMA","",IF(IFERROR(MATCH(BJ71,BJ$12:BJ70,0),0)&lt;&gt;0,"",BJ71))</f>
        <v/>
      </c>
      <c r="BY71" s="47" t="s">
        <v>0</v>
      </c>
      <c r="BZ71" s="125"/>
      <c r="CA71" s="47" t="s">
        <v>0</v>
      </c>
      <c r="CB71" s="58" t="str">
        <f t="shared" si="81"/>
        <v/>
      </c>
      <c r="CC71" s="31" t="str">
        <f t="shared" si="82"/>
        <v/>
      </c>
      <c r="CD71" s="31" t="str">
        <f>IF(CC71="","",MAX(CD$12:CD70)+1)</f>
        <v/>
      </c>
      <c r="CE71" s="31" t="str">
        <f t="shared" si="22"/>
        <v/>
      </c>
      <c r="CF71" s="31" t="str">
        <f t="shared" si="83"/>
        <v/>
      </c>
      <c r="CG71" s="31" t="str">
        <f>IF(BZ71="","",MAX(CG$12:CG70)+1)</f>
        <v/>
      </c>
      <c r="CH71" s="31" t="str">
        <f t="shared" si="84"/>
        <v/>
      </c>
      <c r="CI71" s="66" t="str">
        <f t="shared" si="85"/>
        <v/>
      </c>
      <c r="CJ71" s="47" t="s">
        <v>0</v>
      </c>
      <c r="CK71" s="73" t="str">
        <f t="shared" si="25"/>
        <v/>
      </c>
      <c r="CL71" s="47"/>
      <c r="CM71" s="19" t="str">
        <f t="shared" si="86"/>
        <v/>
      </c>
      <c r="CN71" s="47" t="s">
        <v>0</v>
      </c>
      <c r="CO71" s="143" t="str">
        <f t="shared" si="87"/>
        <v>OK Kapela</v>
      </c>
      <c r="CP71" s="47" t="s">
        <v>0</v>
      </c>
      <c r="CQ71" s="58" t="str">
        <f t="shared" si="109"/>
        <v>42:32</v>
      </c>
      <c r="CR71" s="73" t="str">
        <f t="shared" si="110"/>
        <v>0</v>
      </c>
      <c r="CS71" s="229" t="str">
        <f t="shared" si="30"/>
        <v/>
      </c>
      <c r="CT71" s="230">
        <f t="shared" si="112"/>
        <v>2552</v>
      </c>
      <c r="CU71" s="163">
        <f t="shared" si="32"/>
        <v>1</v>
      </c>
      <c r="CV71" s="47" t="s">
        <v>0</v>
      </c>
      <c r="CW71" s="222" t="str">
        <f t="shared" si="89"/>
        <v xml:space="preserve">
</v>
      </c>
      <c r="CX71" s="223">
        <f t="shared" si="90"/>
        <v>6</v>
      </c>
      <c r="CY71" s="47" t="s">
        <v>0</v>
      </c>
      <c r="CZ71" s="47"/>
      <c r="DA71" s="47"/>
      <c r="DB71" s="47"/>
      <c r="DC71" s="47" t="s">
        <v>0</v>
      </c>
      <c r="DD71" s="53" t="str">
        <f t="shared" si="103"/>
        <v/>
      </c>
      <c r="DE71" t="s">
        <v>0</v>
      </c>
      <c r="DF71" s="128" t="str">
        <f t="shared" si="104"/>
        <v>M</v>
      </c>
      <c r="DG71" t="s">
        <v>0</v>
      </c>
      <c r="DH71" s="52" t="str">
        <f t="shared" si="105"/>
        <v/>
      </c>
      <c r="DI71" s="66" t="str">
        <f t="shared" si="106"/>
        <v/>
      </c>
      <c r="DJ71" t="s">
        <v>0</v>
      </c>
      <c r="DK71" s="19" t="str">
        <f t="shared" si="107"/>
        <v/>
      </c>
      <c r="DL71" s="47" t="s">
        <v>0</v>
      </c>
      <c r="DM71" s="19" t="str">
        <f t="shared" si="108"/>
        <v/>
      </c>
      <c r="DN71" s="47" t="s">
        <v>0</v>
      </c>
      <c r="DO71" s="52" t="str">
        <f t="shared" si="39"/>
        <v>Ivor – Jelić – OK Kapela – M21B</v>
      </c>
      <c r="DP71" s="53">
        <f t="shared" si="40"/>
        <v>259</v>
      </c>
      <c r="DQ71" s="47" t="s">
        <v>0</v>
      </c>
      <c r="DR71" s="52" t="str">
        <f t="shared" si="41"/>
        <v>Ivor – Jelić – OK Kapela</v>
      </c>
      <c r="DS71" s="53">
        <f t="shared" si="42"/>
        <v>259</v>
      </c>
      <c r="DT71" s="47" t="s">
        <v>0</v>
      </c>
      <c r="DU71" s="52" t="str">
        <f t="shared" si="43"/>
        <v>Ivor – Jelić</v>
      </c>
      <c r="DV71" s="53">
        <f t="shared" si="44"/>
        <v>259</v>
      </c>
      <c r="DW71" s="47" t="s">
        <v>0</v>
      </c>
      <c r="DX71" s="58">
        <f t="shared" si="91"/>
        <v>259</v>
      </c>
      <c r="DY71" s="53" cm="1">
        <f t="array" ref="DY71">IF(DX71&lt;&gt;"",INDEX(regNatjecatelj_id,DX71,0),IF(BD71&lt;&gt;"",BD71,""))</f>
        <v>1514</v>
      </c>
      <c r="DZ71" s="47" t="s">
        <v>0</v>
      </c>
      <c r="EA71" s="58" t="str">
        <f t="shared" si="45"/>
        <v>imepre</v>
      </c>
      <c r="EB71" s="73" t="str">
        <f t="shared" si="46"/>
        <v>klu</v>
      </c>
      <c r="EC71" s="73" t="str">
        <f t="shared" si="47"/>
        <v>kat</v>
      </c>
      <c r="ED71" s="73" t="str">
        <f t="shared" si="48"/>
        <v/>
      </c>
      <c r="EE71" s="66" t="str">
        <f t="shared" si="49"/>
        <v>imepre-klu-kat</v>
      </c>
      <c r="EF71" s="47" t="s">
        <v>0</v>
      </c>
      <c r="EG71" s="58">
        <f>IF(AL71="","",MAX(EG$12:EG70)+1)</f>
        <v>241</v>
      </c>
      <c r="EH71" s="73">
        <f t="shared" si="50"/>
        <v>28</v>
      </c>
      <c r="EI71" s="73">
        <f t="shared" si="92"/>
        <v>1514</v>
      </c>
      <c r="EJ71" s="73">
        <f t="shared" si="51"/>
        <v>2552</v>
      </c>
      <c r="EK71" s="73">
        <f t="shared" si="52"/>
        <v>1</v>
      </c>
      <c r="EL71" s="73">
        <f t="shared" si="93"/>
        <v>1</v>
      </c>
      <c r="EM71" s="73">
        <f t="shared" si="94"/>
        <v>1</v>
      </c>
      <c r="EN71" s="73" t="str">
        <f t="shared" si="55"/>
        <v>0</v>
      </c>
      <c r="EO71" s="73" t="str">
        <f t="shared" si="56"/>
        <v/>
      </c>
      <c r="EP71" s="73" t="str">
        <f t="shared" si="57"/>
        <v/>
      </c>
      <c r="EQ71" s="53" t="str">
        <f t="shared" si="58"/>
        <v/>
      </c>
      <c r="ER71" s="47" t="s">
        <v>0</v>
      </c>
      <c r="ES71" s="19" t="str">
        <f t="shared" si="95"/>
        <v>INSERT INTO rezultat(id,stazakategorija_id,imeprezime_id,vrijeme_sec,status_id,registracija,uparivanje_id,originalstatus_id,imeprezimealias_id,klubalias_id,kategorijaalias_id) VALUES (241,28,1514,2552,1,1,1,0,Null,Null,Null);</v>
      </c>
      <c r="ET71" s="47" t="s">
        <v>0</v>
      </c>
      <c r="EU71" s="19" t="str">
        <f t="shared" si="96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1" s="47" t="s">
        <v>0</v>
      </c>
      <c r="EW71" s="180" t="str">
        <f t="shared" si="60"/>
        <v xml:space="preserve">
INSERT INTO rezultat(id,stazakategorija_id,imeprezime_id,vrijeme_sec,status_id,registracija,uparivanje_id,originalstatus_id,imeprezimealias_id,klubalias_id,kategorijaalias_id) VALUES (241,28,1514,2552,1,1,1,0,Null,Null,Null);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1" s="47" t="s">
        <v>0</v>
      </c>
    </row>
    <row r="72" spans="1:154" x14ac:dyDescent="0.25">
      <c r="A72" t="s">
        <v>0</v>
      </c>
      <c r="B72" s="52" t="str">
        <f>IF(csv!F62="","",csv!T62)</f>
        <v>M21B</v>
      </c>
      <c r="C72" s="31" t="s">
        <v>0</v>
      </c>
      <c r="D72" s="31" t="str">
        <f>IF(csv!F62="","",csv!F62)</f>
        <v>Danko</v>
      </c>
      <c r="E72" s="31" t="str">
        <f>IF(csv!E62="","",csv!E62)</f>
        <v>Pleše</v>
      </c>
      <c r="F72" s="31" t="s">
        <v>0</v>
      </c>
      <c r="G72" s="73" t="str">
        <f>IF(csv!M62="","",csv!M62)</f>
        <v>43:55</v>
      </c>
      <c r="H72" s="73" t="str">
        <f>IF(csv!N62="","",csv!N62)</f>
        <v>0</v>
      </c>
      <c r="I72" s="31" t="s">
        <v>0</v>
      </c>
      <c r="J72" s="31" t="str">
        <f>IF(csv!P62="","",csv!P62)</f>
        <v>Vihor</v>
      </c>
      <c r="K72" s="31" t="str">
        <f>IF(csv!Q62="","",csv!Q62)</f>
        <v>OK Vihor</v>
      </c>
      <c r="L72" s="31" t="s">
        <v>0</v>
      </c>
      <c r="M72" s="66" t="str">
        <f>IF(csv!R62="","",csv!R62)</f>
        <v>CRO</v>
      </c>
      <c r="N72" s="47" t="s">
        <v>0</v>
      </c>
      <c r="O72" s="246" t="str">
        <f t="shared" si="61"/>
        <v>ok</v>
      </c>
      <c r="P72" s="47"/>
      <c r="Q72" s="52" t="str">
        <f t="shared" si="62"/>
        <v>M21B</v>
      </c>
      <c r="R72" s="73">
        <f>IF(Q72="","",IF(COUNTIF(Q$12:Q71,Q72)=0,R71+1,R71))</f>
        <v>6</v>
      </c>
      <c r="S72" s="73">
        <f t="shared" si="63"/>
        <v>108</v>
      </c>
      <c r="T72" s="73">
        <f t="shared" si="1"/>
        <v>19</v>
      </c>
      <c r="U72" s="66" t="str">
        <f t="shared" si="2"/>
        <v>M21B – M16</v>
      </c>
      <c r="V72" s="47" t="s">
        <v>0</v>
      </c>
      <c r="W72" s="222" t="str">
        <f t="shared" si="3"/>
        <v>M21B</v>
      </c>
      <c r="X72" s="223">
        <f t="shared" si="4"/>
        <v>28</v>
      </c>
      <c r="Y72" s="47" t="s">
        <v>0</v>
      </c>
      <c r="Z72" s="52" t="str">
        <f t="shared" si="64"/>
        <v>CRO</v>
      </c>
      <c r="AA72" s="73">
        <f t="shared" si="5"/>
        <v>1</v>
      </c>
      <c r="AB72" s="31" t="str">
        <f t="shared" si="65"/>
        <v/>
      </c>
      <c r="AC72" s="66" t="str">
        <f>IF(AB72="","",MAX(AC$12:AC71)+1)</f>
        <v/>
      </c>
      <c r="AD72" s="47" t="s">
        <v>0</v>
      </c>
      <c r="AE72" s="125"/>
      <c r="AF72" s="47" t="s">
        <v>0</v>
      </c>
      <c r="AG72" s="19" t="str">
        <f t="shared" si="66"/>
        <v/>
      </c>
      <c r="AH72" s="47" t="s">
        <v>0</v>
      </c>
      <c r="AI72" s="143" t="str">
        <f t="shared" si="67"/>
        <v>CRO</v>
      </c>
      <c r="AJ72" s="47"/>
      <c r="AK72" s="52" t="str">
        <f t="shared" si="68"/>
        <v>Danko</v>
      </c>
      <c r="AL72" s="31" t="str">
        <f t="shared" si="69"/>
        <v>Pleše</v>
      </c>
      <c r="AM72" s="73">
        <f t="shared" si="70"/>
        <v>1359</v>
      </c>
      <c r="AN72" s="73" t="str">
        <f t="shared" si="71"/>
        <v/>
      </c>
      <c r="AO72" s="31" t="str">
        <f t="shared" si="8"/>
        <v>Danko</v>
      </c>
      <c r="AP72" s="66" t="str">
        <f t="shared" si="9"/>
        <v>Pleše</v>
      </c>
      <c r="AQ72" s="47" t="s">
        <v>0</v>
      </c>
      <c r="AR72" s="82" t="str">
        <f t="shared" si="72"/>
        <v/>
      </c>
      <c r="AS72" s="47" t="s">
        <v>0</v>
      </c>
      <c r="AT72" s="19" t="str">
        <f t="shared" si="73"/>
        <v/>
      </c>
      <c r="AU72" s="47" t="s">
        <v>0</v>
      </c>
      <c r="AV72" s="103"/>
      <c r="AW72" s="105"/>
      <c r="AX72" s="47" t="s">
        <v>0</v>
      </c>
      <c r="AY72" s="259" t="str">
        <f t="shared" si="102"/>
        <v/>
      </c>
      <c r="AZ72" s="47" t="s">
        <v>0</v>
      </c>
      <c r="BA72" s="52" t="str">
        <f t="shared" si="11"/>
        <v/>
      </c>
      <c r="BB72" s="73" t="str">
        <f>IF(AV72&amp;AW72="","",MAX(BB$12:BB71)+1)</f>
        <v/>
      </c>
      <c r="BC72" s="272" t="str">
        <f t="shared" si="12"/>
        <v/>
      </c>
      <c r="BD72" s="53" t="str">
        <f>IF(AND(AM72="NEMA",AN72="NEMA",OR(AV72&amp;AW72="",BC72="NEMA")),MAX(BD$12:BD71)+1,"")</f>
        <v/>
      </c>
      <c r="BE72" s="47" t="s">
        <v>0</v>
      </c>
      <c r="BF72" s="52" t="str">
        <f t="shared" si="74"/>
        <v>Danko</v>
      </c>
      <c r="BG72" s="66" t="str">
        <f t="shared" si="75"/>
        <v>Pleše</v>
      </c>
      <c r="BH72" s="47" t="s">
        <v>0</v>
      </c>
      <c r="BI72" s="52" t="str">
        <f t="shared" si="15"/>
        <v>Vihor</v>
      </c>
      <c r="BJ72" s="31" t="str">
        <f t="shared" si="16"/>
        <v>OK Vihor</v>
      </c>
      <c r="BK72" s="73" t="str">
        <f t="shared" si="17"/>
        <v/>
      </c>
      <c r="BL72" s="31" t="str" cm="1">
        <f t="array" ref="BL72">IF(BK72="",""&amp;BJ72,IF(BK72="NEMA",BJ72,INDEX(regKlub_naziv,MATCH(INDEX(regKlub_alias_klubId,BK72),regKlub_id,0))))</f>
        <v>OK Vihor</v>
      </c>
      <c r="BM72" s="31" t="str" cm="1">
        <f t="array" ref="BM72">IFERROR(""&amp;INDEX(regNatjecatelj_klub,DV72),"")</f>
        <v>OK Vihor</v>
      </c>
      <c r="BN72" s="73" t="str">
        <f t="shared" si="76"/>
        <v/>
      </c>
      <c r="BO72" s="66" t="str">
        <f t="shared" si="77"/>
        <v>OK Vihor</v>
      </c>
      <c r="BP72" s="47" t="s">
        <v>0</v>
      </c>
      <c r="BQ72" s="52" t="str">
        <f>IF(X72&lt;&gt;"NEMA","",IF(IFERROR(MATCH(W72,W$12:W71,0),0)&lt;&gt;0,"",W72))</f>
        <v/>
      </c>
      <c r="BR72" s="73" t="str">
        <f t="shared" si="78"/>
        <v/>
      </c>
      <c r="BS72" s="31" t="str">
        <f>IF(OR(BR72="",BR72&lt;&gt;"NEMA"),"",MAX(BS$12:BS71)+1)</f>
        <v/>
      </c>
      <c r="BT72" s="66" t="str">
        <f t="shared" si="79"/>
        <v/>
      </c>
      <c r="BU72" s="47" t="s">
        <v>0</v>
      </c>
      <c r="BV72" s="19" t="str">
        <f t="shared" si="80"/>
        <v/>
      </c>
      <c r="BW72" s="47" t="s">
        <v>0</v>
      </c>
      <c r="BX72" s="82" t="str">
        <f>IF(BK72&lt;&gt;"NEMA","",IF(IFERROR(MATCH(BJ72,BJ$12:BJ71,0),0)&lt;&gt;0,"",BJ72))</f>
        <v/>
      </c>
      <c r="BY72" s="47" t="s">
        <v>0</v>
      </c>
      <c r="BZ72" s="125"/>
      <c r="CA72" s="47" t="s">
        <v>0</v>
      </c>
      <c r="CB72" s="58" t="str">
        <f t="shared" si="81"/>
        <v/>
      </c>
      <c r="CC72" s="31" t="str">
        <f t="shared" si="82"/>
        <v/>
      </c>
      <c r="CD72" s="31" t="str">
        <f>IF(CC72="","",MAX(CD$12:CD71)+1)</f>
        <v/>
      </c>
      <c r="CE72" s="31" t="str">
        <f t="shared" si="22"/>
        <v/>
      </c>
      <c r="CF72" s="31" t="str">
        <f t="shared" si="83"/>
        <v/>
      </c>
      <c r="CG72" s="31" t="str">
        <f>IF(BZ72="","",MAX(CG$12:CG71)+1)</f>
        <v/>
      </c>
      <c r="CH72" s="31" t="str">
        <f t="shared" si="84"/>
        <v/>
      </c>
      <c r="CI72" s="66" t="str">
        <f t="shared" si="85"/>
        <v/>
      </c>
      <c r="CJ72" s="47" t="s">
        <v>0</v>
      </c>
      <c r="CK72" s="73" t="str">
        <f t="shared" si="25"/>
        <v/>
      </c>
      <c r="CL72" s="47"/>
      <c r="CM72" s="19" t="str">
        <f t="shared" si="86"/>
        <v/>
      </c>
      <c r="CN72" s="47" t="s">
        <v>0</v>
      </c>
      <c r="CO72" s="143" t="str">
        <f t="shared" si="87"/>
        <v>OK Vihor</v>
      </c>
      <c r="CP72" s="47" t="s">
        <v>0</v>
      </c>
      <c r="CQ72" s="58" t="str">
        <f t="shared" si="109"/>
        <v>43:55</v>
      </c>
      <c r="CR72" s="73" t="str">
        <f t="shared" si="110"/>
        <v>0</v>
      </c>
      <c r="CS72" s="229" t="str">
        <f t="shared" si="30"/>
        <v/>
      </c>
      <c r="CT72" s="230">
        <f t="shared" si="112"/>
        <v>2635</v>
      </c>
      <c r="CU72" s="163">
        <f t="shared" si="32"/>
        <v>1</v>
      </c>
      <c r="CV72" s="47" t="s">
        <v>0</v>
      </c>
      <c r="CW72" s="222" t="str">
        <f t="shared" si="89"/>
        <v xml:space="preserve">
</v>
      </c>
      <c r="CX72" s="223">
        <f t="shared" si="90"/>
        <v>6</v>
      </c>
      <c r="CY72" s="47" t="s">
        <v>0</v>
      </c>
      <c r="CZ72" s="47"/>
      <c r="DA72" s="47"/>
      <c r="DB72" s="47"/>
      <c r="DC72" s="47" t="s">
        <v>0</v>
      </c>
      <c r="DD72" s="53" t="str">
        <f t="shared" si="103"/>
        <v/>
      </c>
      <c r="DE72" t="s">
        <v>0</v>
      </c>
      <c r="DF72" s="128" t="str">
        <f t="shared" si="104"/>
        <v>M</v>
      </c>
      <c r="DG72" t="s">
        <v>0</v>
      </c>
      <c r="DH72" s="52" t="str">
        <f t="shared" si="105"/>
        <v/>
      </c>
      <c r="DI72" s="66" t="str">
        <f t="shared" si="106"/>
        <v/>
      </c>
      <c r="DJ72" t="s">
        <v>0</v>
      </c>
      <c r="DK72" s="19" t="str">
        <f t="shared" si="107"/>
        <v/>
      </c>
      <c r="DL72" s="47" t="s">
        <v>0</v>
      </c>
      <c r="DM72" s="19" t="str">
        <f t="shared" si="108"/>
        <v/>
      </c>
      <c r="DN72" s="47" t="s">
        <v>0</v>
      </c>
      <c r="DO72" s="52" t="str">
        <f t="shared" si="39"/>
        <v>Danko – Pleše – OK Vihor – M21B</v>
      </c>
      <c r="DP72" s="53">
        <f t="shared" si="40"/>
        <v>852</v>
      </c>
      <c r="DQ72" s="47" t="s">
        <v>0</v>
      </c>
      <c r="DR72" s="52" t="str">
        <f t="shared" si="41"/>
        <v>Danko – Pleše – OK Vihor</v>
      </c>
      <c r="DS72" s="53">
        <f t="shared" si="42"/>
        <v>852</v>
      </c>
      <c r="DT72" s="47" t="s">
        <v>0</v>
      </c>
      <c r="DU72" s="52" t="str">
        <f t="shared" si="43"/>
        <v>Danko – Pleše</v>
      </c>
      <c r="DV72" s="53">
        <f t="shared" si="44"/>
        <v>852</v>
      </c>
      <c r="DW72" s="47" t="s">
        <v>0</v>
      </c>
      <c r="DX72" s="58">
        <f t="shared" si="91"/>
        <v>852</v>
      </c>
      <c r="DY72" s="53" cm="1">
        <f t="array" ref="DY72">IF(DX72&lt;&gt;"",INDEX(regNatjecatelj_id,DX72,0),IF(BD72&lt;&gt;"",BD72,""))</f>
        <v>1359</v>
      </c>
      <c r="DZ72" s="47" t="s">
        <v>0</v>
      </c>
      <c r="EA72" s="58" t="str">
        <f t="shared" si="45"/>
        <v>imepre</v>
      </c>
      <c r="EB72" s="73" t="str">
        <f t="shared" si="46"/>
        <v>klu</v>
      </c>
      <c r="EC72" s="73" t="str">
        <f t="shared" si="47"/>
        <v>kat</v>
      </c>
      <c r="ED72" s="73" t="str">
        <f t="shared" si="48"/>
        <v/>
      </c>
      <c r="EE72" s="66" t="str">
        <f t="shared" si="49"/>
        <v>imepre-klu-kat</v>
      </c>
      <c r="EF72" s="47" t="s">
        <v>0</v>
      </c>
      <c r="EG72" s="58">
        <f>IF(AL72="","",MAX(EG$12:EG71)+1)</f>
        <v>242</v>
      </c>
      <c r="EH72" s="73">
        <f t="shared" si="50"/>
        <v>28</v>
      </c>
      <c r="EI72" s="73">
        <f t="shared" si="92"/>
        <v>1359</v>
      </c>
      <c r="EJ72" s="73">
        <f t="shared" si="51"/>
        <v>2635</v>
      </c>
      <c r="EK72" s="73">
        <f t="shared" si="52"/>
        <v>1</v>
      </c>
      <c r="EL72" s="73">
        <f t="shared" si="93"/>
        <v>1</v>
      </c>
      <c r="EM72" s="73">
        <f t="shared" si="94"/>
        <v>1</v>
      </c>
      <c r="EN72" s="73" t="str">
        <f t="shared" si="55"/>
        <v>0</v>
      </c>
      <c r="EO72" s="73" t="str">
        <f t="shared" si="56"/>
        <v/>
      </c>
      <c r="EP72" s="73" t="str">
        <f t="shared" si="57"/>
        <v/>
      </c>
      <c r="EQ72" s="53" t="str">
        <f t="shared" si="58"/>
        <v/>
      </c>
      <c r="ER72" s="47" t="s">
        <v>0</v>
      </c>
      <c r="ES72" s="19" t="str">
        <f t="shared" si="95"/>
        <v>INSERT INTO rezultat(id,stazakategorija_id,imeprezime_id,vrijeme_sec,status_id,registracija,uparivanje_id,originalstatus_id,imeprezimealias_id,klubalias_id,kategorijaalias_id) VALUES (242,28,1359,2635,1,1,1,0,Null,Null,Null);</v>
      </c>
      <c r="ET72" s="47" t="s">
        <v>0</v>
      </c>
      <c r="EU72" s="19" t="str">
        <f t="shared" si="96"/>
        <v>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2" s="47" t="s">
        <v>0</v>
      </c>
      <c r="EW72" s="180" t="str">
        <f t="shared" si="60"/>
        <v xml:space="preserve">
INSERT INTO rezultat(id,stazakategorija_id,imeprezime_id,vrijeme_sec,status_id,registracija,uparivanje_id,originalstatus_id,imeprezimealias_id,klubalias_id,kategorijaalias_id) VALUES (242,28,1359,2635,1,1,1,0,Null,Null,Null);
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2" s="47" t="s">
        <v>0</v>
      </c>
    </row>
    <row r="73" spans="1:154" x14ac:dyDescent="0.25">
      <c r="A73" t="s">
        <v>0</v>
      </c>
      <c r="B73" s="52" t="str">
        <f>IF(csv!F63="","",csv!T63)</f>
        <v>M21B</v>
      </c>
      <c r="C73" s="31" t="s">
        <v>0</v>
      </c>
      <c r="D73" s="31" t="str">
        <f>IF(csv!F63="","",csv!F63)</f>
        <v>Timo Vilim</v>
      </c>
      <c r="E73" s="31" t="str">
        <f>IF(csv!E63="","",csv!E63)</f>
        <v>Gobec</v>
      </c>
      <c r="F73" s="31" t="s">
        <v>0</v>
      </c>
      <c r="G73" s="73" t="str">
        <f>IF(csv!M63="","",csv!M63)</f>
        <v>45:03</v>
      </c>
      <c r="H73" s="73" t="str">
        <f>IF(csv!N63="","",csv!N63)</f>
        <v>0</v>
      </c>
      <c r="I73" s="31" t="s">
        <v>0</v>
      </c>
      <c r="J73" s="31" t="str">
        <f>IF(csv!P63="","",csv!P63)</f>
        <v>Vihor</v>
      </c>
      <c r="K73" s="31" t="str">
        <f>IF(csv!Q63="","",csv!Q63)</f>
        <v>OK Vihor</v>
      </c>
      <c r="L73" s="31" t="s">
        <v>0</v>
      </c>
      <c r="M73" s="66" t="str">
        <f>IF(csv!R63="","",csv!R63)</f>
        <v>CRO</v>
      </c>
      <c r="N73" s="47" t="s">
        <v>0</v>
      </c>
      <c r="O73" s="246" t="str">
        <f t="shared" si="61"/>
        <v>ok</v>
      </c>
      <c r="P73" s="47"/>
      <c r="Q73" s="52" t="str">
        <f t="shared" si="62"/>
        <v>M21B</v>
      </c>
      <c r="R73" s="73">
        <f>IF(Q73="","",IF(COUNTIF(Q$12:Q72,Q73)=0,R72+1,R72))</f>
        <v>6</v>
      </c>
      <c r="S73" s="73">
        <f t="shared" si="63"/>
        <v>108</v>
      </c>
      <c r="T73" s="73">
        <f t="shared" si="1"/>
        <v>19</v>
      </c>
      <c r="U73" s="66" t="str">
        <f t="shared" si="2"/>
        <v>M21B – M16</v>
      </c>
      <c r="V73" s="47" t="s">
        <v>0</v>
      </c>
      <c r="W73" s="222" t="str">
        <f t="shared" si="3"/>
        <v>M21B</v>
      </c>
      <c r="X73" s="223">
        <f t="shared" si="4"/>
        <v>28</v>
      </c>
      <c r="Y73" s="47" t="s">
        <v>0</v>
      </c>
      <c r="Z73" s="52" t="str">
        <f t="shared" si="64"/>
        <v>CRO</v>
      </c>
      <c r="AA73" s="73">
        <f t="shared" si="5"/>
        <v>1</v>
      </c>
      <c r="AB73" s="31" t="str">
        <f t="shared" si="65"/>
        <v/>
      </c>
      <c r="AC73" s="66" t="str">
        <f>IF(AB73="","",MAX(AC$12:AC72)+1)</f>
        <v/>
      </c>
      <c r="AD73" s="47" t="s">
        <v>0</v>
      </c>
      <c r="AE73" s="125"/>
      <c r="AF73" s="47" t="s">
        <v>0</v>
      </c>
      <c r="AG73" s="19" t="str">
        <f t="shared" si="66"/>
        <v/>
      </c>
      <c r="AH73" s="47" t="s">
        <v>0</v>
      </c>
      <c r="AI73" s="143" t="str">
        <f t="shared" si="67"/>
        <v>CRO</v>
      </c>
      <c r="AJ73" s="47"/>
      <c r="AK73" s="52" t="str">
        <f t="shared" si="68"/>
        <v>Timo Vilim</v>
      </c>
      <c r="AL73" s="31" t="str">
        <f t="shared" si="69"/>
        <v>Gobec</v>
      </c>
      <c r="AM73" s="73">
        <f t="shared" si="70"/>
        <v>1297</v>
      </c>
      <c r="AN73" s="73" t="str">
        <f t="shared" si="71"/>
        <v/>
      </c>
      <c r="AO73" s="31" t="str">
        <f t="shared" si="8"/>
        <v>Timo Vilim</v>
      </c>
      <c r="AP73" s="66" t="str">
        <f t="shared" si="9"/>
        <v>Gobec</v>
      </c>
      <c r="AQ73" s="47" t="s">
        <v>0</v>
      </c>
      <c r="AR73" s="82" t="str">
        <f t="shared" si="72"/>
        <v/>
      </c>
      <c r="AS73" s="47" t="s">
        <v>0</v>
      </c>
      <c r="AT73" s="19" t="str">
        <f t="shared" si="73"/>
        <v/>
      </c>
      <c r="AU73" s="47" t="s">
        <v>0</v>
      </c>
      <c r="AV73" s="103"/>
      <c r="AW73" s="105"/>
      <c r="AX73" s="47" t="s">
        <v>0</v>
      </c>
      <c r="AY73" s="259" t="str">
        <f t="shared" si="102"/>
        <v/>
      </c>
      <c r="AZ73" s="47" t="s">
        <v>0</v>
      </c>
      <c r="BA73" s="52" t="str">
        <f t="shared" si="11"/>
        <v/>
      </c>
      <c r="BB73" s="73" t="str">
        <f>IF(AV73&amp;AW73="","",MAX(BB$12:BB72)+1)</f>
        <v/>
      </c>
      <c r="BC73" s="272" t="str">
        <f t="shared" si="12"/>
        <v/>
      </c>
      <c r="BD73" s="53" t="str">
        <f>IF(AND(AM73="NEMA",AN73="NEMA",OR(AV73&amp;AW73="",BC73="NEMA")),MAX(BD$12:BD72)+1,"")</f>
        <v/>
      </c>
      <c r="BE73" s="47" t="s">
        <v>0</v>
      </c>
      <c r="BF73" s="52" t="str">
        <f t="shared" si="74"/>
        <v>Timo Vilim</v>
      </c>
      <c r="BG73" s="66" t="str">
        <f t="shared" si="75"/>
        <v>Gobec</v>
      </c>
      <c r="BH73" s="47" t="s">
        <v>0</v>
      </c>
      <c r="BI73" s="52" t="str">
        <f t="shared" si="15"/>
        <v>Vihor</v>
      </c>
      <c r="BJ73" s="31" t="str">
        <f t="shared" si="16"/>
        <v>OK Vihor</v>
      </c>
      <c r="BK73" s="73" t="str">
        <f t="shared" si="17"/>
        <v/>
      </c>
      <c r="BL73" s="31" t="str" cm="1">
        <f t="array" ref="BL73">IF(BK73="",""&amp;BJ73,IF(BK73="NEMA",BJ73,INDEX(regKlub_naziv,MATCH(INDEX(regKlub_alias_klubId,BK73),regKlub_id,0))))</f>
        <v>OK Vihor</v>
      </c>
      <c r="BM73" s="31" t="str" cm="1">
        <f t="array" ref="BM73">IFERROR(""&amp;INDEX(regNatjecatelj_klub,DV73),"")</f>
        <v>OK Vihor</v>
      </c>
      <c r="BN73" s="73" t="str">
        <f t="shared" si="76"/>
        <v/>
      </c>
      <c r="BO73" s="66" t="str">
        <f t="shared" si="77"/>
        <v>OK Vihor</v>
      </c>
      <c r="BP73" s="47" t="s">
        <v>0</v>
      </c>
      <c r="BQ73" s="52" t="str">
        <f>IF(X73&lt;&gt;"NEMA","",IF(IFERROR(MATCH(W73,W$12:W72,0),0)&lt;&gt;0,"",W73))</f>
        <v/>
      </c>
      <c r="BR73" s="73" t="str">
        <f t="shared" si="78"/>
        <v/>
      </c>
      <c r="BS73" s="31" t="str">
        <f>IF(OR(BR73="",BR73&lt;&gt;"NEMA"),"",MAX(BS$12:BS72)+1)</f>
        <v/>
      </c>
      <c r="BT73" s="66" t="str">
        <f t="shared" si="79"/>
        <v/>
      </c>
      <c r="BU73" s="47" t="s">
        <v>0</v>
      </c>
      <c r="BV73" s="19" t="str">
        <f t="shared" si="80"/>
        <v/>
      </c>
      <c r="BW73" s="47" t="s">
        <v>0</v>
      </c>
      <c r="BX73" s="82" t="str">
        <f>IF(BK73&lt;&gt;"NEMA","",IF(IFERROR(MATCH(BJ73,BJ$12:BJ72,0),0)&lt;&gt;0,"",BJ73))</f>
        <v/>
      </c>
      <c r="BY73" s="47" t="s">
        <v>0</v>
      </c>
      <c r="BZ73" s="125"/>
      <c r="CA73" s="47" t="s">
        <v>0</v>
      </c>
      <c r="CB73" s="58" t="str">
        <f t="shared" si="81"/>
        <v/>
      </c>
      <c r="CC73" s="31" t="str">
        <f t="shared" si="82"/>
        <v/>
      </c>
      <c r="CD73" s="31" t="str">
        <f>IF(CC73="","",MAX(CD$12:CD72)+1)</f>
        <v/>
      </c>
      <c r="CE73" s="31" t="str">
        <f t="shared" si="22"/>
        <v/>
      </c>
      <c r="CF73" s="31" t="str">
        <f t="shared" si="83"/>
        <v/>
      </c>
      <c r="CG73" s="31" t="str">
        <f>IF(BZ73="","",MAX(CG$12:CG72)+1)</f>
        <v/>
      </c>
      <c r="CH73" s="31" t="str">
        <f t="shared" si="84"/>
        <v/>
      </c>
      <c r="CI73" s="66" t="str">
        <f t="shared" si="85"/>
        <v/>
      </c>
      <c r="CJ73" s="47" t="s">
        <v>0</v>
      </c>
      <c r="CK73" s="73" t="str">
        <f t="shared" si="25"/>
        <v/>
      </c>
      <c r="CL73" s="47"/>
      <c r="CM73" s="19" t="str">
        <f t="shared" si="86"/>
        <v/>
      </c>
      <c r="CN73" s="47" t="s">
        <v>0</v>
      </c>
      <c r="CO73" s="143" t="str">
        <f t="shared" si="87"/>
        <v>OK Vihor</v>
      </c>
      <c r="CP73" s="47" t="s">
        <v>0</v>
      </c>
      <c r="CQ73" s="58" t="str">
        <f t="shared" si="109"/>
        <v>45:03</v>
      </c>
      <c r="CR73" s="73" t="str">
        <f t="shared" si="110"/>
        <v>0</v>
      </c>
      <c r="CS73" s="229" t="str">
        <f t="shared" si="30"/>
        <v/>
      </c>
      <c r="CT73" s="230">
        <f t="shared" si="112"/>
        <v>2703</v>
      </c>
      <c r="CU73" s="163">
        <f t="shared" si="32"/>
        <v>1</v>
      </c>
      <c r="CV73" s="47" t="s">
        <v>0</v>
      </c>
      <c r="CW73" s="222" t="str">
        <f t="shared" si="89"/>
        <v xml:space="preserve">
</v>
      </c>
      <c r="CX73" s="223">
        <f t="shared" si="90"/>
        <v>6</v>
      </c>
      <c r="CY73" s="47" t="s">
        <v>0</v>
      </c>
      <c r="CZ73" s="47"/>
      <c r="DA73" s="47"/>
      <c r="DB73" s="47"/>
      <c r="DC73" s="47" t="s">
        <v>0</v>
      </c>
      <c r="DD73" s="53" t="str">
        <f t="shared" si="103"/>
        <v/>
      </c>
      <c r="DE73" t="s">
        <v>0</v>
      </c>
      <c r="DF73" s="128" t="str">
        <f t="shared" si="104"/>
        <v>M</v>
      </c>
      <c r="DG73" t="s">
        <v>0</v>
      </c>
      <c r="DH73" s="52" t="str">
        <f t="shared" si="105"/>
        <v/>
      </c>
      <c r="DI73" s="66" t="str">
        <f t="shared" si="106"/>
        <v/>
      </c>
      <c r="DJ73" t="s">
        <v>0</v>
      </c>
      <c r="DK73" s="19" t="str">
        <f t="shared" si="107"/>
        <v/>
      </c>
      <c r="DL73" s="47" t="s">
        <v>0</v>
      </c>
      <c r="DM73" s="19" t="str">
        <f t="shared" si="108"/>
        <v/>
      </c>
      <c r="DN73" s="47" t="s">
        <v>0</v>
      </c>
      <c r="DO73" s="52" t="str">
        <f t="shared" si="39"/>
        <v>Timo Vilim – Gobec – OK Vihor – M21B</v>
      </c>
      <c r="DP73" s="53">
        <f t="shared" si="40"/>
        <v>680</v>
      </c>
      <c r="DQ73" s="47" t="s">
        <v>0</v>
      </c>
      <c r="DR73" s="52" t="str">
        <f t="shared" si="41"/>
        <v>Timo Vilim – Gobec – OK Vihor</v>
      </c>
      <c r="DS73" s="53">
        <f t="shared" si="42"/>
        <v>680</v>
      </c>
      <c r="DT73" s="47" t="s">
        <v>0</v>
      </c>
      <c r="DU73" s="52" t="str">
        <f t="shared" si="43"/>
        <v>Timo Vilim – Gobec</v>
      </c>
      <c r="DV73" s="53">
        <f t="shared" si="44"/>
        <v>680</v>
      </c>
      <c r="DW73" s="47" t="s">
        <v>0</v>
      </c>
      <c r="DX73" s="58">
        <f t="shared" si="91"/>
        <v>680</v>
      </c>
      <c r="DY73" s="53" cm="1">
        <f t="array" ref="DY73">IF(DX73&lt;&gt;"",INDEX(regNatjecatelj_id,DX73,0),IF(BD73&lt;&gt;"",BD73,""))</f>
        <v>1297</v>
      </c>
      <c r="DZ73" s="47" t="s">
        <v>0</v>
      </c>
      <c r="EA73" s="58" t="str">
        <f t="shared" si="45"/>
        <v>imepre</v>
      </c>
      <c r="EB73" s="73" t="str">
        <f t="shared" si="46"/>
        <v>klu</v>
      </c>
      <c r="EC73" s="73" t="str">
        <f t="shared" si="47"/>
        <v>kat</v>
      </c>
      <c r="ED73" s="73" t="str">
        <f t="shared" si="48"/>
        <v/>
      </c>
      <c r="EE73" s="66" t="str">
        <f t="shared" si="49"/>
        <v>imepre-klu-kat</v>
      </c>
      <c r="EF73" s="47" t="s">
        <v>0</v>
      </c>
      <c r="EG73" s="58">
        <f>IF(AL73="","",MAX(EG$12:EG72)+1)</f>
        <v>243</v>
      </c>
      <c r="EH73" s="73">
        <f t="shared" si="50"/>
        <v>28</v>
      </c>
      <c r="EI73" s="73">
        <f t="shared" si="92"/>
        <v>1297</v>
      </c>
      <c r="EJ73" s="73">
        <f t="shared" si="51"/>
        <v>2703</v>
      </c>
      <c r="EK73" s="73">
        <f t="shared" si="52"/>
        <v>1</v>
      </c>
      <c r="EL73" s="73">
        <f t="shared" si="93"/>
        <v>1</v>
      </c>
      <c r="EM73" s="73">
        <f t="shared" si="94"/>
        <v>1</v>
      </c>
      <c r="EN73" s="73" t="str">
        <f t="shared" si="55"/>
        <v>0</v>
      </c>
      <c r="EO73" s="73" t="str">
        <f t="shared" si="56"/>
        <v/>
      </c>
      <c r="EP73" s="73" t="str">
        <f t="shared" si="57"/>
        <v/>
      </c>
      <c r="EQ73" s="53" t="str">
        <f t="shared" si="58"/>
        <v/>
      </c>
      <c r="ER73" s="47" t="s">
        <v>0</v>
      </c>
      <c r="ES73" s="19" t="str">
        <f t="shared" si="95"/>
        <v>INSERT INTO rezultat(id,stazakategorija_id,imeprezime_id,vrijeme_sec,status_id,registracija,uparivanje_id,originalstatus_id,imeprezimealias_id,klubalias_id,kategorijaalias_id) VALUES (243,28,1297,2703,1,1,1,0,Null,Null,Null);</v>
      </c>
      <c r="ET73" s="47" t="s">
        <v>0</v>
      </c>
      <c r="EU73" s="19" t="str">
        <f t="shared" si="96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3" s="47" t="s">
        <v>0</v>
      </c>
      <c r="EW73" s="180" t="str">
        <f t="shared" si="60"/>
        <v xml:space="preserve">
INSERT INTO rezultat(id,stazakategorija_id,imeprezime_id,vrijeme_sec,status_id,registracija,uparivanje_id,originalstatus_id,imeprezimealias_id,klubalias_id,kategorijaalias_id) VALUES (243,28,1297,2703,1,1,1,0,Null,Null,Null);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3" s="47" t="s">
        <v>0</v>
      </c>
    </row>
    <row r="74" spans="1:154" x14ac:dyDescent="0.25">
      <c r="A74" t="s">
        <v>0</v>
      </c>
      <c r="B74" s="52" t="str">
        <f>IF(csv!F64="","",csv!T64)</f>
        <v>M21B</v>
      </c>
      <c r="C74" s="31" t="s">
        <v>0</v>
      </c>
      <c r="D74" s="31" t="str">
        <f>IF(csv!F64="","",csv!F64)</f>
        <v>Matija</v>
      </c>
      <c r="E74" s="31" t="str">
        <f>IF(csv!E64="","",csv!E64)</f>
        <v>Kučinac</v>
      </c>
      <c r="F74" s="31" t="s">
        <v>0</v>
      </c>
      <c r="G74" s="73" t="str">
        <f>IF(csv!M64="","",csv!M64)</f>
        <v>45:11</v>
      </c>
      <c r="H74" s="73" t="str">
        <f>IF(csv!N64="","",csv!N64)</f>
        <v>0</v>
      </c>
      <c r="I74" s="31" t="s">
        <v>0</v>
      </c>
      <c r="J74" s="31" t="str">
        <f>IF(csv!P64="","",csv!P64)</f>
        <v>Vihor</v>
      </c>
      <c r="K74" s="31" t="str">
        <f>IF(csv!Q64="","",csv!Q64)</f>
        <v>OK Vihor</v>
      </c>
      <c r="L74" s="31" t="s">
        <v>0</v>
      </c>
      <c r="M74" s="66" t="str">
        <f>IF(csv!R64="","",csv!R64)</f>
        <v>CRO</v>
      </c>
      <c r="N74" s="47" t="s">
        <v>0</v>
      </c>
      <c r="O74" s="246" t="str">
        <f t="shared" si="61"/>
        <v>ok</v>
      </c>
      <c r="P74" s="47"/>
      <c r="Q74" s="52" t="str">
        <f t="shared" si="62"/>
        <v>M21B</v>
      </c>
      <c r="R74" s="73">
        <f>IF(Q74="","",IF(COUNTIF(Q$12:Q73,Q74)=0,R73+1,R73))</f>
        <v>6</v>
      </c>
      <c r="S74" s="73">
        <f t="shared" si="63"/>
        <v>108</v>
      </c>
      <c r="T74" s="73">
        <f t="shared" si="1"/>
        <v>19</v>
      </c>
      <c r="U74" s="66" t="str">
        <f t="shared" si="2"/>
        <v>M21B – M16</v>
      </c>
      <c r="V74" s="47" t="s">
        <v>0</v>
      </c>
      <c r="W74" s="222" t="str">
        <f t="shared" si="3"/>
        <v>M21B</v>
      </c>
      <c r="X74" s="223">
        <f t="shared" si="4"/>
        <v>28</v>
      </c>
      <c r="Y74" s="47" t="s">
        <v>0</v>
      </c>
      <c r="Z74" s="52" t="str">
        <f t="shared" si="64"/>
        <v>CRO</v>
      </c>
      <c r="AA74" s="73">
        <f t="shared" si="5"/>
        <v>1</v>
      </c>
      <c r="AB74" s="31" t="str">
        <f t="shared" si="65"/>
        <v/>
      </c>
      <c r="AC74" s="66" t="str">
        <f>IF(AB74="","",MAX(AC$12:AC73)+1)</f>
        <v/>
      </c>
      <c r="AD74" s="47" t="s">
        <v>0</v>
      </c>
      <c r="AE74" s="125"/>
      <c r="AF74" s="47" t="s">
        <v>0</v>
      </c>
      <c r="AG74" s="19" t="str">
        <f t="shared" si="66"/>
        <v/>
      </c>
      <c r="AH74" s="47" t="s">
        <v>0</v>
      </c>
      <c r="AI74" s="143" t="str">
        <f t="shared" si="67"/>
        <v>CRO</v>
      </c>
      <c r="AJ74" s="47"/>
      <c r="AK74" s="52" t="str">
        <f t="shared" si="68"/>
        <v>Matija</v>
      </c>
      <c r="AL74" s="31" t="str">
        <f t="shared" si="69"/>
        <v>Kučinac</v>
      </c>
      <c r="AM74" s="73">
        <f t="shared" si="70"/>
        <v>1489</v>
      </c>
      <c r="AN74" s="73" t="str">
        <f t="shared" si="71"/>
        <v/>
      </c>
      <c r="AO74" s="31" t="str">
        <f t="shared" si="8"/>
        <v>Matija</v>
      </c>
      <c r="AP74" s="66" t="str">
        <f t="shared" si="9"/>
        <v>Kučinac</v>
      </c>
      <c r="AQ74" s="47" t="s">
        <v>0</v>
      </c>
      <c r="AR74" s="82" t="str">
        <f t="shared" si="72"/>
        <v/>
      </c>
      <c r="AS74" s="47" t="s">
        <v>0</v>
      </c>
      <c r="AT74" s="19" t="str">
        <f t="shared" si="73"/>
        <v/>
      </c>
      <c r="AU74" s="47" t="s">
        <v>0</v>
      </c>
      <c r="AV74" s="103"/>
      <c r="AW74" s="105"/>
      <c r="AX74" s="47" t="s">
        <v>0</v>
      </c>
      <c r="AY74" s="259" t="str">
        <f t="shared" si="102"/>
        <v/>
      </c>
      <c r="AZ74" s="47" t="s">
        <v>0</v>
      </c>
      <c r="BA74" s="52" t="str">
        <f t="shared" si="11"/>
        <v/>
      </c>
      <c r="BB74" s="73" t="str">
        <f>IF(AV74&amp;AW74="","",MAX(BB$12:BB73)+1)</f>
        <v/>
      </c>
      <c r="BC74" s="272" t="str">
        <f t="shared" si="12"/>
        <v/>
      </c>
      <c r="BD74" s="53" t="str">
        <f>IF(AND(AM74="NEMA",AN74="NEMA",OR(AV74&amp;AW74="",BC74="NEMA")),MAX(BD$12:BD73)+1,"")</f>
        <v/>
      </c>
      <c r="BE74" s="47" t="s">
        <v>0</v>
      </c>
      <c r="BF74" s="52" t="str">
        <f t="shared" si="74"/>
        <v>Matija</v>
      </c>
      <c r="BG74" s="66" t="str">
        <f t="shared" si="75"/>
        <v>Kučinac</v>
      </c>
      <c r="BH74" s="47" t="s">
        <v>0</v>
      </c>
      <c r="BI74" s="52" t="str">
        <f t="shared" si="15"/>
        <v>Vihor</v>
      </c>
      <c r="BJ74" s="31" t="str">
        <f t="shared" si="16"/>
        <v>OK Vihor</v>
      </c>
      <c r="BK74" s="73" t="str">
        <f t="shared" si="17"/>
        <v/>
      </c>
      <c r="BL74" s="31" t="str" cm="1">
        <f t="array" ref="BL74">IF(BK74="",""&amp;BJ74,IF(BK74="NEMA",BJ74,INDEX(regKlub_naziv,MATCH(INDEX(regKlub_alias_klubId,BK74),regKlub_id,0))))</f>
        <v>OK Vihor</v>
      </c>
      <c r="BM74" s="31" t="str" cm="1">
        <f t="array" ref="BM74">IFERROR(""&amp;INDEX(regNatjecatelj_klub,DV74),"")</f>
        <v>OK Vihor</v>
      </c>
      <c r="BN74" s="73" t="str">
        <f t="shared" si="76"/>
        <v/>
      </c>
      <c r="BO74" s="66" t="str">
        <f t="shared" si="77"/>
        <v>OK Vihor</v>
      </c>
      <c r="BP74" s="47" t="s">
        <v>0</v>
      </c>
      <c r="BQ74" s="52" t="str">
        <f>IF(X74&lt;&gt;"NEMA","",IF(IFERROR(MATCH(W74,W$12:W73,0),0)&lt;&gt;0,"",W74))</f>
        <v/>
      </c>
      <c r="BR74" s="73" t="str">
        <f t="shared" si="78"/>
        <v/>
      </c>
      <c r="BS74" s="31" t="str">
        <f>IF(OR(BR74="",BR74&lt;&gt;"NEMA"),"",MAX(BS$12:BS73)+1)</f>
        <v/>
      </c>
      <c r="BT74" s="66" t="str">
        <f t="shared" si="79"/>
        <v/>
      </c>
      <c r="BU74" s="47" t="s">
        <v>0</v>
      </c>
      <c r="BV74" s="19" t="str">
        <f t="shared" si="80"/>
        <v/>
      </c>
      <c r="BW74" s="47" t="s">
        <v>0</v>
      </c>
      <c r="BX74" s="82" t="str">
        <f>IF(BK74&lt;&gt;"NEMA","",IF(IFERROR(MATCH(BJ74,BJ$12:BJ73,0),0)&lt;&gt;0,"",BJ74))</f>
        <v/>
      </c>
      <c r="BY74" s="47" t="s">
        <v>0</v>
      </c>
      <c r="BZ74" s="125"/>
      <c r="CA74" s="47" t="s">
        <v>0</v>
      </c>
      <c r="CB74" s="58" t="str">
        <f t="shared" si="81"/>
        <v/>
      </c>
      <c r="CC74" s="31" t="str">
        <f t="shared" si="82"/>
        <v/>
      </c>
      <c r="CD74" s="31" t="str">
        <f>IF(CC74="","",MAX(CD$12:CD73)+1)</f>
        <v/>
      </c>
      <c r="CE74" s="31" t="str">
        <f t="shared" si="22"/>
        <v/>
      </c>
      <c r="CF74" s="31" t="str">
        <f t="shared" si="83"/>
        <v/>
      </c>
      <c r="CG74" s="31" t="str">
        <f>IF(BZ74="","",MAX(CG$12:CG73)+1)</f>
        <v/>
      </c>
      <c r="CH74" s="31" t="str">
        <f t="shared" si="84"/>
        <v/>
      </c>
      <c r="CI74" s="66" t="str">
        <f t="shared" si="85"/>
        <v/>
      </c>
      <c r="CJ74" s="47" t="s">
        <v>0</v>
      </c>
      <c r="CK74" s="73" t="str">
        <f t="shared" si="25"/>
        <v/>
      </c>
      <c r="CL74" s="47"/>
      <c r="CM74" s="19" t="str">
        <f t="shared" si="86"/>
        <v/>
      </c>
      <c r="CN74" s="47" t="s">
        <v>0</v>
      </c>
      <c r="CO74" s="143" t="str">
        <f t="shared" si="87"/>
        <v>OK Vihor</v>
      </c>
      <c r="CP74" s="47" t="s">
        <v>0</v>
      </c>
      <c r="CQ74" s="58" t="str">
        <f t="shared" si="109"/>
        <v>45:11</v>
      </c>
      <c r="CR74" s="73" t="str">
        <f t="shared" si="110"/>
        <v>0</v>
      </c>
      <c r="CS74" s="229" t="str">
        <f t="shared" si="30"/>
        <v/>
      </c>
      <c r="CT74" s="230">
        <f t="shared" si="112"/>
        <v>2711</v>
      </c>
      <c r="CU74" s="163">
        <f t="shared" si="32"/>
        <v>1</v>
      </c>
      <c r="CV74" s="47" t="s">
        <v>0</v>
      </c>
      <c r="CW74" s="222" t="str">
        <f t="shared" si="89"/>
        <v xml:space="preserve">
</v>
      </c>
      <c r="CX74" s="223">
        <f t="shared" si="90"/>
        <v>6</v>
      </c>
      <c r="CY74" s="47" t="s">
        <v>0</v>
      </c>
      <c r="CZ74" s="47"/>
      <c r="DA74" s="47"/>
      <c r="DB74" s="47"/>
      <c r="DC74" s="47" t="s">
        <v>0</v>
      </c>
      <c r="DD74" s="53" t="str">
        <f t="shared" si="103"/>
        <v/>
      </c>
      <c r="DE74" t="s">
        <v>0</v>
      </c>
      <c r="DF74" s="128" t="str">
        <f t="shared" si="104"/>
        <v>M</v>
      </c>
      <c r="DG74" t="s">
        <v>0</v>
      </c>
      <c r="DH74" s="52" t="str">
        <f t="shared" si="105"/>
        <v/>
      </c>
      <c r="DI74" s="66" t="str">
        <f t="shared" si="106"/>
        <v/>
      </c>
      <c r="DJ74" t="s">
        <v>0</v>
      </c>
      <c r="DK74" s="19" t="str">
        <f t="shared" si="107"/>
        <v/>
      </c>
      <c r="DL74" s="47" t="s">
        <v>0</v>
      </c>
      <c r="DM74" s="19" t="str">
        <f t="shared" si="108"/>
        <v/>
      </c>
      <c r="DN74" s="47" t="s">
        <v>0</v>
      </c>
      <c r="DO74" s="52" t="str">
        <f t="shared" si="39"/>
        <v>Matija – Kučinac – OK Vihor – M21B</v>
      </c>
      <c r="DP74" s="53">
        <f t="shared" si="40"/>
        <v>761</v>
      </c>
      <c r="DQ74" s="47" t="s">
        <v>0</v>
      </c>
      <c r="DR74" s="52" t="str">
        <f t="shared" si="41"/>
        <v>Matija – Kučinac – OK Vihor</v>
      </c>
      <c r="DS74" s="53">
        <f t="shared" si="42"/>
        <v>761</v>
      </c>
      <c r="DT74" s="47" t="s">
        <v>0</v>
      </c>
      <c r="DU74" s="52" t="str">
        <f t="shared" si="43"/>
        <v>Matija – Kučinac</v>
      </c>
      <c r="DV74" s="53">
        <f t="shared" si="44"/>
        <v>761</v>
      </c>
      <c r="DW74" s="47" t="s">
        <v>0</v>
      </c>
      <c r="DX74" s="58">
        <f t="shared" si="91"/>
        <v>761</v>
      </c>
      <c r="DY74" s="53" cm="1">
        <f t="array" ref="DY74">IF(DX74&lt;&gt;"",INDEX(regNatjecatelj_id,DX74,0),IF(BD74&lt;&gt;"",BD74,""))</f>
        <v>1489</v>
      </c>
      <c r="DZ74" s="47" t="s">
        <v>0</v>
      </c>
      <c r="EA74" s="58" t="str">
        <f t="shared" si="45"/>
        <v>imepre</v>
      </c>
      <c r="EB74" s="73" t="str">
        <f t="shared" si="46"/>
        <v>klu</v>
      </c>
      <c r="EC74" s="73" t="str">
        <f t="shared" si="47"/>
        <v>kat</v>
      </c>
      <c r="ED74" s="73" t="str">
        <f t="shared" si="48"/>
        <v/>
      </c>
      <c r="EE74" s="66" t="str">
        <f t="shared" si="49"/>
        <v>imepre-klu-kat</v>
      </c>
      <c r="EF74" s="47" t="s">
        <v>0</v>
      </c>
      <c r="EG74" s="58">
        <f>IF(AL74="","",MAX(EG$12:EG73)+1)</f>
        <v>244</v>
      </c>
      <c r="EH74" s="73">
        <f t="shared" si="50"/>
        <v>28</v>
      </c>
      <c r="EI74" s="73">
        <f t="shared" si="92"/>
        <v>1489</v>
      </c>
      <c r="EJ74" s="73">
        <f t="shared" si="51"/>
        <v>2711</v>
      </c>
      <c r="EK74" s="73">
        <f t="shared" si="52"/>
        <v>1</v>
      </c>
      <c r="EL74" s="73">
        <f t="shared" si="93"/>
        <v>1</v>
      </c>
      <c r="EM74" s="73">
        <f t="shared" si="94"/>
        <v>1</v>
      </c>
      <c r="EN74" s="73" t="str">
        <f t="shared" si="55"/>
        <v>0</v>
      </c>
      <c r="EO74" s="73" t="str">
        <f t="shared" si="56"/>
        <v/>
      </c>
      <c r="EP74" s="73" t="str">
        <f t="shared" si="57"/>
        <v/>
      </c>
      <c r="EQ74" s="53" t="str">
        <f t="shared" si="58"/>
        <v/>
      </c>
      <c r="ER74" s="47" t="s">
        <v>0</v>
      </c>
      <c r="ES74" s="19" t="str">
        <f t="shared" si="95"/>
        <v>INSERT INTO rezultat(id,stazakategorija_id,imeprezime_id,vrijeme_sec,status_id,registracija,uparivanje_id,originalstatus_id,imeprezimealias_id,klubalias_id,kategorijaalias_id) VALUES (244,28,1489,2711,1,1,1,0,Null,Null,Null);</v>
      </c>
      <c r="ET74" s="47" t="s">
        <v>0</v>
      </c>
      <c r="EU74" s="19" t="str">
        <f t="shared" si="96"/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4" s="47" t="s">
        <v>0</v>
      </c>
      <c r="EW74" s="180" t="str">
        <f t="shared" si="60"/>
        <v xml:space="preserve">
INSERT INTO rezultat(id,stazakategorija_id,imeprezime_id,vrijeme_sec,status_id,registracija,uparivanje_id,originalstatus_id,imeprezimealias_id,klubalias_id,kategorijaalias_id) VALUES (244,28,1489,2711,1,1,1,0,Null,Null,Null);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4" s="47" t="s">
        <v>0</v>
      </c>
    </row>
    <row r="75" spans="1:154" x14ac:dyDescent="0.25">
      <c r="A75" t="s">
        <v>0</v>
      </c>
      <c r="B75" s="52" t="str">
        <f>IF(csv!F65="","",csv!T65)</f>
        <v>M21B</v>
      </c>
      <c r="C75" s="31" t="s">
        <v>0</v>
      </c>
      <c r="D75" s="31" t="str">
        <f>IF(csv!F65="","",csv!F65)</f>
        <v>Dominik</v>
      </c>
      <c r="E75" s="31" t="str">
        <f>IF(csv!E65="","",csv!E65)</f>
        <v>Klasić</v>
      </c>
      <c r="F75" s="31" t="s">
        <v>0</v>
      </c>
      <c r="G75" s="73" t="str">
        <f>IF(csv!M65="","",csv!M65)</f>
        <v>48:04</v>
      </c>
      <c r="H75" s="73" t="str">
        <f>IF(csv!N65="","",csv!N65)</f>
        <v>0</v>
      </c>
      <c r="I75" s="31" t="s">
        <v>0</v>
      </c>
      <c r="J75" s="31" t="str">
        <f>IF(csv!P65="","",csv!P65)</f>
        <v>Maksimir</v>
      </c>
      <c r="K75" s="31" t="str">
        <f>IF(csv!Q65="","",csv!Q65)</f>
        <v>OK Maksimir</v>
      </c>
      <c r="L75" s="31" t="s">
        <v>0</v>
      </c>
      <c r="M75" s="66" t="str">
        <f>IF(csv!R65="","",csv!R65)</f>
        <v>CRO</v>
      </c>
      <c r="N75" s="47" t="s">
        <v>0</v>
      </c>
      <c r="O75" s="246" t="str">
        <f t="shared" si="61"/>
        <v>ok</v>
      </c>
      <c r="P75" s="47"/>
      <c r="Q75" s="52" t="str">
        <f t="shared" si="62"/>
        <v>M21B</v>
      </c>
      <c r="R75" s="73">
        <f>IF(Q75="","",IF(COUNTIF(Q$12:Q74,Q75)=0,R74+1,R74))</f>
        <v>6</v>
      </c>
      <c r="S75" s="73">
        <f t="shared" si="63"/>
        <v>108</v>
      </c>
      <c r="T75" s="73">
        <f t="shared" si="1"/>
        <v>19</v>
      </c>
      <c r="U75" s="66" t="str">
        <f t="shared" si="2"/>
        <v>M21B – M16</v>
      </c>
      <c r="V75" s="47" t="s">
        <v>0</v>
      </c>
      <c r="W75" s="222" t="str">
        <f t="shared" si="3"/>
        <v>M21B</v>
      </c>
      <c r="X75" s="223">
        <f t="shared" si="4"/>
        <v>28</v>
      </c>
      <c r="Y75" s="47" t="s">
        <v>0</v>
      </c>
      <c r="Z75" s="52" t="str">
        <f t="shared" si="64"/>
        <v>CRO</v>
      </c>
      <c r="AA75" s="73">
        <f t="shared" si="5"/>
        <v>1</v>
      </c>
      <c r="AB75" s="31" t="str">
        <f t="shared" si="65"/>
        <v/>
      </c>
      <c r="AC75" s="66" t="str">
        <f>IF(AB75="","",MAX(AC$12:AC74)+1)</f>
        <v/>
      </c>
      <c r="AD75" s="47" t="s">
        <v>0</v>
      </c>
      <c r="AE75" s="125"/>
      <c r="AF75" s="47" t="s">
        <v>0</v>
      </c>
      <c r="AG75" s="19" t="str">
        <f t="shared" si="66"/>
        <v/>
      </c>
      <c r="AH75" s="47" t="s">
        <v>0</v>
      </c>
      <c r="AI75" s="143" t="str">
        <f t="shared" si="67"/>
        <v>CRO</v>
      </c>
      <c r="AJ75" s="47"/>
      <c r="AK75" s="52" t="str">
        <f t="shared" si="68"/>
        <v>Dominik</v>
      </c>
      <c r="AL75" s="31" t="str">
        <f t="shared" si="69"/>
        <v>Klasić</v>
      </c>
      <c r="AM75" s="73">
        <f t="shared" si="70"/>
        <v>1176</v>
      </c>
      <c r="AN75" s="73" t="str">
        <f t="shared" si="71"/>
        <v/>
      </c>
      <c r="AO75" s="31" t="str">
        <f t="shared" si="8"/>
        <v>Dominik</v>
      </c>
      <c r="AP75" s="66" t="str">
        <f t="shared" si="9"/>
        <v>Klasić</v>
      </c>
      <c r="AQ75" s="47" t="s">
        <v>0</v>
      </c>
      <c r="AR75" s="82" t="str">
        <f t="shared" si="72"/>
        <v/>
      </c>
      <c r="AS75" s="47" t="s">
        <v>0</v>
      </c>
      <c r="AT75" s="19" t="str">
        <f t="shared" si="73"/>
        <v/>
      </c>
      <c r="AU75" s="47" t="s">
        <v>0</v>
      </c>
      <c r="AV75" s="103"/>
      <c r="AW75" s="105"/>
      <c r="AX75" s="47" t="s">
        <v>0</v>
      </c>
      <c r="AY75" s="259" t="str">
        <f t="shared" si="102"/>
        <v/>
      </c>
      <c r="AZ75" s="47" t="s">
        <v>0</v>
      </c>
      <c r="BA75" s="52" t="str">
        <f t="shared" si="11"/>
        <v/>
      </c>
      <c r="BB75" s="73" t="str">
        <f>IF(AV75&amp;AW75="","",MAX(BB$12:BB74)+1)</f>
        <v/>
      </c>
      <c r="BC75" s="272" t="str">
        <f t="shared" si="12"/>
        <v/>
      </c>
      <c r="BD75" s="53" t="str">
        <f>IF(AND(AM75="NEMA",AN75="NEMA",OR(AV75&amp;AW75="",BC75="NEMA")),MAX(BD$12:BD74)+1,"")</f>
        <v/>
      </c>
      <c r="BE75" s="47" t="s">
        <v>0</v>
      </c>
      <c r="BF75" s="52" t="str">
        <f t="shared" si="74"/>
        <v>Dominik</v>
      </c>
      <c r="BG75" s="66" t="str">
        <f t="shared" si="75"/>
        <v>Klasić</v>
      </c>
      <c r="BH75" s="47" t="s">
        <v>0</v>
      </c>
      <c r="BI75" s="52" t="str">
        <f t="shared" si="15"/>
        <v>Maksimir</v>
      </c>
      <c r="BJ75" s="31" t="str">
        <f t="shared" si="16"/>
        <v>OK Maksimir</v>
      </c>
      <c r="BK75" s="73" t="str">
        <f t="shared" si="17"/>
        <v/>
      </c>
      <c r="BL75" s="31" t="str" cm="1">
        <f t="array" ref="BL75">IF(BK75="",""&amp;BJ75,IF(BK75="NEMA",BJ75,INDEX(regKlub_naziv,MATCH(INDEX(regKlub_alias_klubId,BK75),regKlub_id,0))))</f>
        <v>OK Maksimir</v>
      </c>
      <c r="BM75" s="31" t="str" cm="1">
        <f t="array" ref="BM75">IFERROR(""&amp;INDEX(regNatjecatelj_klub,DV75),"")</f>
        <v>OK Maksimir</v>
      </c>
      <c r="BN75" s="73" t="str">
        <f t="shared" si="76"/>
        <v/>
      </c>
      <c r="BO75" s="66" t="str">
        <f t="shared" si="77"/>
        <v>OK Maksimir</v>
      </c>
      <c r="BP75" s="47" t="s">
        <v>0</v>
      </c>
      <c r="BQ75" s="52" t="str">
        <f>IF(X75&lt;&gt;"NEMA","",IF(IFERROR(MATCH(W75,W$12:W74,0),0)&lt;&gt;0,"",W75))</f>
        <v/>
      </c>
      <c r="BR75" s="73" t="str">
        <f t="shared" si="78"/>
        <v/>
      </c>
      <c r="BS75" s="31" t="str">
        <f>IF(OR(BR75="",BR75&lt;&gt;"NEMA"),"",MAX(BS$12:BS74)+1)</f>
        <v/>
      </c>
      <c r="BT75" s="66" t="str">
        <f t="shared" si="79"/>
        <v/>
      </c>
      <c r="BU75" s="47" t="s">
        <v>0</v>
      </c>
      <c r="BV75" s="19" t="str">
        <f t="shared" si="80"/>
        <v/>
      </c>
      <c r="BW75" s="47" t="s">
        <v>0</v>
      </c>
      <c r="BX75" s="82" t="str">
        <f>IF(BK75&lt;&gt;"NEMA","",IF(IFERROR(MATCH(BJ75,BJ$12:BJ74,0),0)&lt;&gt;0,"",BJ75))</f>
        <v/>
      </c>
      <c r="BY75" s="47" t="s">
        <v>0</v>
      </c>
      <c r="BZ75" s="125"/>
      <c r="CA75" s="47" t="s">
        <v>0</v>
      </c>
      <c r="CB75" s="58" t="str">
        <f t="shared" si="81"/>
        <v/>
      </c>
      <c r="CC75" s="31" t="str">
        <f t="shared" si="82"/>
        <v/>
      </c>
      <c r="CD75" s="31" t="str">
        <f>IF(CC75="","",MAX(CD$12:CD74)+1)</f>
        <v/>
      </c>
      <c r="CE75" s="31" t="str">
        <f t="shared" si="22"/>
        <v/>
      </c>
      <c r="CF75" s="31" t="str">
        <f t="shared" si="83"/>
        <v/>
      </c>
      <c r="CG75" s="31" t="str">
        <f>IF(BZ75="","",MAX(CG$12:CG74)+1)</f>
        <v/>
      </c>
      <c r="CH75" s="31" t="str">
        <f t="shared" si="84"/>
        <v/>
      </c>
      <c r="CI75" s="66" t="str">
        <f t="shared" si="85"/>
        <v/>
      </c>
      <c r="CJ75" s="47" t="s">
        <v>0</v>
      </c>
      <c r="CK75" s="73" t="str">
        <f t="shared" si="25"/>
        <v/>
      </c>
      <c r="CL75" s="47"/>
      <c r="CM75" s="19" t="str">
        <f t="shared" si="86"/>
        <v/>
      </c>
      <c r="CN75" s="47" t="s">
        <v>0</v>
      </c>
      <c r="CO75" s="143" t="str">
        <f t="shared" si="87"/>
        <v>OK Maksimir</v>
      </c>
      <c r="CP75" s="47" t="s">
        <v>0</v>
      </c>
      <c r="CQ75" s="58" t="str">
        <f t="shared" si="109"/>
        <v>48:04</v>
      </c>
      <c r="CR75" s="73" t="str">
        <f t="shared" si="110"/>
        <v>0</v>
      </c>
      <c r="CS75" s="229" t="str">
        <f t="shared" si="30"/>
        <v/>
      </c>
      <c r="CT75" s="230">
        <f t="shared" si="112"/>
        <v>2884</v>
      </c>
      <c r="CU75" s="163">
        <f t="shared" si="32"/>
        <v>1</v>
      </c>
      <c r="CV75" s="47" t="s">
        <v>0</v>
      </c>
      <c r="CW75" s="222" t="str">
        <f t="shared" si="89"/>
        <v xml:space="preserve">
</v>
      </c>
      <c r="CX75" s="223">
        <f t="shared" si="90"/>
        <v>6</v>
      </c>
      <c r="CY75" s="47" t="s">
        <v>0</v>
      </c>
      <c r="CZ75" s="47"/>
      <c r="DA75" s="47"/>
      <c r="DB75" s="47"/>
      <c r="DC75" s="47" t="s">
        <v>0</v>
      </c>
      <c r="DD75" s="53" t="str">
        <f t="shared" si="103"/>
        <v/>
      </c>
      <c r="DE75" t="s">
        <v>0</v>
      </c>
      <c r="DF75" s="128" t="str">
        <f t="shared" si="104"/>
        <v>M</v>
      </c>
      <c r="DG75" t="s">
        <v>0</v>
      </c>
      <c r="DH75" s="52" t="str">
        <f t="shared" si="105"/>
        <v/>
      </c>
      <c r="DI75" s="66" t="str">
        <f t="shared" si="106"/>
        <v/>
      </c>
      <c r="DJ75" t="s">
        <v>0</v>
      </c>
      <c r="DK75" s="19" t="str">
        <f t="shared" si="107"/>
        <v/>
      </c>
      <c r="DL75" s="47" t="s">
        <v>0</v>
      </c>
      <c r="DM75" s="19" t="str">
        <f t="shared" si="108"/>
        <v/>
      </c>
      <c r="DN75" s="47" t="s">
        <v>0</v>
      </c>
      <c r="DO75" s="52" t="str">
        <f t="shared" si="39"/>
        <v>Dominik – Klasić – OK Maksimir – M21B</v>
      </c>
      <c r="DP75" s="53">
        <f t="shared" si="40"/>
        <v>361</v>
      </c>
      <c r="DQ75" s="47" t="s">
        <v>0</v>
      </c>
      <c r="DR75" s="52" t="str">
        <f t="shared" si="41"/>
        <v>Dominik – Klasić – OK Maksimir</v>
      </c>
      <c r="DS75" s="53">
        <f t="shared" si="42"/>
        <v>361</v>
      </c>
      <c r="DT75" s="47" t="s">
        <v>0</v>
      </c>
      <c r="DU75" s="52" t="str">
        <f t="shared" si="43"/>
        <v>Dominik – Klasić</v>
      </c>
      <c r="DV75" s="53">
        <f t="shared" si="44"/>
        <v>361</v>
      </c>
      <c r="DW75" s="47" t="s">
        <v>0</v>
      </c>
      <c r="DX75" s="58">
        <f t="shared" si="91"/>
        <v>361</v>
      </c>
      <c r="DY75" s="53" cm="1">
        <f t="array" ref="DY75">IF(DX75&lt;&gt;"",INDEX(regNatjecatelj_id,DX75,0),IF(BD75&lt;&gt;"",BD75,""))</f>
        <v>1176</v>
      </c>
      <c r="DZ75" s="47" t="s">
        <v>0</v>
      </c>
      <c r="EA75" s="58" t="str">
        <f t="shared" si="45"/>
        <v>imepre</v>
      </c>
      <c r="EB75" s="73" t="str">
        <f t="shared" si="46"/>
        <v>klu</v>
      </c>
      <c r="EC75" s="73" t="str">
        <f t="shared" si="47"/>
        <v>kat</v>
      </c>
      <c r="ED75" s="73" t="str">
        <f t="shared" si="48"/>
        <v/>
      </c>
      <c r="EE75" s="66" t="str">
        <f t="shared" si="49"/>
        <v>imepre-klu-kat</v>
      </c>
      <c r="EF75" s="47" t="s">
        <v>0</v>
      </c>
      <c r="EG75" s="58">
        <f>IF(AL75="","",MAX(EG$12:EG74)+1)</f>
        <v>245</v>
      </c>
      <c r="EH75" s="73">
        <f t="shared" si="50"/>
        <v>28</v>
      </c>
      <c r="EI75" s="73">
        <f t="shared" si="92"/>
        <v>1176</v>
      </c>
      <c r="EJ75" s="73">
        <f t="shared" si="51"/>
        <v>2884</v>
      </c>
      <c r="EK75" s="73">
        <f t="shared" si="52"/>
        <v>1</v>
      </c>
      <c r="EL75" s="73">
        <f t="shared" si="93"/>
        <v>1</v>
      </c>
      <c r="EM75" s="73">
        <f t="shared" si="94"/>
        <v>1</v>
      </c>
      <c r="EN75" s="73" t="str">
        <f t="shared" si="55"/>
        <v>0</v>
      </c>
      <c r="EO75" s="73" t="str">
        <f t="shared" si="56"/>
        <v/>
      </c>
      <c r="EP75" s="73" t="str">
        <f t="shared" si="57"/>
        <v/>
      </c>
      <c r="EQ75" s="53" t="str">
        <f t="shared" si="58"/>
        <v/>
      </c>
      <c r="ER75" s="47" t="s">
        <v>0</v>
      </c>
      <c r="ES75" s="19" t="str">
        <f t="shared" si="95"/>
        <v>INSERT INTO rezultat(id,stazakategorija_id,imeprezime_id,vrijeme_sec,status_id,registracija,uparivanje_id,originalstatus_id,imeprezimealias_id,klubalias_id,kategorijaalias_id) VALUES (245,28,1176,2884,1,1,1,0,Null,Null,Null);</v>
      </c>
      <c r="ET75" s="47" t="s">
        <v>0</v>
      </c>
      <c r="EU75" s="19" t="str">
        <f t="shared" si="96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5" s="47" t="s">
        <v>0</v>
      </c>
      <c r="EW75" s="180" t="str">
        <f t="shared" si="60"/>
        <v xml:space="preserve">
INSERT INTO rezultat(id,stazakategorija_id,imeprezime_id,vrijeme_sec,status_id,registracija,uparivanje_id,originalstatus_id,imeprezimealias_id,klubalias_id,kategorijaalias_id) VALUES (245,28,1176,2884,1,1,1,0,Null,Null,Null);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5" s="47" t="s">
        <v>0</v>
      </c>
    </row>
    <row r="76" spans="1:154" x14ac:dyDescent="0.25">
      <c r="A76" t="s">
        <v>0</v>
      </c>
      <c r="B76" s="52" t="str">
        <f>IF(csv!F66="","",csv!T66)</f>
        <v>M21B</v>
      </c>
      <c r="C76" s="31" t="s">
        <v>0</v>
      </c>
      <c r="D76" s="31" t="str">
        <f>IF(csv!F66="","",csv!F66)</f>
        <v>Predrag</v>
      </c>
      <c r="E76" s="31" t="str">
        <f>IF(csv!E66="","",csv!E66)</f>
        <v>Mađarić</v>
      </c>
      <c r="F76" s="31" t="s">
        <v>0</v>
      </c>
      <c r="G76" s="73" t="str">
        <f>IF(csv!M66="","",csv!M66)</f>
        <v>50:25</v>
      </c>
      <c r="H76" s="73" t="str">
        <f>IF(csv!N66="","",csv!N66)</f>
        <v>0</v>
      </c>
      <c r="I76" s="31" t="s">
        <v>0</v>
      </c>
      <c r="J76" s="31" t="str">
        <f>IF(csv!P66="","",csv!P66)</f>
        <v>OK Varaždin</v>
      </c>
      <c r="K76" s="31" t="str">
        <f>IF(csv!Q66="","",csv!Q66)</f>
        <v>OK Varaždin</v>
      </c>
      <c r="L76" s="31" t="s">
        <v>0</v>
      </c>
      <c r="M76" s="66" t="str">
        <f>IF(csv!R66="","",csv!R66)</f>
        <v>CRO</v>
      </c>
      <c r="N76" s="47" t="s">
        <v>0</v>
      </c>
      <c r="O76" s="246" t="str">
        <f t="shared" si="61"/>
        <v>ok</v>
      </c>
      <c r="P76" s="47"/>
      <c r="Q76" s="52" t="str">
        <f t="shared" si="62"/>
        <v>M21B</v>
      </c>
      <c r="R76" s="73">
        <f>IF(Q76="","",IF(COUNTIF(Q$12:Q75,Q76)=0,R75+1,R75))</f>
        <v>6</v>
      </c>
      <c r="S76" s="73">
        <f t="shared" si="63"/>
        <v>108</v>
      </c>
      <c r="T76" s="73">
        <f t="shared" si="1"/>
        <v>19</v>
      </c>
      <c r="U76" s="66" t="str">
        <f t="shared" si="2"/>
        <v>M21B – M16</v>
      </c>
      <c r="V76" s="47" t="s">
        <v>0</v>
      </c>
      <c r="W76" s="222" t="str">
        <f t="shared" si="3"/>
        <v>M21B</v>
      </c>
      <c r="X76" s="223">
        <f t="shared" si="4"/>
        <v>28</v>
      </c>
      <c r="Y76" s="47" t="s">
        <v>0</v>
      </c>
      <c r="Z76" s="52" t="str">
        <f t="shared" si="64"/>
        <v>CRO</v>
      </c>
      <c r="AA76" s="73">
        <f t="shared" si="5"/>
        <v>1</v>
      </c>
      <c r="AB76" s="31" t="str">
        <f t="shared" si="65"/>
        <v/>
      </c>
      <c r="AC76" s="66" t="str">
        <f>IF(AB76="","",MAX(AC$12:AC75)+1)</f>
        <v/>
      </c>
      <c r="AD76" s="47" t="s">
        <v>0</v>
      </c>
      <c r="AE76" s="125"/>
      <c r="AF76" s="47" t="s">
        <v>0</v>
      </c>
      <c r="AG76" s="19" t="str">
        <f t="shared" si="66"/>
        <v/>
      </c>
      <c r="AH76" s="47" t="s">
        <v>0</v>
      </c>
      <c r="AI76" s="143" t="str">
        <f t="shared" si="67"/>
        <v>CRO</v>
      </c>
      <c r="AJ76" s="47"/>
      <c r="AK76" s="52" t="str">
        <f t="shared" si="68"/>
        <v>Predrag</v>
      </c>
      <c r="AL76" s="31" t="str">
        <f t="shared" si="69"/>
        <v>Mađarić</v>
      </c>
      <c r="AM76" s="73">
        <f t="shared" si="70"/>
        <v>1936</v>
      </c>
      <c r="AN76" s="73" t="str">
        <f t="shared" si="71"/>
        <v/>
      </c>
      <c r="AO76" s="31" t="str">
        <f t="shared" si="8"/>
        <v>Predrag</v>
      </c>
      <c r="AP76" s="66" t="str">
        <f t="shared" si="9"/>
        <v>Mađarić</v>
      </c>
      <c r="AQ76" s="47" t="s">
        <v>0</v>
      </c>
      <c r="AR76" s="82" t="str">
        <f t="shared" si="72"/>
        <v/>
      </c>
      <c r="AS76" s="47" t="s">
        <v>0</v>
      </c>
      <c r="AT76" s="19" t="str">
        <f t="shared" si="73"/>
        <v/>
      </c>
      <c r="AU76" s="47" t="s">
        <v>0</v>
      </c>
      <c r="AV76" s="103"/>
      <c r="AW76" s="105"/>
      <c r="AX76" s="47" t="s">
        <v>0</v>
      </c>
      <c r="AY76" s="259" t="str">
        <f t="shared" si="102"/>
        <v/>
      </c>
      <c r="AZ76" s="47" t="s">
        <v>0</v>
      </c>
      <c r="BA76" s="52" t="str">
        <f t="shared" si="11"/>
        <v/>
      </c>
      <c r="BB76" s="73" t="str">
        <f>IF(AV76&amp;AW76="","",MAX(BB$12:BB75)+1)</f>
        <v/>
      </c>
      <c r="BC76" s="272" t="str">
        <f t="shared" si="12"/>
        <v/>
      </c>
      <c r="BD76" s="53" t="str">
        <f>IF(AND(AM76="NEMA",AN76="NEMA",OR(AV76&amp;AW76="",BC76="NEMA")),MAX(BD$12:BD75)+1,"")</f>
        <v/>
      </c>
      <c r="BE76" s="47" t="s">
        <v>0</v>
      </c>
      <c r="BF76" s="52" t="str">
        <f t="shared" si="74"/>
        <v>Predrag</v>
      </c>
      <c r="BG76" s="66" t="str">
        <f t="shared" si="75"/>
        <v>Mađarić</v>
      </c>
      <c r="BH76" s="47" t="s">
        <v>0</v>
      </c>
      <c r="BI76" s="52" t="str">
        <f t="shared" si="15"/>
        <v>OK Varaždin</v>
      </c>
      <c r="BJ76" s="31" t="str">
        <f t="shared" si="16"/>
        <v>OK Varaždin</v>
      </c>
      <c r="BK76" s="73" t="str">
        <f t="shared" si="17"/>
        <v/>
      </c>
      <c r="BL76" s="31" t="str" cm="1">
        <f t="array" ref="BL76">IF(BK76="",""&amp;BJ76,IF(BK76="NEMA",BJ76,INDEX(regKlub_naziv,MATCH(INDEX(regKlub_alias_klubId,BK76),regKlub_id,0))))</f>
        <v>OK Varaždin</v>
      </c>
      <c r="BM76" s="31" t="str" cm="1">
        <f t="array" ref="BM76">IFERROR(""&amp;INDEX(regNatjecatelj_klub,DV76),"")</f>
        <v>OK Varaždin</v>
      </c>
      <c r="BN76" s="73" t="str">
        <f t="shared" si="76"/>
        <v/>
      </c>
      <c r="BO76" s="66" t="str">
        <f t="shared" si="77"/>
        <v>OK Varaždin</v>
      </c>
      <c r="BP76" s="47" t="s">
        <v>0</v>
      </c>
      <c r="BQ76" s="52" t="str">
        <f>IF(X76&lt;&gt;"NEMA","",IF(IFERROR(MATCH(W76,W$12:W75,0),0)&lt;&gt;0,"",W76))</f>
        <v/>
      </c>
      <c r="BR76" s="73" t="str">
        <f t="shared" si="78"/>
        <v/>
      </c>
      <c r="BS76" s="31" t="str">
        <f>IF(OR(BR76="",BR76&lt;&gt;"NEMA"),"",MAX(BS$12:BS75)+1)</f>
        <v/>
      </c>
      <c r="BT76" s="66" t="str">
        <f t="shared" si="79"/>
        <v/>
      </c>
      <c r="BU76" s="47" t="s">
        <v>0</v>
      </c>
      <c r="BV76" s="19" t="str">
        <f t="shared" si="80"/>
        <v/>
      </c>
      <c r="BW76" s="47" t="s">
        <v>0</v>
      </c>
      <c r="BX76" s="82" t="str">
        <f>IF(BK76&lt;&gt;"NEMA","",IF(IFERROR(MATCH(BJ76,BJ$12:BJ75,0),0)&lt;&gt;0,"",BJ76))</f>
        <v/>
      </c>
      <c r="BY76" s="47" t="s">
        <v>0</v>
      </c>
      <c r="BZ76" s="125"/>
      <c r="CA76" s="47" t="s">
        <v>0</v>
      </c>
      <c r="CB76" s="58" t="str">
        <f t="shared" si="81"/>
        <v/>
      </c>
      <c r="CC76" s="31" t="str">
        <f t="shared" si="82"/>
        <v/>
      </c>
      <c r="CD76" s="31" t="str">
        <f>IF(CC76="","",MAX(CD$12:CD75)+1)</f>
        <v/>
      </c>
      <c r="CE76" s="31" t="str">
        <f t="shared" si="22"/>
        <v/>
      </c>
      <c r="CF76" s="31" t="str">
        <f t="shared" si="83"/>
        <v/>
      </c>
      <c r="CG76" s="31" t="str">
        <f>IF(BZ76="","",MAX(CG$12:CG75)+1)</f>
        <v/>
      </c>
      <c r="CH76" s="31" t="str">
        <f t="shared" si="84"/>
        <v/>
      </c>
      <c r="CI76" s="66" t="str">
        <f t="shared" si="85"/>
        <v/>
      </c>
      <c r="CJ76" s="47" t="s">
        <v>0</v>
      </c>
      <c r="CK76" s="73" t="str">
        <f t="shared" si="25"/>
        <v/>
      </c>
      <c r="CL76" s="47"/>
      <c r="CM76" s="19" t="str">
        <f t="shared" si="86"/>
        <v/>
      </c>
      <c r="CN76" s="47" t="s">
        <v>0</v>
      </c>
      <c r="CO76" s="143" t="str">
        <f t="shared" si="87"/>
        <v>OK Varaždin</v>
      </c>
      <c r="CP76" s="47" t="s">
        <v>0</v>
      </c>
      <c r="CQ76" s="58" t="str">
        <f t="shared" si="109"/>
        <v>50:25</v>
      </c>
      <c r="CR76" s="73" t="str">
        <f t="shared" si="110"/>
        <v>0</v>
      </c>
      <c r="CS76" s="229" t="str">
        <f t="shared" si="30"/>
        <v/>
      </c>
      <c r="CT76" s="230">
        <f t="shared" si="112"/>
        <v>3025</v>
      </c>
      <c r="CU76" s="163">
        <f t="shared" si="32"/>
        <v>1</v>
      </c>
      <c r="CV76" s="47" t="s">
        <v>0</v>
      </c>
      <c r="CW76" s="222" t="str">
        <f t="shared" si="89"/>
        <v xml:space="preserve">
</v>
      </c>
      <c r="CX76" s="223">
        <f t="shared" si="90"/>
        <v>6</v>
      </c>
      <c r="CY76" s="47" t="s">
        <v>0</v>
      </c>
      <c r="CZ76" s="47"/>
      <c r="DA76" s="47"/>
      <c r="DB76" s="47"/>
      <c r="DC76" s="47" t="s">
        <v>0</v>
      </c>
      <c r="DD76" s="53" t="str">
        <f t="shared" si="103"/>
        <v/>
      </c>
      <c r="DE76" t="s">
        <v>0</v>
      </c>
      <c r="DF76" s="128" t="str">
        <f t="shared" si="104"/>
        <v>M</v>
      </c>
      <c r="DG76" t="s">
        <v>0</v>
      </c>
      <c r="DH76" s="52" t="str">
        <f t="shared" si="105"/>
        <v/>
      </c>
      <c r="DI76" s="66" t="str">
        <f t="shared" si="106"/>
        <v/>
      </c>
      <c r="DJ76" t="s">
        <v>0</v>
      </c>
      <c r="DK76" s="19" t="str">
        <f t="shared" si="107"/>
        <v/>
      </c>
      <c r="DL76" s="47" t="s">
        <v>0</v>
      </c>
      <c r="DM76" s="19" t="str">
        <f t="shared" si="108"/>
        <v/>
      </c>
      <c r="DN76" s="47" t="s">
        <v>0</v>
      </c>
      <c r="DO76" s="52" t="str">
        <f t="shared" si="39"/>
        <v>Predrag – Mađarić – OK Varaždin – M21B</v>
      </c>
      <c r="DP76" s="53">
        <f t="shared" si="40"/>
        <v>557</v>
      </c>
      <c r="DQ76" s="47" t="s">
        <v>0</v>
      </c>
      <c r="DR76" s="52" t="str">
        <f t="shared" si="41"/>
        <v>Predrag – Mađarić – OK Varaždin</v>
      </c>
      <c r="DS76" s="53">
        <f t="shared" si="42"/>
        <v>557</v>
      </c>
      <c r="DT76" s="47" t="s">
        <v>0</v>
      </c>
      <c r="DU76" s="52" t="str">
        <f t="shared" si="43"/>
        <v>Predrag – Mađarić</v>
      </c>
      <c r="DV76" s="53">
        <f t="shared" si="44"/>
        <v>557</v>
      </c>
      <c r="DW76" s="47" t="s">
        <v>0</v>
      </c>
      <c r="DX76" s="58">
        <f t="shared" si="91"/>
        <v>557</v>
      </c>
      <c r="DY76" s="53" cm="1">
        <f t="array" ref="DY76">IF(DX76&lt;&gt;"",INDEX(regNatjecatelj_id,DX76,0),IF(BD76&lt;&gt;"",BD76,""))</f>
        <v>1936</v>
      </c>
      <c r="DZ76" s="47" t="s">
        <v>0</v>
      </c>
      <c r="EA76" s="58" t="str">
        <f t="shared" si="45"/>
        <v>imepre</v>
      </c>
      <c r="EB76" s="73" t="str">
        <f t="shared" si="46"/>
        <v>klu</v>
      </c>
      <c r="EC76" s="73" t="str">
        <f t="shared" si="47"/>
        <v>kat</v>
      </c>
      <c r="ED76" s="73" t="str">
        <f t="shared" si="48"/>
        <v/>
      </c>
      <c r="EE76" s="66" t="str">
        <f t="shared" si="49"/>
        <v>imepre-klu-kat</v>
      </c>
      <c r="EF76" s="47" t="s">
        <v>0</v>
      </c>
      <c r="EG76" s="58">
        <f>IF(AL76="","",MAX(EG$12:EG75)+1)</f>
        <v>246</v>
      </c>
      <c r="EH76" s="73">
        <f t="shared" si="50"/>
        <v>28</v>
      </c>
      <c r="EI76" s="73">
        <f t="shared" si="92"/>
        <v>1936</v>
      </c>
      <c r="EJ76" s="73">
        <f t="shared" si="51"/>
        <v>3025</v>
      </c>
      <c r="EK76" s="73">
        <f t="shared" si="52"/>
        <v>1</v>
      </c>
      <c r="EL76" s="73">
        <f t="shared" si="93"/>
        <v>1</v>
      </c>
      <c r="EM76" s="73">
        <f t="shared" si="94"/>
        <v>1</v>
      </c>
      <c r="EN76" s="73" t="str">
        <f t="shared" si="55"/>
        <v>0</v>
      </c>
      <c r="EO76" s="73" t="str">
        <f t="shared" si="56"/>
        <v/>
      </c>
      <c r="EP76" s="73" t="str">
        <f t="shared" si="57"/>
        <v/>
      </c>
      <c r="EQ76" s="53" t="str">
        <f t="shared" si="58"/>
        <v/>
      </c>
      <c r="ER76" s="47" t="s">
        <v>0</v>
      </c>
      <c r="ES76" s="19" t="str">
        <f t="shared" si="95"/>
        <v>INSERT INTO rezultat(id,stazakategorija_id,imeprezime_id,vrijeme_sec,status_id,registracija,uparivanje_id,originalstatus_id,imeprezimealias_id,klubalias_id,kategorijaalias_id) VALUES (246,28,1936,3025,1,1,1,0,Null,Null,Null);</v>
      </c>
      <c r="ET76" s="47" t="s">
        <v>0</v>
      </c>
      <c r="EU76" s="19" t="str">
        <f t="shared" si="96"/>
        <v>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6" s="47" t="s">
        <v>0</v>
      </c>
      <c r="EW76" s="180" t="str">
        <f t="shared" si="60"/>
        <v xml:space="preserve">
INSERT INTO rezultat(id,stazakategorija_id,imeprezime_id,vrijeme_sec,status_id,registracija,uparivanje_id,originalstatus_id,imeprezimealias_id,klubalias_id,kategorijaalias_id) VALUES (246,28,1936,3025,1,1,1,0,Null,Null,Null);
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6" s="47" t="s">
        <v>0</v>
      </c>
    </row>
    <row r="77" spans="1:154" x14ac:dyDescent="0.25">
      <c r="A77" t="s">
        <v>0</v>
      </c>
      <c r="B77" s="52" t="str">
        <f>IF(csv!F67="","",csv!T67)</f>
        <v>M21B</v>
      </c>
      <c r="C77" s="31" t="s">
        <v>0</v>
      </c>
      <c r="D77" s="31" t="str">
        <f>IF(csv!F67="","",csv!F67)</f>
        <v>Branimir</v>
      </c>
      <c r="E77" s="31" t="str">
        <f>IF(csv!E67="","",csv!E67)</f>
        <v>Putniković</v>
      </c>
      <c r="F77" s="31" t="s">
        <v>0</v>
      </c>
      <c r="G77" s="73" t="str">
        <f>IF(csv!M67="","",csv!M67)</f>
        <v>51:30</v>
      </c>
      <c r="H77" s="73" t="str">
        <f>IF(csv!N67="","",csv!N67)</f>
        <v>0</v>
      </c>
      <c r="I77" s="31" t="s">
        <v>0</v>
      </c>
      <c r="J77" s="31" t="str">
        <f>IF(csv!P67="","",csv!P67)</f>
        <v>KAP</v>
      </c>
      <c r="K77" s="31" t="str">
        <f>IF(csv!Q67="","",csv!Q67)</f>
        <v>OK Kapela</v>
      </c>
      <c r="L77" s="31" t="s">
        <v>0</v>
      </c>
      <c r="M77" s="66" t="str">
        <f>IF(csv!R67="","",csv!R67)</f>
        <v>CRO</v>
      </c>
      <c r="N77" s="47" t="s">
        <v>0</v>
      </c>
      <c r="O77" s="246" t="str">
        <f t="shared" si="61"/>
        <v>ok</v>
      </c>
      <c r="P77" s="47"/>
      <c r="Q77" s="52" t="str">
        <f t="shared" si="62"/>
        <v>M21B</v>
      </c>
      <c r="R77" s="73">
        <f>IF(Q77="","",IF(COUNTIF(Q$12:Q76,Q77)=0,R76+1,R76))</f>
        <v>6</v>
      </c>
      <c r="S77" s="73">
        <f t="shared" si="63"/>
        <v>108</v>
      </c>
      <c r="T77" s="73">
        <f t="shared" ref="T77:T140" si="113">IF(Q77="","",IFERROR(INDEX(natStaza_id,MATCH(Q77,natStaza_kategorija,0)),""))</f>
        <v>19</v>
      </c>
      <c r="U77" s="66" t="str">
        <f t="shared" ref="U77:U140" si="114">IF(T77="","",INDEX(natStaza_naziv,MATCH(T77,natStaza_id,0)))</f>
        <v>M21B – M16</v>
      </c>
      <c r="V77" s="47" t="s">
        <v>0</v>
      </c>
      <c r="W77" s="222" t="str">
        <f t="shared" ref="W77:W140" si="115">IF(O77="","",INDEX(regKategorija_oznaka,MATCH(S77,regKategorija_id,0)))</f>
        <v>M21B</v>
      </c>
      <c r="X77" s="223">
        <f t="shared" ref="X77:X140" si="116">IF(W77="","",INDEX(natKategorija_stazaKatId,MATCH(S77,natKategorija_katRegId,0)))</f>
        <v>28</v>
      </c>
      <c r="Y77" s="47" t="s">
        <v>0</v>
      </c>
      <c r="Z77" s="52" t="str">
        <f t="shared" si="64"/>
        <v>CRO</v>
      </c>
      <c r="AA77" s="73">
        <f t="shared" ref="AA77:AA140" si="117">IF(Z77="","",IFERROR(INDEX(regDrzava_id,MATCH(Z77,regDrzava_oznaka,0)),"NEMA"))</f>
        <v>1</v>
      </c>
      <c r="AB77" s="31" t="str">
        <f t="shared" si="65"/>
        <v/>
      </c>
      <c r="AC77" s="66" t="str">
        <f>IF(AB77="","",MAX(AC$12:AC76)+1)</f>
        <v/>
      </c>
      <c r="AD77" s="47" t="s">
        <v>0</v>
      </c>
      <c r="AE77" s="125"/>
      <c r="AF77" s="47" t="s">
        <v>0</v>
      </c>
      <c r="AG77" s="19" t="str">
        <f t="shared" si="66"/>
        <v/>
      </c>
      <c r="AH77" s="47" t="s">
        <v>0</v>
      </c>
      <c r="AI77" s="143" t="str">
        <f t="shared" si="67"/>
        <v>CRO</v>
      </c>
      <c r="AJ77" s="47"/>
      <c r="AK77" s="52" t="str">
        <f t="shared" si="68"/>
        <v>Branimir</v>
      </c>
      <c r="AL77" s="31" t="str">
        <f t="shared" si="69"/>
        <v>Putniković</v>
      </c>
      <c r="AM77" s="73">
        <f t="shared" si="70"/>
        <v>1350</v>
      </c>
      <c r="AN77" s="73" t="str">
        <f t="shared" si="71"/>
        <v/>
      </c>
      <c r="AO77" s="31" t="str">
        <f t="shared" ref="AO77:AO140" si="118">IF(O77="","",IF(OR(AN77="",AN77="NEMA"),AK77,INDEX(regNatjecatelj_ime,MATCH(AN77,regNatjecatelj_id,0))))</f>
        <v>Branimir</v>
      </c>
      <c r="AP77" s="66" t="str">
        <f t="shared" ref="AP77:AP140" si="119">IF(O77="","",IF(OR(AN77="",AN77="NEMA"),AL77,INDEX(regNatjecatelj_prezime,MATCH(AN77,regNatjecatelj_id,0))))</f>
        <v>Putniković</v>
      </c>
      <c r="AQ77" s="47" t="s">
        <v>0</v>
      </c>
      <c r="AR77" s="82" t="str">
        <f t="shared" si="72"/>
        <v/>
      </c>
      <c r="AS77" s="47" t="s">
        <v>0</v>
      </c>
      <c r="AT77" s="19" t="str">
        <f t="shared" si="73"/>
        <v/>
      </c>
      <c r="AU77" s="47" t="s">
        <v>0</v>
      </c>
      <c r="AV77" s="103"/>
      <c r="AW77" s="105"/>
      <c r="AX77" s="47" t="s">
        <v>0</v>
      </c>
      <c r="AY77" s="259" t="str">
        <f t="shared" si="102"/>
        <v/>
      </c>
      <c r="AZ77" s="47" t="s">
        <v>0</v>
      </c>
      <c r="BA77" s="52" t="str">
        <f t="shared" ref="BA77:BA140" si="120">IF(AV77&amp;AW77="","",AR77)</f>
        <v/>
      </c>
      <c r="BB77" s="73" t="str">
        <f>IF(AV77&amp;AW77="","",MAX(BB$12:BB76)+1)</f>
        <v/>
      </c>
      <c r="BC77" s="272" t="str">
        <f t="shared" ref="BC77:BC140" si="121">IF(AV77&amp;AW77="","",IFERROR(INDEX(regNatjecatelj_id,MATCH(AV77&amp;" – "&amp;AW77,regNatjecatelj_imePrezime,0)),"NEMA"))</f>
        <v/>
      </c>
      <c r="BD77" s="53" t="str">
        <f>IF(AND(AM77="NEMA",AN77="NEMA",OR(AV77&amp;AW77="",BC77="NEMA")),MAX(BD$12:BD76)+1,"")</f>
        <v/>
      </c>
      <c r="BE77" s="47" t="s">
        <v>0</v>
      </c>
      <c r="BF77" s="52" t="str">
        <f t="shared" si="74"/>
        <v>Branimir</v>
      </c>
      <c r="BG77" s="66" t="str">
        <f t="shared" si="75"/>
        <v>Putniković</v>
      </c>
      <c r="BH77" s="47" t="s">
        <v>0</v>
      </c>
      <c r="BI77" s="52" t="str">
        <f t="shared" ref="BI77:BI140" si="122">IF(O77="","",J77)</f>
        <v>KAP</v>
      </c>
      <c r="BJ77" s="31" t="str">
        <f t="shared" ref="BJ77:BJ140" si="123">IF(O77="","",K77)</f>
        <v>OK Kapela</v>
      </c>
      <c r="BK77" s="73" t="str">
        <f t="shared" ref="BK77:BK140" si="124">IF(BJ77="","",IF(IFERROR(MATCH(BJ77,regKlub_naziv,0),"")&lt;&gt;"","",IFERROR(MATCH(BJ77,regKlub_alias_alias,0),"NEMA")))</f>
        <v/>
      </c>
      <c r="BL77" s="31" t="str" cm="1">
        <f t="array" ref="BL77">IF(BK77="",""&amp;BJ77,IF(BK77="NEMA",BJ77,INDEX(regKlub_naziv,MATCH(INDEX(regKlub_alias_klubId,BK77),regKlub_id,0))))</f>
        <v>OK Kapela</v>
      </c>
      <c r="BM77" s="31" t="str" cm="1">
        <f t="array" ref="BM77">IFERROR(""&amp;INDEX(regNatjecatelj_klub,DV77),"")</f>
        <v>OK Kapela</v>
      </c>
      <c r="BN77" s="73" t="str">
        <f t="shared" si="76"/>
        <v/>
      </c>
      <c r="BO77" s="66" t="str">
        <f t="shared" si="77"/>
        <v>OK Kapela</v>
      </c>
      <c r="BP77" s="47" t="s">
        <v>0</v>
      </c>
      <c r="BQ77" s="52" t="str">
        <f>IF(X77&lt;&gt;"NEMA","",IF(IFERROR(MATCH(W77,W$12:W76,0),0)&lt;&gt;0,"",W77))</f>
        <v/>
      </c>
      <c r="BR77" s="73" t="str">
        <f t="shared" si="78"/>
        <v/>
      </c>
      <c r="BS77" s="31" t="str">
        <f>IF(OR(BR77="",BR77&lt;&gt;"NEMA"),"",MAX(BS$12:BS76)+1)</f>
        <v/>
      </c>
      <c r="BT77" s="66" t="str">
        <f t="shared" si="79"/>
        <v/>
      </c>
      <c r="BU77" s="47" t="s">
        <v>0</v>
      </c>
      <c r="BV77" s="19" t="str">
        <f t="shared" si="80"/>
        <v/>
      </c>
      <c r="BW77" s="47" t="s">
        <v>0</v>
      </c>
      <c r="BX77" s="82" t="str">
        <f>IF(BK77&lt;&gt;"NEMA","",IF(IFERROR(MATCH(BJ77,BJ$12:BJ76,0),0)&lt;&gt;0,"",BJ77))</f>
        <v/>
      </c>
      <c r="BY77" s="47" t="s">
        <v>0</v>
      </c>
      <c r="BZ77" s="125"/>
      <c r="CA77" s="47" t="s">
        <v>0</v>
      </c>
      <c r="CB77" s="58" t="str">
        <f t="shared" si="81"/>
        <v/>
      </c>
      <c r="CC77" s="31" t="str">
        <f t="shared" si="82"/>
        <v/>
      </c>
      <c r="CD77" s="31" t="str">
        <f>IF(CC77="","",MAX(CD$12:CD76)+1)</f>
        <v/>
      </c>
      <c r="CE77" s="31" t="str">
        <f t="shared" ref="CE77:CE140" si="125">IF(CC77="","",IF(AA77="","",IF(AA77="NEMA",AC77,AA77)))</f>
        <v/>
      </c>
      <c r="CF77" s="31" t="str">
        <f t="shared" si="83"/>
        <v/>
      </c>
      <c r="CG77" s="31" t="str">
        <f>IF(BZ77="","",MAX(CG$12:CG76)+1)</f>
        <v/>
      </c>
      <c r="CH77" s="31" t="str">
        <f t="shared" si="84"/>
        <v/>
      </c>
      <c r="CI77" s="66" t="str">
        <f t="shared" si="85"/>
        <v/>
      </c>
      <c r="CJ77" s="47" t="s">
        <v>0</v>
      </c>
      <c r="CK77" s="73" t="str">
        <f t="shared" ref="CK77:CK140" si="126">IF(BK77="","",IF(BK77&lt;&gt;"NEMA","",IFERROR(INDEX(nat_klubAliasId,MATCH(BJ77,nat_noviKluboviAliasi,0)),"")))</f>
        <v/>
      </c>
      <c r="CL77" s="47"/>
      <c r="CM77" s="19" t="str">
        <f t="shared" si="86"/>
        <v/>
      </c>
      <c r="CN77" s="47" t="s">
        <v>0</v>
      </c>
      <c r="CO77" s="143" t="str">
        <f t="shared" si="87"/>
        <v>OK Kapela</v>
      </c>
      <c r="CP77" s="47" t="s">
        <v>0</v>
      </c>
      <c r="CQ77" s="58" t="str">
        <f t="shared" si="109"/>
        <v>51:30</v>
      </c>
      <c r="CR77" s="73" t="str">
        <f t="shared" si="110"/>
        <v>0</v>
      </c>
      <c r="CS77" s="229" t="str">
        <f t="shared" ref="CS77:CS140" si="127">IF(CQ77="",IF(OR(AL77="",CR77&lt;&gt;"0"),"","GREŠKA"),IF(AND(65535&gt;=VALUE(LEFT(CQ77,SEARCH(":",CQ77)-1))*60+VALUE(RIGHT(CQ77,2)),OR(CR77="0",CR77="1",CR77="2",CR77="3",CR77="4")),"","GREŠKA"))</f>
        <v/>
      </c>
      <c r="CT77" s="230">
        <f t="shared" si="112"/>
        <v>3090</v>
      </c>
      <c r="CU77" s="163">
        <f t="shared" ref="CU77:CU140" si="128">IF(DU77="","",IF(AND(CR77="0",N(CT77)&gt;data_max_minuta*60),2,INDEX(regStatusRezultat_id,MATCH(VALUE(CR77),regStatusRezultat_oEvent,0))))</f>
        <v>1</v>
      </c>
      <c r="CV77" s="47" t="s">
        <v>0</v>
      </c>
      <c r="CW77" s="222" t="str">
        <f t="shared" si="89"/>
        <v xml:space="preserve">
</v>
      </c>
      <c r="CX77" s="223">
        <f t="shared" si="90"/>
        <v>6</v>
      </c>
      <c r="CY77" s="47" t="s">
        <v>0</v>
      </c>
      <c r="CZ77" s="47"/>
      <c r="DA77" s="47"/>
      <c r="DB77" s="47"/>
      <c r="DC77" s="47" t="s">
        <v>0</v>
      </c>
      <c r="DD77" s="53" t="str">
        <f t="shared" si="103"/>
        <v/>
      </c>
      <c r="DE77" t="s">
        <v>0</v>
      </c>
      <c r="DF77" s="128" t="str">
        <f t="shared" si="104"/>
        <v>M</v>
      </c>
      <c r="DG77" t="s">
        <v>0</v>
      </c>
      <c r="DH77" s="52" t="str">
        <f t="shared" si="105"/>
        <v/>
      </c>
      <c r="DI77" s="66" t="str">
        <f t="shared" si="106"/>
        <v/>
      </c>
      <c r="DJ77" t="s">
        <v>0</v>
      </c>
      <c r="DK77" s="19" t="str">
        <f t="shared" si="107"/>
        <v/>
      </c>
      <c r="DL77" s="47" t="s">
        <v>0</v>
      </c>
      <c r="DM77" s="19" t="str">
        <f t="shared" si="108"/>
        <v/>
      </c>
      <c r="DN77" s="47" t="s">
        <v>0</v>
      </c>
      <c r="DO77" s="52" t="str">
        <f t="shared" ref="DO77:DO140" si="129">IF(AL77="","",DR77 &amp; IF(Q77="",""," – " &amp; Q77))</f>
        <v>Branimir – Putniković – OK Kapela – M21B</v>
      </c>
      <c r="DP77" s="53">
        <f t="shared" ref="DP77:DP140" si="130">IF(DO77="","",IFERROR(MATCH(DO77,regNatjecatelj_imePrezimeKlubKategorija,0),"NEMA"))</f>
        <v>300</v>
      </c>
      <c r="DQ77" s="47" t="s">
        <v>0</v>
      </c>
      <c r="DR77" s="52" t="str">
        <f t="shared" ref="DR77:DR140" si="131">IF(AL77="","",DU77 &amp; IF(CO77="",""," – " &amp; CO77))</f>
        <v>Branimir – Putniković – OK Kapela</v>
      </c>
      <c r="DS77" s="53">
        <f t="shared" ref="DS77:DS140" si="132">IF(DR77="","",IFERROR(MATCH(DR77,regNatjecatelj_imePrezimeKlub,0),"NEMA"))</f>
        <v>300</v>
      </c>
      <c r="DT77" s="47" t="s">
        <v>0</v>
      </c>
      <c r="DU77" s="52" t="str">
        <f t="shared" ref="DU77:DU140" si="133">IF(BG77="","",BF77&amp;" – "&amp;BG77)</f>
        <v>Branimir – Putniković</v>
      </c>
      <c r="DV77" s="53">
        <f t="shared" ref="DV77:DV140" si="134">IF(DU77="","",IFERROR(MATCH(DU77,regNatjecatelj_imePrezime,0),"NEMA"))</f>
        <v>300</v>
      </c>
      <c r="DW77" s="47" t="s">
        <v>0</v>
      </c>
      <c r="DX77" s="58">
        <f t="shared" si="91"/>
        <v>300</v>
      </c>
      <c r="DY77" s="53" cm="1">
        <f t="array" ref="DY77">IF(DX77&lt;&gt;"",INDEX(regNatjecatelj_id,DX77,0),IF(BD77&lt;&gt;"",BD77,""))</f>
        <v>1350</v>
      </c>
      <c r="DZ77" s="47" t="s">
        <v>0</v>
      </c>
      <c r="EA77" s="58" t="str">
        <f t="shared" ref="EA77:EA140" si="135">IF(AL77="","",IF(BD77&lt;&gt;"","novo",IF(AN77="","imepre","imepre(ali)")))</f>
        <v>imepre</v>
      </c>
      <c r="EB77" s="73" t="str">
        <f t="shared" ref="EB77:EB140" si="136">IF(AL77="","",IF(BJ77="",IF(IFERROR(INDEX(regNatjecatelj_klub,MATCH(DY77,regNatjecatelj_id,0)),"NEMA")="","klu",""),IF(OR(AND(BK77&lt;&gt;"",BK77&lt;&gt;"NEMA"),CH77&lt;&gt;""),"klu(ali)",IF(AND(BM77&lt;&gt;"",BM77&lt;&gt;BL77),"(raz-klu)","klu"))))</f>
        <v>klu</v>
      </c>
      <c r="EC77" s="73" t="str">
        <f t="shared" ref="EC77:EC140" si="137">IF(AL77="","","kat"&amp;IF(AND(W77&lt;&gt;Q77,Q77&lt;&gt;"Open"),"(ali)",""))</f>
        <v>kat</v>
      </c>
      <c r="ED77" s="73" t="str">
        <f t="shared" ref="ED77:ED140" si="138">IF(OR(CS77&lt;&gt;"",CU77=2),"ot","")</f>
        <v/>
      </c>
      <c r="EE77" s="66" t="str">
        <f t="shared" ref="EE77:EE140" si="139">IF(AL77="","",EA77&amp;IF(EA77="novo","","-"&amp;EB77&amp;"-"&amp;EC77)&amp;IF(ED77="","","-"&amp;ED77))</f>
        <v>imepre-klu-kat</v>
      </c>
      <c r="EF77" s="47" t="s">
        <v>0</v>
      </c>
      <c r="EG77" s="58">
        <f>IF(AL77="","",MAX(EG$12:EG76)+1)</f>
        <v>247</v>
      </c>
      <c r="EH77" s="73">
        <f t="shared" ref="EH77:EH140" si="140">IF(AO77="","",X77)</f>
        <v>28</v>
      </c>
      <c r="EI77" s="73">
        <f t="shared" si="92"/>
        <v>1350</v>
      </c>
      <c r="EJ77" s="73">
        <f t="shared" ref="EJ77:EJ140" si="141">IF(CT77="","",CT77)</f>
        <v>3090</v>
      </c>
      <c r="EK77" s="73">
        <f t="shared" ref="EK77:EK140" si="142">IF(CU77="","",IF(AND(EJ77="",CU77=1),6,CU77))</f>
        <v>1</v>
      </c>
      <c r="EL77" s="73">
        <f t="shared" si="93"/>
        <v>1</v>
      </c>
      <c r="EM77" s="73">
        <f t="shared" si="94"/>
        <v>1</v>
      </c>
      <c r="EN77" s="73" t="str">
        <f t="shared" ref="EN77:EN140" si="143">IF(CU77="","",CR77)</f>
        <v>0</v>
      </c>
      <c r="EO77" s="73" t="str">
        <f t="shared" ref="EO77:EO140" si="144">IF(OR(AN77="",AN77="NEMA"),BB77,AN77)</f>
        <v/>
      </c>
      <c r="EP77" s="73" t="str">
        <f t="shared" ref="EP77:EP140" si="145">IF(AND(BK77&lt;&gt;"",BK77&lt;&gt;"NEMA"),BK77,IF(CK77&lt;&gt;"",CK77,IF(AND(BR77&lt;&gt;"",BR77&lt;&gt;"NEMA"),BR77,IF(BS77&lt;&gt;"",BS77,""))))</f>
        <v/>
      </c>
      <c r="EQ77" s="53" t="str">
        <f t="shared" ref="EQ77:EQ140" si="146">IF(INDEX(natKategorija_alias_Id,MATCH(S77,natKategorija_katRegId,0))="","",INDEX(natKategorija_alias_Id,MATCH(S77,natKategorija_katRegId,0)))</f>
        <v/>
      </c>
      <c r="ER77" s="47" t="s">
        <v>0</v>
      </c>
      <c r="ES77" s="19" t="str">
        <f t="shared" si="95"/>
        <v>INSERT INTO rezultat(id,stazakategorija_id,imeprezime_id,vrijeme_sec,status_id,registracija,uparivanje_id,originalstatus_id,imeprezimealias_id,klubalias_id,kategorijaalias_id) VALUES (247,28,1350,3090,1,1,1,0,Null,Null,Null);</v>
      </c>
      <c r="ET77" s="47" t="s">
        <v>0</v>
      </c>
      <c r="EU77" s="19" t="str">
        <f t="shared" si="96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7" s="47" t="s">
        <v>0</v>
      </c>
      <c r="EW77" s="180" t="str">
        <f t="shared" ref="EW77:EW140" si="147">AG77&amp;IF(BV77="","","
")&amp;BV77&amp;IF(CM77="","","
")&amp;CM77&amp;IF(DK77="","","
")&amp;DK77&amp;IF(DM77="","","
")&amp;DM77&amp;IF(ES77="","","
")&amp;ES77&amp;IF(EU77="","","
")&amp;EU77</f>
        <v xml:space="preserve">
INSERT INTO rezultat(id,stazakategorija_id,imeprezime_id,vrijeme_sec,status_id,registracija,uparivanje_id,originalstatus_id,imeprezimealias_id,klubalias_id,kategorijaalias_id) VALUES (247,28,1350,3090,1,1,1,0,Null,Null,Null);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7" s="47" t="s">
        <v>0</v>
      </c>
    </row>
    <row r="78" spans="1:154" x14ac:dyDescent="0.25">
      <c r="A78" t="s">
        <v>0</v>
      </c>
      <c r="B78" s="52" t="str">
        <f>IF(csv!F68="","",csv!T68)</f>
        <v>M21B</v>
      </c>
      <c r="C78" s="31" t="s">
        <v>0</v>
      </c>
      <c r="D78" s="31" t="str">
        <f>IF(csv!F68="","",csv!F68)</f>
        <v>Zlatan</v>
      </c>
      <c r="E78" s="31" t="str">
        <f>IF(csv!E68="","",csv!E68)</f>
        <v>Kos</v>
      </c>
      <c r="F78" s="31" t="s">
        <v>0</v>
      </c>
      <c r="G78" s="73" t="str">
        <f>IF(csv!M68="","",csv!M68)</f>
        <v>53:23</v>
      </c>
      <c r="H78" s="73" t="str">
        <f>IF(csv!N68="","",csv!N68)</f>
        <v>0</v>
      </c>
      <c r="I78" s="31" t="s">
        <v>0</v>
      </c>
      <c r="J78" s="31" t="str">
        <f>IF(csv!P68="","",csv!P68)</f>
        <v>Vihor</v>
      </c>
      <c r="K78" s="31" t="str">
        <f>IF(csv!Q68="","",csv!Q68)</f>
        <v>OK Vihor</v>
      </c>
      <c r="L78" s="31" t="s">
        <v>0</v>
      </c>
      <c r="M78" s="66" t="str">
        <f>IF(csv!R68="","",csv!R68)</f>
        <v>CRO</v>
      </c>
      <c r="N78" s="47" t="s">
        <v>0</v>
      </c>
      <c r="O78" s="246" t="str">
        <f t="shared" ref="O78:O141" si="148">IF(E78="","","ok")</f>
        <v>ok</v>
      </c>
      <c r="P78" s="47"/>
      <c r="Q78" s="52" t="str">
        <f t="shared" ref="Q78:Q141" si="149">IF(B78="","",B78)</f>
        <v>M21B</v>
      </c>
      <c r="R78" s="73">
        <f>IF(Q78="","",IF(COUNTIF(Q$12:Q77,Q78)=0,R77+1,R77))</f>
        <v>6</v>
      </c>
      <c r="S78" s="73">
        <f t="shared" ref="S78:S141" si="150">IF(Q78="","",IFERROR(INDEX(regKategorija_id,MATCH(Q78,regKategorija_oznaka,0)),IFERROR(INDEX(regKategorija_alias_id,MATCH(Q78,regKategorija_alias_oznaka,0)),INDEX(natKategorija_katRegId,MATCH(Q78,natKategorija_kategorija,0)))))</f>
        <v>108</v>
      </c>
      <c r="T78" s="73">
        <f t="shared" si="113"/>
        <v>19</v>
      </c>
      <c r="U78" s="66" t="str">
        <f t="shared" si="114"/>
        <v>M21B – M16</v>
      </c>
      <c r="V78" s="47" t="s">
        <v>0</v>
      </c>
      <c r="W78" s="222" t="str">
        <f t="shared" si="115"/>
        <v>M21B</v>
      </c>
      <c r="X78" s="223">
        <f t="shared" si="116"/>
        <v>28</v>
      </c>
      <c r="Y78" s="47" t="s">
        <v>0</v>
      </c>
      <c r="Z78" s="52" t="str">
        <f t="shared" ref="Z78:Z141" si="151">IF(O78="","",M78)</f>
        <v>CRO</v>
      </c>
      <c r="AA78" s="73">
        <f t="shared" si="117"/>
        <v>1</v>
      </c>
      <c r="AB78" s="31" t="str">
        <f t="shared" ref="AB78:AB141" si="152">IF(OR(AA78="",AA78&lt;&gt;"NEMA"),"",Z78)</f>
        <v/>
      </c>
      <c r="AC78" s="66" t="str">
        <f>IF(AB78="","",MAX(AC$12:AC77)+1)</f>
        <v/>
      </c>
      <c r="AD78" s="47" t="s">
        <v>0</v>
      </c>
      <c r="AE78" s="125"/>
      <c r="AF78" s="47" t="s">
        <v>0</v>
      </c>
      <c r="AG78" s="19" t="str">
        <f t="shared" ref="AG78:AG141" si="153">IF(AB78="","","INSERT INTO drzava(id,naziv,oznaka) VALUES ("&amp;AC78&amp;",'"&amp;AE78&amp;"','"&amp;UPPER(LEFT(AB78,1))&amp;LOWER(RIGHT(AB78,2))&amp;"');")</f>
        <v/>
      </c>
      <c r="AH78" s="47" t="s">
        <v>0</v>
      </c>
      <c r="AI78" s="143" t="str">
        <f t="shared" ref="AI78:AI141" si="154">IF(AA78="","",IF(AA78="NEMA",AB78,Z78))</f>
        <v>CRO</v>
      </c>
      <c r="AJ78" s="47"/>
      <c r="AK78" s="52" t="str">
        <f t="shared" ref="AK78:AK141" si="155">IF(O78="","",D78)</f>
        <v>Zlatan</v>
      </c>
      <c r="AL78" s="31" t="str">
        <f t="shared" ref="AL78:AL141" si="156">IF(O78="","",E78)</f>
        <v>Kos</v>
      </c>
      <c r="AM78" s="73">
        <f t="shared" ref="AM78:AM141" si="157">IF(AL78="","",IFERROR(INDEX(regNatjecatelj_id,MATCH(AK78&amp;" – "&amp;AL78,regNatjecatelj_imePrezime,0)),"NEMA"))</f>
        <v>1930</v>
      </c>
      <c r="AN78" s="73" t="str">
        <f t="shared" ref="AN78:AN141" si="158">IF(AM78&lt;&gt;"NEMA","",IFERROR(INDEX(regNatjecatelj_alias_natjecateljId,MATCH(AK78&amp;" "&amp;AL78,regNatjecatelj_alias_alias,0)),"NEMA"))</f>
        <v/>
      </c>
      <c r="AO78" s="31" t="str">
        <f t="shared" si="118"/>
        <v>Zlatan</v>
      </c>
      <c r="AP78" s="66" t="str">
        <f t="shared" si="119"/>
        <v>Kos</v>
      </c>
      <c r="AQ78" s="47" t="s">
        <v>0</v>
      </c>
      <c r="AR78" s="82" t="str">
        <f t="shared" ref="AR78:AR141" si="159">IF(OR(O78="",AN78&lt;&gt;"NEMA"),"",AK78&amp;" "&amp;AL78)</f>
        <v/>
      </c>
      <c r="AS78" s="47" t="s">
        <v>0</v>
      </c>
      <c r="AT78" s="19" t="str">
        <f t="shared" ref="AT78:AT141" si="160">IF(OR(AM78&lt;&gt;"NEMA",AN78&lt;&gt;"NEMA"),"","SELECT '"&amp;AO78&amp;" – "&amp;AP78&amp;"', ime, prezime FROM imeprezime WHERE ime LIKE '%"&amp;MID(AO78,2,LEN(AO78)-2)&amp;"%' Or prezime LIKE '%"&amp;MID(AP78,2,LEN(AP78)-2)&amp;"%' Or ime LIKE '%"&amp;MID(AP78,2,LEN(AP78)-2)&amp;"%' Or prezime LIKE '%"&amp;MID(AO78,2,LEN(AO78)-2)&amp;"%' ORDER BY ime, prezime;")</f>
        <v/>
      </c>
      <c r="AU78" s="47" t="s">
        <v>0</v>
      </c>
      <c r="AV78" s="103"/>
      <c r="AW78" s="105"/>
      <c r="AX78" s="47" t="s">
        <v>0</v>
      </c>
      <c r="AY78" s="259" t="str">
        <f t="shared" si="102"/>
        <v/>
      </c>
      <c r="AZ78" s="47" t="s">
        <v>0</v>
      </c>
      <c r="BA78" s="52" t="str">
        <f t="shared" si="120"/>
        <v/>
      </c>
      <c r="BB78" s="73" t="str">
        <f>IF(AV78&amp;AW78="","",MAX(BB$12:BB77)+1)</f>
        <v/>
      </c>
      <c r="BC78" s="272" t="str">
        <f t="shared" si="121"/>
        <v/>
      </c>
      <c r="BD78" s="53" t="str">
        <f>IF(AND(AM78="NEMA",AN78="NEMA",OR(AV78&amp;AW78="",BC78="NEMA")),MAX(BD$12:BD77)+1,"")</f>
        <v/>
      </c>
      <c r="BE78" s="47" t="s">
        <v>0</v>
      </c>
      <c r="BF78" s="52" t="str">
        <f t="shared" ref="BF78:BF141" si="161">IF(AL78="","",IF(BC78="",AO78,IF(BC78="NEMA",AV78,INDEX(regNatjecatelj_ime,MATCH(BC78,regNatjecatelj_id,0)))))</f>
        <v>Zlatan</v>
      </c>
      <c r="BG78" s="66" t="str">
        <f t="shared" ref="BG78:BG141" si="162">IF(AL78="","",IF(BC78="",AP78,IF(BC78="NEMA",AW78,INDEX(regNatjecatelj_prezime,MATCH(BC78,regNatjecatelj_id,0)))))</f>
        <v>Kos</v>
      </c>
      <c r="BH78" s="47" t="s">
        <v>0</v>
      </c>
      <c r="BI78" s="52" t="str">
        <f t="shared" si="122"/>
        <v>Vihor</v>
      </c>
      <c r="BJ78" s="31" t="str">
        <f t="shared" si="123"/>
        <v>OK Vihor</v>
      </c>
      <c r="BK78" s="73" t="str">
        <f t="shared" si="124"/>
        <v/>
      </c>
      <c r="BL78" s="31" t="str" cm="1">
        <f t="array" ref="BL78">IF(BK78="",""&amp;BJ78,IF(BK78="NEMA",BJ78,INDEX(regKlub_naziv,MATCH(INDEX(regKlub_alias_klubId,BK78),regKlub_id,0))))</f>
        <v>OK Vihor</v>
      </c>
      <c r="BM78" s="31" t="str" cm="1">
        <f t="array" ref="BM78">IFERROR(""&amp;INDEX(regNatjecatelj_klub,DV78),"")</f>
        <v>OK Vihor</v>
      </c>
      <c r="BN78" s="73" t="str">
        <f t="shared" ref="BN78:BN141" si="163">IF(BL78=BM78,"",IF(BM78="","",1))</f>
        <v/>
      </c>
      <c r="BO78" s="66" t="str">
        <f t="shared" ref="BO78:BO141" si="164">IF(AND(BM78&lt;&gt;"",BM78&lt;&gt;BL78),BM78,""&amp;BL78)</f>
        <v>OK Vihor</v>
      </c>
      <c r="BP78" s="47" t="s">
        <v>0</v>
      </c>
      <c r="BQ78" s="52" t="str">
        <f>IF(X78&lt;&gt;"NEMA","",IF(IFERROR(MATCH(W78,W$12:W77,0),0)&lt;&gt;0,"",W78))</f>
        <v/>
      </c>
      <c r="BR78" s="73" t="str">
        <f t="shared" ref="BR78:BR141" si="165">IF(BQ78="","",IFERROR(INDEX(regKlub_alias_id,MATCH(BQ78,regKlub_alias_alias,0)),"NEMA"))</f>
        <v/>
      </c>
      <c r="BS78" s="31" t="str">
        <f>IF(OR(BR78="",BR78&lt;&gt;"NEMA"),"",MAX(BS$12:BS77)+1)</f>
        <v/>
      </c>
      <c r="BT78" s="66" t="str">
        <f t="shared" ref="BT78:BT141" si="166">IF(OR(BR78="",BR78&lt;&gt;"NEMA"),"",INDEX(regKlub_id,MATCH(BQ78,regKlub_naziv,0)))</f>
        <v/>
      </c>
      <c r="BU78" s="47" t="s">
        <v>0</v>
      </c>
      <c r="BV78" s="19" t="str">
        <f t="shared" ref="BV78:BV141" si="167">IF(OR(BR78="",BR78&lt;&gt;"NEMA"),"","INSERT INTO klub_alias(id,alias,klub_id) VALUES ("&amp;BS78&amp;",'"&amp;BQ78&amp;"',"&amp;BT78&amp;");")</f>
        <v/>
      </c>
      <c r="BW78" s="47" t="s">
        <v>0</v>
      </c>
      <c r="BX78" s="82" t="str">
        <f>IF(BK78&lt;&gt;"NEMA","",IF(IFERROR(MATCH(BJ78,BJ$12:BJ77,0),0)&lt;&gt;0,"",BJ78))</f>
        <v/>
      </c>
      <c r="BY78" s="47" t="s">
        <v>0</v>
      </c>
      <c r="BZ78" s="125"/>
      <c r="CA78" s="47" t="s">
        <v>0</v>
      </c>
      <c r="CB78" s="58" t="str">
        <f t="shared" ref="CB78:CB141" si="168">IF(BZ78="","",IFERROR(INDEX(regKlub_id,MATCH(BZ78,regKlub_naziv,0)),"NEMA"))</f>
        <v/>
      </c>
      <c r="CC78" s="31" t="str">
        <f t="shared" ref="CC78:CC141" si="169">IF(BX78="","",IF(BZ78="",BX78,""))</f>
        <v/>
      </c>
      <c r="CD78" s="31" t="str">
        <f>IF(CC78="","",MAX(CD$12:CD77)+1)</f>
        <v/>
      </c>
      <c r="CE78" s="31" t="str">
        <f t="shared" si="125"/>
        <v/>
      </c>
      <c r="CF78" s="31" t="str">
        <f t="shared" ref="CF78:CF141" si="170">IF(CC78="","","INSERT INTO klub(id,naziv,drzava_id,aktivan) VALUES ("&amp;CD78&amp;",'"&amp;CC78&amp;"',"&amp;CE78&amp;",1);")</f>
        <v/>
      </c>
      <c r="CG78" s="31" t="str">
        <f>IF(BZ78="","",MAX(CG$12:CG77)+1)</f>
        <v/>
      </c>
      <c r="CH78" s="31" t="str">
        <f t="shared" ref="CH78:CH141" si="171">IF(BZ78="","",IF(CD78="",INDEX(regKlub_id,MATCH(BZ78,regKlub_naziv,0)),CD78))</f>
        <v/>
      </c>
      <c r="CI78" s="66" t="str">
        <f t="shared" ref="CI78:CI141" si="172">IF(BZ78="","","INSERT INTO klub_alias(id,alias,klub_id) VALUES ("&amp;CG78&amp;",'"&amp;BX78&amp;"',"&amp;CH78&amp;");")</f>
        <v/>
      </c>
      <c r="CJ78" s="47" t="s">
        <v>0</v>
      </c>
      <c r="CK78" s="73" t="str">
        <f t="shared" si="126"/>
        <v/>
      </c>
      <c r="CL78" s="47"/>
      <c r="CM78" s="19" t="str">
        <f t="shared" ref="CM78:CM141" si="173">""&amp;CF78&amp;IF(AND(CF78&lt;&gt;"",CI78&lt;&gt;""),"
","")&amp;CI78</f>
        <v/>
      </c>
      <c r="CN78" s="47" t="s">
        <v>0</v>
      </c>
      <c r="CO78" s="143" t="str">
        <f t="shared" ref="CO78:CO141" si="174">IF(BO78="","",IF(BZ78="",IF(IFERROR(MATCH(BO78,nat_noviKluboviAliasi,0),0)&gt;0,INDEX(nat_kluboviAliasi,MATCH(BO78,nat_noviKluboviAliasi,0)),BO78),BZ78))</f>
        <v>OK Vihor</v>
      </c>
      <c r="CP78" s="47" t="s">
        <v>0</v>
      </c>
      <c r="CQ78" s="58" t="str">
        <f t="shared" si="109"/>
        <v>53:23</v>
      </c>
      <c r="CR78" s="73" t="str">
        <f t="shared" si="110"/>
        <v>0</v>
      </c>
      <c r="CS78" s="229" t="str">
        <f t="shared" si="127"/>
        <v/>
      </c>
      <c r="CT78" s="230">
        <f t="shared" si="112"/>
        <v>3203</v>
      </c>
      <c r="CU78" s="163">
        <f t="shared" si="128"/>
        <v>1</v>
      </c>
      <c r="CV78" s="47" t="s">
        <v>0</v>
      </c>
      <c r="CW78" s="222" t="str">
        <f t="shared" ref="CW78:CW141" si="175">IF(CS78&lt;&gt;"GREŠKA","",AK78&amp;" "&amp;AL78&amp;" – Molim u OEventu provjeriti i ispraviti rezultat – vrijeme ("&amp;IF(CQ78="","nije upisano",CQ78)&amp;") i classifier ("&amp;CR78&amp;").")&amp;IF(OR(CS78&lt;&gt;"GREŠKA",CU78&lt;&gt;5),"
","")&amp;IF(CU78&lt;&gt;5,"",AK78&amp;" "&amp;AL78&amp;" – Molim u provjeriti je li natjecatelj zaista diskvalificiran. Ako je koje je obrazloženje, ako nije molim u OEventu ispraviti rezultat")</f>
        <v xml:space="preserve">
</v>
      </c>
      <c r="CX78" s="223">
        <f t="shared" ref="CX78:CX141" si="176">IF(DX78="","",IF(AND(CU78="0",N(CW78)&gt;data_max_minuta*60),2,INDEX(regStatusRezultat_id,MATCH(VALUE(CU78),regStatusRezultat_oEvent,0))))</f>
        <v>6</v>
      </c>
      <c r="CY78" s="47" t="s">
        <v>0</v>
      </c>
      <c r="CZ78" s="47"/>
      <c r="DA78" s="47"/>
      <c r="DB78" s="47"/>
      <c r="DC78" s="47" t="s">
        <v>0</v>
      </c>
      <c r="DD78" s="53" t="str">
        <f t="shared" si="103"/>
        <v/>
      </c>
      <c r="DE78" t="s">
        <v>0</v>
      </c>
      <c r="DF78" s="128" t="str">
        <f t="shared" si="104"/>
        <v>M</v>
      </c>
      <c r="DG78" t="s">
        <v>0</v>
      </c>
      <c r="DH78" s="52" t="str">
        <f t="shared" si="105"/>
        <v/>
      </c>
      <c r="DI78" s="66" t="str">
        <f t="shared" si="106"/>
        <v/>
      </c>
      <c r="DJ78" t="s">
        <v>0</v>
      </c>
      <c r="DK78" s="19" t="str">
        <f t="shared" si="107"/>
        <v/>
      </c>
      <c r="DL78" s="47" t="s">
        <v>0</v>
      </c>
      <c r="DM78" s="19" t="str">
        <f t="shared" si="108"/>
        <v/>
      </c>
      <c r="DN78" s="47" t="s">
        <v>0</v>
      </c>
      <c r="DO78" s="52" t="str">
        <f t="shared" si="129"/>
        <v>Zlatan – Kos – OK Vihor – M21B</v>
      </c>
      <c r="DP78" s="53">
        <f t="shared" si="130"/>
        <v>749</v>
      </c>
      <c r="DQ78" s="47" t="s">
        <v>0</v>
      </c>
      <c r="DR78" s="52" t="str">
        <f t="shared" si="131"/>
        <v>Zlatan – Kos – OK Vihor</v>
      </c>
      <c r="DS78" s="53">
        <f t="shared" si="132"/>
        <v>749</v>
      </c>
      <c r="DT78" s="47" t="s">
        <v>0</v>
      </c>
      <c r="DU78" s="52" t="str">
        <f t="shared" si="133"/>
        <v>Zlatan – Kos</v>
      </c>
      <c r="DV78" s="53">
        <f t="shared" si="134"/>
        <v>749</v>
      </c>
      <c r="DW78" s="47" t="s">
        <v>0</v>
      </c>
      <c r="DX78" s="58">
        <f t="shared" ref="DX78:DX141" si="177">IF(DP78="","",IF(DP78&lt;&gt;"NEMA",DP78,IF(DS78&lt;&gt;"NEMA",DS78,IF(DV78&lt;&gt;"NEMA",DV78,""))))</f>
        <v>749</v>
      </c>
      <c r="DY78" s="53" cm="1">
        <f t="array" ref="DY78">IF(DX78&lt;&gt;"",INDEX(regNatjecatelj_id,DX78,0),IF(BD78&lt;&gt;"",BD78,""))</f>
        <v>1930</v>
      </c>
      <c r="DZ78" s="47" t="s">
        <v>0</v>
      </c>
      <c r="EA78" s="58" t="str">
        <f t="shared" si="135"/>
        <v>imepre</v>
      </c>
      <c r="EB78" s="73" t="str">
        <f t="shared" si="136"/>
        <v>klu</v>
      </c>
      <c r="EC78" s="73" t="str">
        <f t="shared" si="137"/>
        <v>kat</v>
      </c>
      <c r="ED78" s="73" t="str">
        <f t="shared" si="138"/>
        <v/>
      </c>
      <c r="EE78" s="66" t="str">
        <f t="shared" si="139"/>
        <v>imepre-klu-kat</v>
      </c>
      <c r="EF78" s="47" t="s">
        <v>0</v>
      </c>
      <c r="EG78" s="58">
        <f>IF(AL78="","",MAX(EG$12:EG77)+1)</f>
        <v>248</v>
      </c>
      <c r="EH78" s="73">
        <f t="shared" si="140"/>
        <v>28</v>
      </c>
      <c r="EI78" s="73">
        <f t="shared" ref="EI78:EI141" si="178">IF(DY78="","",DY78)</f>
        <v>1930</v>
      </c>
      <c r="EJ78" s="73">
        <f t="shared" si="141"/>
        <v>3203</v>
      </c>
      <c r="EK78" s="73">
        <f t="shared" si="142"/>
        <v>1</v>
      </c>
      <c r="EL78" s="73">
        <f t="shared" ref="EL78:EL141" si="179">IF(DU78="","",IF(data_trka_je_rangirana=0,0,IF(OR(DP78="",DP78="NEMA"),0,1)))</f>
        <v>1</v>
      </c>
      <c r="EM78" s="73">
        <f t="shared" ref="EM78:EM141" si="180">IF(EG78="","",INDEX(regUparivanje_id,MATCH(EE78,regUparivanje_oznaka,0)))</f>
        <v>1</v>
      </c>
      <c r="EN78" s="73" t="str">
        <f t="shared" si="143"/>
        <v>0</v>
      </c>
      <c r="EO78" s="73" t="str">
        <f t="shared" si="144"/>
        <v/>
      </c>
      <c r="EP78" s="73" t="str">
        <f t="shared" si="145"/>
        <v/>
      </c>
      <c r="EQ78" s="53" t="str">
        <f t="shared" si="146"/>
        <v/>
      </c>
      <c r="ER78" s="47" t="s">
        <v>0</v>
      </c>
      <c r="ES78" s="19" t="str">
        <f t="shared" ref="ES78:ES141" si="181">IF(EH78="","","INSERT INTO rezultat(id,stazakategorija_id,imeprezime_id,vrijeme_sec,status_id,registracija,uparivanje_id,originalstatus_id,imeprezimealias_id,klubalias_id,kategorijaalias_id) VALUES ("&amp;EG78&amp;","&amp;EH78&amp;","&amp;EI78&amp;","&amp;IF(EJ78="","Null",EJ78)&amp;","&amp;EK78&amp;","&amp;EL78&amp;","&amp;EM78&amp;","&amp;EN78&amp;","&amp;IF(EO78="","Null",EO78)&amp;","&amp;IF(EP78="","Null",EP78)&amp;","&amp;IF(EQ78="","Null",EQ78)&amp;");")</f>
        <v>INSERT INTO rezultat(id,stazakategorija_id,imeprezime_id,vrijeme_sec,status_id,registracija,uparivanje_id,originalstatus_id,imeprezimealias_id,klubalias_id,kategorijaalias_id) VALUES (248,28,1930,3203,1,1,1,0,Null,Null,Null);</v>
      </c>
      <c r="ET78" s="47" t="s">
        <v>0</v>
      </c>
      <c r="EU78" s="19" t="str">
        <f t="shared" ref="EU78:EU141" si="182">IF(EH78="","",IF(EL78=1,"UPDATE
	registar
SET
	potvrda = 1
WHERE
	imeprezime_id="&amp;EI78&amp;"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"&amp;EH78&amp;")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8" s="47" t="s">
        <v>0</v>
      </c>
      <c r="EW78" s="180" t="str">
        <f t="shared" si="147"/>
        <v xml:space="preserve">
INSERT INTO rezultat(id,stazakategorija_id,imeprezime_id,vrijeme_sec,status_id,registracija,uparivanje_id,originalstatus_id,imeprezimealias_id,klubalias_id,kategorijaalias_id) VALUES (248,28,1930,3203,1,1,1,0,Null,Null,Null);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8" s="47" t="s">
        <v>0</v>
      </c>
    </row>
    <row r="79" spans="1:154" x14ac:dyDescent="0.25">
      <c r="A79" t="s">
        <v>0</v>
      </c>
      <c r="B79" s="52" t="str">
        <f>IF(csv!F69="","",csv!T69)</f>
        <v>M21B</v>
      </c>
      <c r="C79" s="31" t="s">
        <v>0</v>
      </c>
      <c r="D79" s="31" t="str">
        <f>IF(csv!F69="","",csv!F69)</f>
        <v>Ivan</v>
      </c>
      <c r="E79" s="31" t="str">
        <f>IF(csv!E69="","",csv!E69)</f>
        <v>Malović</v>
      </c>
      <c r="F79" s="31" t="s">
        <v>0</v>
      </c>
      <c r="G79" s="73" t="str">
        <f>IF(csv!M69="","",csv!M69)</f>
        <v>61:09</v>
      </c>
      <c r="H79" s="73" t="str">
        <f>IF(csv!N69="","",csv!N69)</f>
        <v>0</v>
      </c>
      <c r="I79" s="31" t="s">
        <v>0</v>
      </c>
      <c r="J79" s="31" t="str">
        <f>IF(csv!P69="","",csv!P69)</f>
        <v>KAP</v>
      </c>
      <c r="K79" s="31" t="str">
        <f>IF(csv!Q69="","",csv!Q69)</f>
        <v>OK Kapela</v>
      </c>
      <c r="L79" s="31" t="s">
        <v>0</v>
      </c>
      <c r="M79" s="66" t="str">
        <f>IF(csv!R69="","",csv!R69)</f>
        <v>CRO</v>
      </c>
      <c r="N79" s="47" t="s">
        <v>0</v>
      </c>
      <c r="O79" s="246" t="str">
        <f t="shared" si="148"/>
        <v>ok</v>
      </c>
      <c r="P79" s="47"/>
      <c r="Q79" s="52" t="str">
        <f t="shared" si="149"/>
        <v>M21B</v>
      </c>
      <c r="R79" s="73">
        <f>IF(Q79="","",IF(COUNTIF(Q$12:Q78,Q79)=0,R78+1,R78))</f>
        <v>6</v>
      </c>
      <c r="S79" s="73">
        <f t="shared" si="150"/>
        <v>108</v>
      </c>
      <c r="T79" s="73">
        <f t="shared" si="113"/>
        <v>19</v>
      </c>
      <c r="U79" s="66" t="str">
        <f t="shared" si="114"/>
        <v>M21B – M16</v>
      </c>
      <c r="V79" s="47" t="s">
        <v>0</v>
      </c>
      <c r="W79" s="222" t="str">
        <f t="shared" si="115"/>
        <v>M21B</v>
      </c>
      <c r="X79" s="223">
        <f t="shared" si="116"/>
        <v>28</v>
      </c>
      <c r="Y79" s="47" t="s">
        <v>0</v>
      </c>
      <c r="Z79" s="52" t="str">
        <f t="shared" si="151"/>
        <v>CRO</v>
      </c>
      <c r="AA79" s="73">
        <f t="shared" si="117"/>
        <v>1</v>
      </c>
      <c r="AB79" s="31" t="str">
        <f t="shared" si="152"/>
        <v/>
      </c>
      <c r="AC79" s="66" t="str">
        <f>IF(AB79="","",MAX(AC$12:AC78)+1)</f>
        <v/>
      </c>
      <c r="AD79" s="47" t="s">
        <v>0</v>
      </c>
      <c r="AE79" s="125"/>
      <c r="AF79" s="47" t="s">
        <v>0</v>
      </c>
      <c r="AG79" s="19" t="str">
        <f t="shared" si="153"/>
        <v/>
      </c>
      <c r="AH79" s="47" t="s">
        <v>0</v>
      </c>
      <c r="AI79" s="143" t="str">
        <f t="shared" si="154"/>
        <v>CRO</v>
      </c>
      <c r="AJ79" s="47"/>
      <c r="AK79" s="52" t="str">
        <f t="shared" si="155"/>
        <v>Ivan</v>
      </c>
      <c r="AL79" s="31" t="str">
        <f t="shared" si="156"/>
        <v>Malović</v>
      </c>
      <c r="AM79" s="73">
        <f t="shared" si="157"/>
        <v>1948</v>
      </c>
      <c r="AN79" s="73" t="str">
        <f t="shared" si="158"/>
        <v/>
      </c>
      <c r="AO79" s="31" t="str">
        <f t="shared" si="118"/>
        <v>Ivan</v>
      </c>
      <c r="AP79" s="66" t="str">
        <f t="shared" si="119"/>
        <v>Malović</v>
      </c>
      <c r="AQ79" s="47" t="s">
        <v>0</v>
      </c>
      <c r="AR79" s="82" t="str">
        <f t="shared" si="159"/>
        <v/>
      </c>
      <c r="AS79" s="47" t="s">
        <v>0</v>
      </c>
      <c r="AT79" s="19" t="str">
        <f t="shared" si="160"/>
        <v/>
      </c>
      <c r="AU79" s="47" t="s">
        <v>0</v>
      </c>
      <c r="AV79" s="103"/>
      <c r="AW79" s="105"/>
      <c r="AX79" s="47" t="s">
        <v>0</v>
      </c>
      <c r="AY79" s="259" t="str">
        <f t="shared" si="102"/>
        <v/>
      </c>
      <c r="AZ79" s="47" t="s">
        <v>0</v>
      </c>
      <c r="BA79" s="52" t="str">
        <f t="shared" si="120"/>
        <v/>
      </c>
      <c r="BB79" s="73" t="str">
        <f>IF(AV79&amp;AW79="","",MAX(BB$12:BB78)+1)</f>
        <v/>
      </c>
      <c r="BC79" s="272" t="str">
        <f t="shared" si="121"/>
        <v/>
      </c>
      <c r="BD79" s="53" t="str">
        <f>IF(AND(AM79="NEMA",AN79="NEMA",OR(AV79&amp;AW79="",BC79="NEMA")),MAX(BD$12:BD78)+1,"")</f>
        <v/>
      </c>
      <c r="BE79" s="47" t="s">
        <v>0</v>
      </c>
      <c r="BF79" s="52" t="str">
        <f t="shared" si="161"/>
        <v>Ivan</v>
      </c>
      <c r="BG79" s="66" t="str">
        <f t="shared" si="162"/>
        <v>Malović</v>
      </c>
      <c r="BH79" s="47" t="s">
        <v>0</v>
      </c>
      <c r="BI79" s="52" t="str">
        <f t="shared" si="122"/>
        <v>KAP</v>
      </c>
      <c r="BJ79" s="31" t="str">
        <f t="shared" si="123"/>
        <v>OK Kapela</v>
      </c>
      <c r="BK79" s="73" t="str">
        <f t="shared" si="124"/>
        <v/>
      </c>
      <c r="BL79" s="31" t="str" cm="1">
        <f t="array" ref="BL79">IF(BK79="",""&amp;BJ79,IF(BK79="NEMA",BJ79,INDEX(regKlub_naziv,MATCH(INDEX(regKlub_alias_klubId,BK79),regKlub_id,0))))</f>
        <v>OK Kapela</v>
      </c>
      <c r="BM79" s="31" t="str" cm="1">
        <f t="array" ref="BM79">IFERROR(""&amp;INDEX(regNatjecatelj_klub,DV79),"")</f>
        <v>OK Kapela</v>
      </c>
      <c r="BN79" s="73" t="str">
        <f t="shared" si="163"/>
        <v/>
      </c>
      <c r="BO79" s="66" t="str">
        <f t="shared" si="164"/>
        <v>OK Kapela</v>
      </c>
      <c r="BP79" s="47" t="s">
        <v>0</v>
      </c>
      <c r="BQ79" s="52" t="str">
        <f>IF(X79&lt;&gt;"NEMA","",IF(IFERROR(MATCH(W79,W$12:W78,0),0)&lt;&gt;0,"",W79))</f>
        <v/>
      </c>
      <c r="BR79" s="73" t="str">
        <f t="shared" si="165"/>
        <v/>
      </c>
      <c r="BS79" s="31" t="str">
        <f>IF(OR(BR79="",BR79&lt;&gt;"NEMA"),"",MAX(BS$12:BS78)+1)</f>
        <v/>
      </c>
      <c r="BT79" s="66" t="str">
        <f t="shared" si="166"/>
        <v/>
      </c>
      <c r="BU79" s="47" t="s">
        <v>0</v>
      </c>
      <c r="BV79" s="19" t="str">
        <f t="shared" si="167"/>
        <v/>
      </c>
      <c r="BW79" s="47" t="s">
        <v>0</v>
      </c>
      <c r="BX79" s="82" t="str">
        <f>IF(BK79&lt;&gt;"NEMA","",IF(IFERROR(MATCH(BJ79,BJ$12:BJ78,0),0)&lt;&gt;0,"",BJ79))</f>
        <v/>
      </c>
      <c r="BY79" s="47" t="s">
        <v>0</v>
      </c>
      <c r="BZ79" s="125"/>
      <c r="CA79" s="47" t="s">
        <v>0</v>
      </c>
      <c r="CB79" s="58" t="str">
        <f t="shared" si="168"/>
        <v/>
      </c>
      <c r="CC79" s="31" t="str">
        <f t="shared" si="169"/>
        <v/>
      </c>
      <c r="CD79" s="31" t="str">
        <f>IF(CC79="","",MAX(CD$12:CD78)+1)</f>
        <v/>
      </c>
      <c r="CE79" s="31" t="str">
        <f t="shared" si="125"/>
        <v/>
      </c>
      <c r="CF79" s="31" t="str">
        <f t="shared" si="170"/>
        <v/>
      </c>
      <c r="CG79" s="31" t="str">
        <f>IF(BZ79="","",MAX(CG$12:CG78)+1)</f>
        <v/>
      </c>
      <c r="CH79" s="31" t="str">
        <f t="shared" si="171"/>
        <v/>
      </c>
      <c r="CI79" s="66" t="str">
        <f t="shared" si="172"/>
        <v/>
      </c>
      <c r="CJ79" s="47" t="s">
        <v>0</v>
      </c>
      <c r="CK79" s="73" t="str">
        <f t="shared" si="126"/>
        <v/>
      </c>
      <c r="CL79" s="47"/>
      <c r="CM79" s="19" t="str">
        <f t="shared" si="173"/>
        <v/>
      </c>
      <c r="CN79" s="47" t="s">
        <v>0</v>
      </c>
      <c r="CO79" s="143" t="str">
        <f t="shared" si="174"/>
        <v>OK Kapela</v>
      </c>
      <c r="CP79" s="47" t="s">
        <v>0</v>
      </c>
      <c r="CQ79" s="58" t="str">
        <f t="shared" si="109"/>
        <v>61:09</v>
      </c>
      <c r="CR79" s="73" t="str">
        <f t="shared" si="110"/>
        <v>0</v>
      </c>
      <c r="CS79" s="229" t="str">
        <f t="shared" si="127"/>
        <v/>
      </c>
      <c r="CT79" s="230">
        <f t="shared" si="112"/>
        <v>3669</v>
      </c>
      <c r="CU79" s="163">
        <f t="shared" si="128"/>
        <v>1</v>
      </c>
      <c r="CV79" s="47" t="s">
        <v>0</v>
      </c>
      <c r="CW79" s="222" t="str">
        <f t="shared" si="175"/>
        <v xml:space="preserve">
</v>
      </c>
      <c r="CX79" s="223">
        <f t="shared" si="176"/>
        <v>6</v>
      </c>
      <c r="CY79" s="47" t="s">
        <v>0</v>
      </c>
      <c r="CZ79" s="47"/>
      <c r="DA79" s="47"/>
      <c r="DB79" s="47"/>
      <c r="DC79" s="47" t="s">
        <v>0</v>
      </c>
      <c r="DD79" s="53" t="str">
        <f t="shared" si="103"/>
        <v/>
      </c>
      <c r="DE79" t="s">
        <v>0</v>
      </c>
      <c r="DF79" s="128" t="str">
        <f t="shared" si="104"/>
        <v>M</v>
      </c>
      <c r="DG79" t="s">
        <v>0</v>
      </c>
      <c r="DH79" s="52" t="str">
        <f t="shared" si="105"/>
        <v/>
      </c>
      <c r="DI79" s="66" t="str">
        <f t="shared" si="106"/>
        <v/>
      </c>
      <c r="DJ79" t="s">
        <v>0</v>
      </c>
      <c r="DK79" s="19" t="str">
        <f t="shared" si="107"/>
        <v/>
      </c>
      <c r="DL79" s="47" t="s">
        <v>0</v>
      </c>
      <c r="DM79" s="19" t="str">
        <f t="shared" si="108"/>
        <v/>
      </c>
      <c r="DN79" s="47" t="s">
        <v>0</v>
      </c>
      <c r="DO79" s="52" t="str">
        <f t="shared" si="129"/>
        <v>Ivan – Malović – OK Kapela – M21B</v>
      </c>
      <c r="DP79" s="53" t="str">
        <f t="shared" si="130"/>
        <v>NEMA</v>
      </c>
      <c r="DQ79" s="47" t="s">
        <v>0</v>
      </c>
      <c r="DR79" s="52" t="str">
        <f t="shared" si="131"/>
        <v>Ivan – Malović – OK Kapela</v>
      </c>
      <c r="DS79" s="53">
        <f t="shared" si="132"/>
        <v>276</v>
      </c>
      <c r="DT79" s="47" t="s">
        <v>0</v>
      </c>
      <c r="DU79" s="52" t="str">
        <f t="shared" si="133"/>
        <v>Ivan – Malović</v>
      </c>
      <c r="DV79" s="53">
        <f t="shared" si="134"/>
        <v>276</v>
      </c>
      <c r="DW79" s="47" t="s">
        <v>0</v>
      </c>
      <c r="DX79" s="58">
        <f t="shared" si="177"/>
        <v>276</v>
      </c>
      <c r="DY79" s="53" cm="1">
        <f t="array" ref="DY79">IF(DX79&lt;&gt;"",INDEX(regNatjecatelj_id,DX79,0),IF(BD79&lt;&gt;"",BD79,""))</f>
        <v>1948</v>
      </c>
      <c r="DZ79" s="47" t="s">
        <v>0</v>
      </c>
      <c r="EA79" s="58" t="str">
        <f t="shared" si="135"/>
        <v>imepre</v>
      </c>
      <c r="EB79" s="73" t="str">
        <f t="shared" si="136"/>
        <v>klu</v>
      </c>
      <c r="EC79" s="73" t="str">
        <f t="shared" si="137"/>
        <v>kat</v>
      </c>
      <c r="ED79" s="73" t="str">
        <f t="shared" si="138"/>
        <v/>
      </c>
      <c r="EE79" s="66" t="str">
        <f t="shared" si="139"/>
        <v>imepre-klu-kat</v>
      </c>
      <c r="EF79" s="47" t="s">
        <v>0</v>
      </c>
      <c r="EG79" s="58">
        <f>IF(AL79="","",MAX(EG$12:EG78)+1)</f>
        <v>249</v>
      </c>
      <c r="EH79" s="73">
        <f t="shared" si="140"/>
        <v>28</v>
      </c>
      <c r="EI79" s="73">
        <f t="shared" si="178"/>
        <v>1948</v>
      </c>
      <c r="EJ79" s="73">
        <f t="shared" si="141"/>
        <v>3669</v>
      </c>
      <c r="EK79" s="73">
        <f t="shared" si="142"/>
        <v>1</v>
      </c>
      <c r="EL79" s="73">
        <f t="shared" si="179"/>
        <v>0</v>
      </c>
      <c r="EM79" s="73">
        <f t="shared" si="180"/>
        <v>1</v>
      </c>
      <c r="EN79" s="73" t="str">
        <f t="shared" si="143"/>
        <v>0</v>
      </c>
      <c r="EO79" s="73" t="str">
        <f t="shared" si="144"/>
        <v/>
      </c>
      <c r="EP79" s="73" t="str">
        <f t="shared" si="145"/>
        <v/>
      </c>
      <c r="EQ79" s="53" t="str">
        <f t="shared" si="146"/>
        <v/>
      </c>
      <c r="ER79" s="47" t="s">
        <v>0</v>
      </c>
      <c r="ES79" s="19" t="str">
        <f t="shared" si="181"/>
        <v>INSERT INTO rezultat(id,stazakategorija_id,imeprezime_id,vrijeme_sec,status_id,registracija,uparivanje_id,originalstatus_id,imeprezimealias_id,klubalias_id,kategorijaalias_id) VALUES (249,28,1948,3669,1,0,1,0,Null,Null,Null);</v>
      </c>
      <c r="ET79" s="47" t="s">
        <v>0</v>
      </c>
      <c r="EU79" s="19" t="str">
        <f t="shared" si="182"/>
        <v/>
      </c>
      <c r="EV79" s="47" t="s">
        <v>0</v>
      </c>
      <c r="EW79" s="180" t="str">
        <f t="shared" si="147"/>
        <v xml:space="preserve">
INSERT INTO rezultat(id,stazakategorija_id,imeprezime_id,vrijeme_sec,status_id,registracija,uparivanje_id,originalstatus_id,imeprezimealias_id,klubalias_id,kategorijaalias_id) VALUES (249,28,1948,3669,1,0,1,0,Null,Null,Null);</v>
      </c>
      <c r="EX79" s="47" t="s">
        <v>0</v>
      </c>
    </row>
    <row r="80" spans="1:154" x14ac:dyDescent="0.25">
      <c r="A80" t="s">
        <v>0</v>
      </c>
      <c r="B80" s="52" t="str">
        <f>IF(csv!F70="","",csv!T70)</f>
        <v>M21B</v>
      </c>
      <c r="C80" s="31" t="s">
        <v>0</v>
      </c>
      <c r="D80" s="31" t="str">
        <f>IF(csv!F70="","",csv!F70)</f>
        <v>Zdravko</v>
      </c>
      <c r="E80" s="31" t="str">
        <f>IF(csv!E70="","",csv!E70)</f>
        <v>Tonković</v>
      </c>
      <c r="F80" s="31" t="s">
        <v>0</v>
      </c>
      <c r="G80" s="73" t="str">
        <f>IF(csv!M70="","",csv!M70)</f>
        <v>61:21</v>
      </c>
      <c r="H80" s="73" t="str">
        <f>IF(csv!N70="","",csv!N70)</f>
        <v>0</v>
      </c>
      <c r="I80" s="31" t="s">
        <v>0</v>
      </c>
      <c r="J80" s="31" t="str">
        <f>IF(csv!P70="","",csv!P70)</f>
        <v>KAP</v>
      </c>
      <c r="K80" s="31" t="str">
        <f>IF(csv!Q70="","",csv!Q70)</f>
        <v>OK Kapela</v>
      </c>
      <c r="L80" s="31" t="s">
        <v>0</v>
      </c>
      <c r="M80" s="66" t="str">
        <f>IF(csv!R70="","",csv!R70)</f>
        <v>CRO</v>
      </c>
      <c r="N80" s="47" t="s">
        <v>0</v>
      </c>
      <c r="O80" s="246" t="str">
        <f t="shared" si="148"/>
        <v>ok</v>
      </c>
      <c r="P80" s="47"/>
      <c r="Q80" s="52" t="str">
        <f t="shared" si="149"/>
        <v>M21B</v>
      </c>
      <c r="R80" s="73">
        <f>IF(Q80="","",IF(COUNTIF(Q$12:Q79,Q80)=0,R79+1,R79))</f>
        <v>6</v>
      </c>
      <c r="S80" s="73">
        <f t="shared" si="150"/>
        <v>108</v>
      </c>
      <c r="T80" s="73">
        <f t="shared" si="113"/>
        <v>19</v>
      </c>
      <c r="U80" s="66" t="str">
        <f t="shared" si="114"/>
        <v>M21B – M16</v>
      </c>
      <c r="V80" s="47" t="s">
        <v>0</v>
      </c>
      <c r="W80" s="222" t="str">
        <f t="shared" si="115"/>
        <v>M21B</v>
      </c>
      <c r="X80" s="223">
        <f t="shared" si="116"/>
        <v>28</v>
      </c>
      <c r="Y80" s="47" t="s">
        <v>0</v>
      </c>
      <c r="Z80" s="52" t="str">
        <f t="shared" si="151"/>
        <v>CRO</v>
      </c>
      <c r="AA80" s="73">
        <f t="shared" si="117"/>
        <v>1</v>
      </c>
      <c r="AB80" s="31" t="str">
        <f t="shared" si="152"/>
        <v/>
      </c>
      <c r="AC80" s="66" t="str">
        <f>IF(AB80="","",MAX(AC$12:AC79)+1)</f>
        <v/>
      </c>
      <c r="AD80" s="47" t="s">
        <v>0</v>
      </c>
      <c r="AE80" s="125"/>
      <c r="AF80" s="47" t="s">
        <v>0</v>
      </c>
      <c r="AG80" s="19" t="str">
        <f t="shared" si="153"/>
        <v/>
      </c>
      <c r="AH80" s="47" t="s">
        <v>0</v>
      </c>
      <c r="AI80" s="143" t="str">
        <f t="shared" si="154"/>
        <v>CRO</v>
      </c>
      <c r="AJ80" s="47"/>
      <c r="AK80" s="52" t="str">
        <f t="shared" si="155"/>
        <v>Zdravko</v>
      </c>
      <c r="AL80" s="31" t="str">
        <f t="shared" si="156"/>
        <v>Tonković</v>
      </c>
      <c r="AM80" s="73">
        <f t="shared" si="157"/>
        <v>1420</v>
      </c>
      <c r="AN80" s="73" t="str">
        <f t="shared" si="158"/>
        <v/>
      </c>
      <c r="AO80" s="31" t="str">
        <f t="shared" si="118"/>
        <v>Zdravko</v>
      </c>
      <c r="AP80" s="66" t="str">
        <f t="shared" si="119"/>
        <v>Tonković</v>
      </c>
      <c r="AQ80" s="47" t="s">
        <v>0</v>
      </c>
      <c r="AR80" s="82" t="str">
        <f t="shared" si="159"/>
        <v/>
      </c>
      <c r="AS80" s="47" t="s">
        <v>0</v>
      </c>
      <c r="AT80" s="19" t="str">
        <f t="shared" si="160"/>
        <v/>
      </c>
      <c r="AU80" s="47" t="s">
        <v>0</v>
      </c>
      <c r="AV80" s="103"/>
      <c r="AW80" s="105"/>
      <c r="AX80" s="47" t="s">
        <v>0</v>
      </c>
      <c r="AY80" s="259" t="str">
        <f t="shared" si="102"/>
        <v/>
      </c>
      <c r="AZ80" s="47" t="s">
        <v>0</v>
      </c>
      <c r="BA80" s="52" t="str">
        <f t="shared" si="120"/>
        <v/>
      </c>
      <c r="BB80" s="73" t="str">
        <f>IF(AV80&amp;AW80="","",MAX(BB$12:BB79)+1)</f>
        <v/>
      </c>
      <c r="BC80" s="272" t="str">
        <f t="shared" si="121"/>
        <v/>
      </c>
      <c r="BD80" s="53" t="str">
        <f>IF(AND(AM80="NEMA",AN80="NEMA",OR(AV80&amp;AW80="",BC80="NEMA")),MAX(BD$12:BD79)+1,"")</f>
        <v/>
      </c>
      <c r="BE80" s="47" t="s">
        <v>0</v>
      </c>
      <c r="BF80" s="52" t="str">
        <f t="shared" si="161"/>
        <v>Zdravko</v>
      </c>
      <c r="BG80" s="66" t="str">
        <f t="shared" si="162"/>
        <v>Tonković</v>
      </c>
      <c r="BH80" s="47" t="s">
        <v>0</v>
      </c>
      <c r="BI80" s="52" t="str">
        <f t="shared" si="122"/>
        <v>KAP</v>
      </c>
      <c r="BJ80" s="31" t="str">
        <f t="shared" si="123"/>
        <v>OK Kapela</v>
      </c>
      <c r="BK80" s="73" t="str">
        <f t="shared" si="124"/>
        <v/>
      </c>
      <c r="BL80" s="31" t="str" cm="1">
        <f t="array" ref="BL80">IF(BK80="",""&amp;BJ80,IF(BK80="NEMA",BJ80,INDEX(regKlub_naziv,MATCH(INDEX(regKlub_alias_klubId,BK80),regKlub_id,0))))</f>
        <v>OK Kapela</v>
      </c>
      <c r="BM80" s="31" t="str" cm="1">
        <f t="array" ref="BM80">IFERROR(""&amp;INDEX(regNatjecatelj_klub,DV80),"")</f>
        <v>OK Kapela</v>
      </c>
      <c r="BN80" s="73" t="str">
        <f t="shared" si="163"/>
        <v/>
      </c>
      <c r="BO80" s="66" t="str">
        <f t="shared" si="164"/>
        <v>OK Kapela</v>
      </c>
      <c r="BP80" s="47" t="s">
        <v>0</v>
      </c>
      <c r="BQ80" s="52" t="str">
        <f>IF(X80&lt;&gt;"NEMA","",IF(IFERROR(MATCH(W80,W$12:W79,0),0)&lt;&gt;0,"",W80))</f>
        <v/>
      </c>
      <c r="BR80" s="73" t="str">
        <f t="shared" si="165"/>
        <v/>
      </c>
      <c r="BS80" s="31" t="str">
        <f>IF(OR(BR80="",BR80&lt;&gt;"NEMA"),"",MAX(BS$12:BS79)+1)</f>
        <v/>
      </c>
      <c r="BT80" s="66" t="str">
        <f t="shared" si="166"/>
        <v/>
      </c>
      <c r="BU80" s="47" t="s">
        <v>0</v>
      </c>
      <c r="BV80" s="19" t="str">
        <f t="shared" si="167"/>
        <v/>
      </c>
      <c r="BW80" s="47" t="s">
        <v>0</v>
      </c>
      <c r="BX80" s="82" t="str">
        <f>IF(BK80&lt;&gt;"NEMA","",IF(IFERROR(MATCH(BJ80,BJ$12:BJ79,0),0)&lt;&gt;0,"",BJ80))</f>
        <v/>
      </c>
      <c r="BY80" s="47" t="s">
        <v>0</v>
      </c>
      <c r="BZ80" s="125"/>
      <c r="CA80" s="47" t="s">
        <v>0</v>
      </c>
      <c r="CB80" s="58" t="str">
        <f t="shared" si="168"/>
        <v/>
      </c>
      <c r="CC80" s="31" t="str">
        <f t="shared" si="169"/>
        <v/>
      </c>
      <c r="CD80" s="31" t="str">
        <f>IF(CC80="","",MAX(CD$12:CD79)+1)</f>
        <v/>
      </c>
      <c r="CE80" s="31" t="str">
        <f t="shared" si="125"/>
        <v/>
      </c>
      <c r="CF80" s="31" t="str">
        <f t="shared" si="170"/>
        <v/>
      </c>
      <c r="CG80" s="31" t="str">
        <f>IF(BZ80="","",MAX(CG$12:CG79)+1)</f>
        <v/>
      </c>
      <c r="CH80" s="31" t="str">
        <f t="shared" si="171"/>
        <v/>
      </c>
      <c r="CI80" s="66" t="str">
        <f t="shared" si="172"/>
        <v/>
      </c>
      <c r="CJ80" s="47" t="s">
        <v>0</v>
      </c>
      <c r="CK80" s="73" t="str">
        <f t="shared" si="126"/>
        <v/>
      </c>
      <c r="CL80" s="47"/>
      <c r="CM80" s="19" t="str">
        <f t="shared" si="173"/>
        <v/>
      </c>
      <c r="CN80" s="47" t="s">
        <v>0</v>
      </c>
      <c r="CO80" s="143" t="str">
        <f t="shared" si="174"/>
        <v>OK Kapela</v>
      </c>
      <c r="CP80" s="47" t="s">
        <v>0</v>
      </c>
      <c r="CQ80" s="58" t="str">
        <f t="shared" si="109"/>
        <v>61:21</v>
      </c>
      <c r="CR80" s="73" t="str">
        <f t="shared" si="110"/>
        <v>0</v>
      </c>
      <c r="CS80" s="229" t="str">
        <f t="shared" si="127"/>
        <v/>
      </c>
      <c r="CT80" s="230">
        <f t="shared" si="112"/>
        <v>3681</v>
      </c>
      <c r="CU80" s="163">
        <f t="shared" si="128"/>
        <v>1</v>
      </c>
      <c r="CV80" s="47" t="s">
        <v>0</v>
      </c>
      <c r="CW80" s="222" t="str">
        <f t="shared" si="175"/>
        <v xml:space="preserve">
</v>
      </c>
      <c r="CX80" s="223">
        <f t="shared" si="176"/>
        <v>6</v>
      </c>
      <c r="CY80" s="47" t="s">
        <v>0</v>
      </c>
      <c r="CZ80" s="47"/>
      <c r="DA80" s="47"/>
      <c r="DB80" s="47"/>
      <c r="DC80" s="47" t="s">
        <v>0</v>
      </c>
      <c r="DD80" s="53" t="str">
        <f t="shared" si="103"/>
        <v/>
      </c>
      <c r="DE80" t="s">
        <v>0</v>
      </c>
      <c r="DF80" s="128" t="str">
        <f t="shared" si="104"/>
        <v>M</v>
      </c>
      <c r="DG80" t="s">
        <v>0</v>
      </c>
      <c r="DH80" s="52" t="str">
        <f t="shared" si="105"/>
        <v/>
      </c>
      <c r="DI80" s="66" t="str">
        <f t="shared" si="106"/>
        <v/>
      </c>
      <c r="DJ80" t="s">
        <v>0</v>
      </c>
      <c r="DK80" s="19" t="str">
        <f t="shared" si="107"/>
        <v/>
      </c>
      <c r="DL80" s="47" t="s">
        <v>0</v>
      </c>
      <c r="DM80" s="19" t="str">
        <f t="shared" si="108"/>
        <v/>
      </c>
      <c r="DN80" s="47" t="s">
        <v>0</v>
      </c>
      <c r="DO80" s="52" t="str">
        <f t="shared" si="129"/>
        <v>Zdravko – Tonković – OK Kapela – M21B</v>
      </c>
      <c r="DP80" s="53">
        <f t="shared" si="130"/>
        <v>319</v>
      </c>
      <c r="DQ80" s="47" t="s">
        <v>0</v>
      </c>
      <c r="DR80" s="52" t="str">
        <f t="shared" si="131"/>
        <v>Zdravko – Tonković – OK Kapela</v>
      </c>
      <c r="DS80" s="53">
        <f t="shared" si="132"/>
        <v>319</v>
      </c>
      <c r="DT80" s="47" t="s">
        <v>0</v>
      </c>
      <c r="DU80" s="52" t="str">
        <f t="shared" si="133"/>
        <v>Zdravko – Tonković</v>
      </c>
      <c r="DV80" s="53">
        <f t="shared" si="134"/>
        <v>319</v>
      </c>
      <c r="DW80" s="47" t="s">
        <v>0</v>
      </c>
      <c r="DX80" s="58">
        <f t="shared" si="177"/>
        <v>319</v>
      </c>
      <c r="DY80" s="53" cm="1">
        <f t="array" ref="DY80">IF(DX80&lt;&gt;"",INDEX(regNatjecatelj_id,DX80,0),IF(BD80&lt;&gt;"",BD80,""))</f>
        <v>1420</v>
      </c>
      <c r="DZ80" s="47" t="s">
        <v>0</v>
      </c>
      <c r="EA80" s="58" t="str">
        <f t="shared" si="135"/>
        <v>imepre</v>
      </c>
      <c r="EB80" s="73" t="str">
        <f t="shared" si="136"/>
        <v>klu</v>
      </c>
      <c r="EC80" s="73" t="str">
        <f t="shared" si="137"/>
        <v>kat</v>
      </c>
      <c r="ED80" s="73" t="str">
        <f t="shared" si="138"/>
        <v/>
      </c>
      <c r="EE80" s="66" t="str">
        <f t="shared" si="139"/>
        <v>imepre-klu-kat</v>
      </c>
      <c r="EF80" s="47" t="s">
        <v>0</v>
      </c>
      <c r="EG80" s="58">
        <f>IF(AL80="","",MAX(EG$12:EG79)+1)</f>
        <v>250</v>
      </c>
      <c r="EH80" s="73">
        <f t="shared" si="140"/>
        <v>28</v>
      </c>
      <c r="EI80" s="73">
        <f t="shared" si="178"/>
        <v>1420</v>
      </c>
      <c r="EJ80" s="73">
        <f t="shared" si="141"/>
        <v>3681</v>
      </c>
      <c r="EK80" s="73">
        <f t="shared" si="142"/>
        <v>1</v>
      </c>
      <c r="EL80" s="73">
        <f t="shared" si="179"/>
        <v>1</v>
      </c>
      <c r="EM80" s="73">
        <f t="shared" si="180"/>
        <v>1</v>
      </c>
      <c r="EN80" s="73" t="str">
        <f t="shared" si="143"/>
        <v>0</v>
      </c>
      <c r="EO80" s="73" t="str">
        <f t="shared" si="144"/>
        <v/>
      </c>
      <c r="EP80" s="73" t="str">
        <f t="shared" si="145"/>
        <v/>
      </c>
      <c r="EQ80" s="53" t="str">
        <f t="shared" si="146"/>
        <v/>
      </c>
      <c r="ER80" s="47" t="s">
        <v>0</v>
      </c>
      <c r="ES80" s="19" t="str">
        <f t="shared" si="181"/>
        <v>INSERT INTO rezultat(id,stazakategorija_id,imeprezime_id,vrijeme_sec,status_id,registracija,uparivanje_id,originalstatus_id,imeprezimealias_id,klubalias_id,kategorijaalias_id) VALUES (250,28,1420,3681,1,1,1,0,Null,Null,Null);</v>
      </c>
      <c r="ET80" s="47" t="s">
        <v>0</v>
      </c>
      <c r="EU80" s="19" t="str">
        <f t="shared" si="182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0" s="47" t="s">
        <v>0</v>
      </c>
      <c r="EW80" s="180" t="str">
        <f t="shared" si="147"/>
        <v xml:space="preserve">
INSERT INTO rezultat(id,stazakategorija_id,imeprezime_id,vrijeme_sec,status_id,registracija,uparivanje_id,originalstatus_id,imeprezimealias_id,klubalias_id,kategorijaalias_id) VALUES (250,28,1420,3681,1,1,1,0,Null,Null,Null);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0" s="47" t="s">
        <v>0</v>
      </c>
    </row>
    <row r="81" spans="1:154" x14ac:dyDescent="0.25">
      <c r="A81" t="s">
        <v>0</v>
      </c>
      <c r="B81" s="52" t="str">
        <f>IF(csv!F71="","",csv!T71)</f>
        <v>M21B</v>
      </c>
      <c r="C81" s="31" t="s">
        <v>0</v>
      </c>
      <c r="D81" s="31" t="str">
        <f>IF(csv!F71="","",csv!F71)</f>
        <v>Kristijan</v>
      </c>
      <c r="E81" s="31" t="str">
        <f>IF(csv!E71="","",csv!E71)</f>
        <v>Verović</v>
      </c>
      <c r="F81" s="31" t="s">
        <v>0</v>
      </c>
      <c r="G81" s="73" t="str">
        <f>IF(csv!M71="","",csv!M71)</f>
        <v>69:26</v>
      </c>
      <c r="H81" s="73" t="str">
        <f>IF(csv!N71="","",csv!N71)</f>
        <v>0</v>
      </c>
      <c r="I81" s="31" t="s">
        <v>0</v>
      </c>
      <c r="J81" s="31" t="str">
        <f>IF(csv!P71="","",csv!P71)</f>
        <v>JAP</v>
      </c>
      <c r="K81" s="31" t="str">
        <f>IF(csv!Q71="","",csv!Q71)</f>
        <v>OK Japetic</v>
      </c>
      <c r="L81" s="31" t="s">
        <v>0</v>
      </c>
      <c r="M81" s="66" t="str">
        <f>IF(csv!R71="","",csv!R71)</f>
        <v>CRO</v>
      </c>
      <c r="N81" s="47" t="s">
        <v>0</v>
      </c>
      <c r="O81" s="246" t="str">
        <f t="shared" si="148"/>
        <v>ok</v>
      </c>
      <c r="P81" s="47"/>
      <c r="Q81" s="52" t="str">
        <f t="shared" si="149"/>
        <v>M21B</v>
      </c>
      <c r="R81" s="73">
        <f>IF(Q81="","",IF(COUNTIF(Q$12:Q80,Q81)=0,R80+1,R80))</f>
        <v>6</v>
      </c>
      <c r="S81" s="73">
        <f t="shared" si="150"/>
        <v>108</v>
      </c>
      <c r="T81" s="73">
        <f t="shared" si="113"/>
        <v>19</v>
      </c>
      <c r="U81" s="66" t="str">
        <f t="shared" si="114"/>
        <v>M21B – M16</v>
      </c>
      <c r="V81" s="47" t="s">
        <v>0</v>
      </c>
      <c r="W81" s="222" t="str">
        <f t="shared" si="115"/>
        <v>M21B</v>
      </c>
      <c r="X81" s="223">
        <f t="shared" si="116"/>
        <v>28</v>
      </c>
      <c r="Y81" s="47" t="s">
        <v>0</v>
      </c>
      <c r="Z81" s="52" t="str">
        <f t="shared" si="151"/>
        <v>CRO</v>
      </c>
      <c r="AA81" s="73">
        <f t="shared" si="117"/>
        <v>1</v>
      </c>
      <c r="AB81" s="31" t="str">
        <f t="shared" si="152"/>
        <v/>
      </c>
      <c r="AC81" s="66" t="str">
        <f>IF(AB81="","",MAX(AC$12:AC80)+1)</f>
        <v/>
      </c>
      <c r="AD81" s="47" t="s">
        <v>0</v>
      </c>
      <c r="AE81" s="125"/>
      <c r="AF81" s="47" t="s">
        <v>0</v>
      </c>
      <c r="AG81" s="19" t="str">
        <f t="shared" si="153"/>
        <v/>
      </c>
      <c r="AH81" s="47" t="s">
        <v>0</v>
      </c>
      <c r="AI81" s="143" t="str">
        <f t="shared" si="154"/>
        <v>CRO</v>
      </c>
      <c r="AJ81" s="47"/>
      <c r="AK81" s="52" t="str">
        <f t="shared" si="155"/>
        <v>Kristijan</v>
      </c>
      <c r="AL81" s="31" t="str">
        <f t="shared" si="156"/>
        <v>Verović</v>
      </c>
      <c r="AM81" s="73">
        <f t="shared" si="157"/>
        <v>1566</v>
      </c>
      <c r="AN81" s="73" t="str">
        <f t="shared" si="158"/>
        <v/>
      </c>
      <c r="AO81" s="31" t="str">
        <f t="shared" si="118"/>
        <v>Kristijan</v>
      </c>
      <c r="AP81" s="66" t="str">
        <f t="shared" si="119"/>
        <v>Verović</v>
      </c>
      <c r="AQ81" s="47" t="s">
        <v>0</v>
      </c>
      <c r="AR81" s="82" t="str">
        <f t="shared" si="159"/>
        <v/>
      </c>
      <c r="AS81" s="47" t="s">
        <v>0</v>
      </c>
      <c r="AT81" s="19" t="str">
        <f t="shared" si="160"/>
        <v/>
      </c>
      <c r="AU81" s="47" t="s">
        <v>0</v>
      </c>
      <c r="AV81" s="103"/>
      <c r="AW81" s="105"/>
      <c r="AX81" s="47" t="s">
        <v>0</v>
      </c>
      <c r="AY81" s="259" t="str">
        <f t="shared" si="102"/>
        <v/>
      </c>
      <c r="AZ81" s="47" t="s">
        <v>0</v>
      </c>
      <c r="BA81" s="52" t="str">
        <f t="shared" si="120"/>
        <v/>
      </c>
      <c r="BB81" s="73" t="str">
        <f>IF(AV81&amp;AW81="","",MAX(BB$12:BB80)+1)</f>
        <v/>
      </c>
      <c r="BC81" s="272" t="str">
        <f t="shared" si="121"/>
        <v/>
      </c>
      <c r="BD81" s="53" t="str">
        <f>IF(AND(AM81="NEMA",AN81="NEMA",OR(AV81&amp;AW81="",BC81="NEMA")),MAX(BD$12:BD80)+1,"")</f>
        <v/>
      </c>
      <c r="BE81" s="47" t="s">
        <v>0</v>
      </c>
      <c r="BF81" s="52" t="str">
        <f t="shared" si="161"/>
        <v>Kristijan</v>
      </c>
      <c r="BG81" s="66" t="str">
        <f t="shared" si="162"/>
        <v>Verović</v>
      </c>
      <c r="BH81" s="47" t="s">
        <v>0</v>
      </c>
      <c r="BI81" s="52" t="str">
        <f t="shared" si="122"/>
        <v>JAP</v>
      </c>
      <c r="BJ81" s="31" t="str">
        <f t="shared" si="123"/>
        <v>OK Japetic</v>
      </c>
      <c r="BK81" s="73">
        <f t="shared" si="124"/>
        <v>1</v>
      </c>
      <c r="BL81" s="31" t="str" cm="1">
        <f t="array" ref="BL81">IF(BK81="",""&amp;BJ81,IF(BK81="NEMA",BJ81,INDEX(regKlub_naziv,MATCH(INDEX(regKlub_alias_klubId,BK81),regKlub_id,0))))</f>
        <v>OK Japetić</v>
      </c>
      <c r="BM81" s="31" t="str" cm="1">
        <f t="array" ref="BM81">IFERROR(""&amp;INDEX(regNatjecatelj_klub,DV81),"")</f>
        <v>OK Japetić</v>
      </c>
      <c r="BN81" s="73" t="str">
        <f t="shared" si="163"/>
        <v/>
      </c>
      <c r="BO81" s="66" t="str">
        <f t="shared" si="164"/>
        <v>OK Japetić</v>
      </c>
      <c r="BP81" s="47" t="s">
        <v>0</v>
      </c>
      <c r="BQ81" s="52" t="str">
        <f>IF(X81&lt;&gt;"NEMA","",IF(IFERROR(MATCH(W81,W$12:W80,0),0)&lt;&gt;0,"",W81))</f>
        <v/>
      </c>
      <c r="BR81" s="73" t="str">
        <f t="shared" si="165"/>
        <v/>
      </c>
      <c r="BS81" s="31" t="str">
        <f>IF(OR(BR81="",BR81&lt;&gt;"NEMA"),"",MAX(BS$12:BS80)+1)</f>
        <v/>
      </c>
      <c r="BT81" s="66" t="str">
        <f t="shared" si="166"/>
        <v/>
      </c>
      <c r="BU81" s="47" t="s">
        <v>0</v>
      </c>
      <c r="BV81" s="19" t="str">
        <f t="shared" si="167"/>
        <v/>
      </c>
      <c r="BW81" s="47" t="s">
        <v>0</v>
      </c>
      <c r="BX81" s="82" t="str">
        <f>IF(BK81&lt;&gt;"NEMA","",IF(IFERROR(MATCH(BJ81,BJ$12:BJ80,0),0)&lt;&gt;0,"",BJ81))</f>
        <v/>
      </c>
      <c r="BY81" s="47" t="s">
        <v>0</v>
      </c>
      <c r="BZ81" s="125"/>
      <c r="CA81" s="47" t="s">
        <v>0</v>
      </c>
      <c r="CB81" s="58" t="str">
        <f t="shared" si="168"/>
        <v/>
      </c>
      <c r="CC81" s="31" t="str">
        <f t="shared" si="169"/>
        <v/>
      </c>
      <c r="CD81" s="31" t="str">
        <f>IF(CC81="","",MAX(CD$12:CD80)+1)</f>
        <v/>
      </c>
      <c r="CE81" s="31" t="str">
        <f t="shared" si="125"/>
        <v/>
      </c>
      <c r="CF81" s="31" t="str">
        <f t="shared" si="170"/>
        <v/>
      </c>
      <c r="CG81" s="31" t="str">
        <f>IF(BZ81="","",MAX(CG$12:CG80)+1)</f>
        <v/>
      </c>
      <c r="CH81" s="31" t="str">
        <f t="shared" si="171"/>
        <v/>
      </c>
      <c r="CI81" s="66" t="str">
        <f t="shared" si="172"/>
        <v/>
      </c>
      <c r="CJ81" s="47" t="s">
        <v>0</v>
      </c>
      <c r="CK81" s="73" t="str">
        <f t="shared" si="126"/>
        <v/>
      </c>
      <c r="CL81" s="47"/>
      <c r="CM81" s="19" t="str">
        <f t="shared" si="173"/>
        <v/>
      </c>
      <c r="CN81" s="47" t="s">
        <v>0</v>
      </c>
      <c r="CO81" s="143" t="str">
        <f t="shared" si="174"/>
        <v>OK Japetić</v>
      </c>
      <c r="CP81" s="47" t="s">
        <v>0</v>
      </c>
      <c r="CQ81" s="58" t="str">
        <f t="shared" si="109"/>
        <v>69:26</v>
      </c>
      <c r="CR81" s="73" t="str">
        <f t="shared" si="110"/>
        <v>0</v>
      </c>
      <c r="CS81" s="229" t="str">
        <f t="shared" si="127"/>
        <v/>
      </c>
      <c r="CT81" s="230">
        <f t="shared" si="112"/>
        <v>4166</v>
      </c>
      <c r="CU81" s="163">
        <f t="shared" si="128"/>
        <v>1</v>
      </c>
      <c r="CV81" s="47" t="s">
        <v>0</v>
      </c>
      <c r="CW81" s="222" t="str">
        <f t="shared" si="175"/>
        <v xml:space="preserve">
</v>
      </c>
      <c r="CX81" s="223">
        <f t="shared" si="176"/>
        <v>6</v>
      </c>
      <c r="CY81" s="47" t="s">
        <v>0</v>
      </c>
      <c r="CZ81" s="47"/>
      <c r="DA81" s="47"/>
      <c r="DB81" s="47"/>
      <c r="DC81" s="47" t="s">
        <v>0</v>
      </c>
      <c r="DD81" s="53" t="str">
        <f t="shared" si="103"/>
        <v/>
      </c>
      <c r="DE81" t="s">
        <v>0</v>
      </c>
      <c r="DF81" s="128" t="str">
        <f t="shared" si="104"/>
        <v>M</v>
      </c>
      <c r="DG81" t="s">
        <v>0</v>
      </c>
      <c r="DH81" s="52" t="str">
        <f t="shared" si="105"/>
        <v/>
      </c>
      <c r="DI81" s="66" t="str">
        <f t="shared" si="106"/>
        <v/>
      </c>
      <c r="DJ81" t="s">
        <v>0</v>
      </c>
      <c r="DK81" s="19" t="str">
        <f t="shared" si="107"/>
        <v/>
      </c>
      <c r="DL81" s="47" t="s">
        <v>0</v>
      </c>
      <c r="DM81" s="19" t="str">
        <f t="shared" si="108"/>
        <v/>
      </c>
      <c r="DN81" s="47" t="s">
        <v>0</v>
      </c>
      <c r="DO81" s="52" t="str">
        <f t="shared" si="129"/>
        <v>Kristijan – Verović – OK Japetić – M21B</v>
      </c>
      <c r="DP81" s="53">
        <f t="shared" si="130"/>
        <v>144</v>
      </c>
      <c r="DQ81" s="47" t="s">
        <v>0</v>
      </c>
      <c r="DR81" s="52" t="str">
        <f t="shared" si="131"/>
        <v>Kristijan – Verović – OK Japetić</v>
      </c>
      <c r="DS81" s="53">
        <f t="shared" si="132"/>
        <v>144</v>
      </c>
      <c r="DT81" s="47" t="s">
        <v>0</v>
      </c>
      <c r="DU81" s="52" t="str">
        <f t="shared" si="133"/>
        <v>Kristijan – Verović</v>
      </c>
      <c r="DV81" s="53">
        <f t="shared" si="134"/>
        <v>144</v>
      </c>
      <c r="DW81" s="47" t="s">
        <v>0</v>
      </c>
      <c r="DX81" s="58">
        <f t="shared" si="177"/>
        <v>144</v>
      </c>
      <c r="DY81" s="53" cm="1">
        <f t="array" ref="DY81">IF(DX81&lt;&gt;"",INDEX(regNatjecatelj_id,DX81,0),IF(BD81&lt;&gt;"",BD81,""))</f>
        <v>1566</v>
      </c>
      <c r="DZ81" s="47" t="s">
        <v>0</v>
      </c>
      <c r="EA81" s="58" t="str">
        <f t="shared" si="135"/>
        <v>imepre</v>
      </c>
      <c r="EB81" s="73" t="str">
        <f t="shared" si="136"/>
        <v>klu(ali)</v>
      </c>
      <c r="EC81" s="73" t="str">
        <f t="shared" si="137"/>
        <v>kat</v>
      </c>
      <c r="ED81" s="73" t="str">
        <f t="shared" si="138"/>
        <v/>
      </c>
      <c r="EE81" s="66" t="str">
        <f t="shared" si="139"/>
        <v>imepre-klu(ali)-kat</v>
      </c>
      <c r="EF81" s="47" t="s">
        <v>0</v>
      </c>
      <c r="EG81" s="58">
        <f>IF(AL81="","",MAX(EG$12:EG80)+1)</f>
        <v>251</v>
      </c>
      <c r="EH81" s="73">
        <f t="shared" si="140"/>
        <v>28</v>
      </c>
      <c r="EI81" s="73">
        <f t="shared" si="178"/>
        <v>1566</v>
      </c>
      <c r="EJ81" s="73">
        <f t="shared" si="141"/>
        <v>4166</v>
      </c>
      <c r="EK81" s="73">
        <f t="shared" si="142"/>
        <v>1</v>
      </c>
      <c r="EL81" s="73">
        <f t="shared" si="179"/>
        <v>1</v>
      </c>
      <c r="EM81" s="73">
        <f t="shared" si="180"/>
        <v>3</v>
      </c>
      <c r="EN81" s="73" t="str">
        <f t="shared" si="143"/>
        <v>0</v>
      </c>
      <c r="EO81" s="73" t="str">
        <f t="shared" si="144"/>
        <v/>
      </c>
      <c r="EP81" s="73">
        <f t="shared" si="145"/>
        <v>1</v>
      </c>
      <c r="EQ81" s="53" t="str">
        <f t="shared" si="146"/>
        <v/>
      </c>
      <c r="ER81" s="47" t="s">
        <v>0</v>
      </c>
      <c r="ES81" s="19" t="str">
        <f t="shared" si="181"/>
        <v>INSERT INTO rezultat(id,stazakategorija_id,imeprezime_id,vrijeme_sec,status_id,registracija,uparivanje_id,originalstatus_id,imeprezimealias_id,klubalias_id,kategorijaalias_id) VALUES (251,28,1566,4166,1,1,3,0,Null,1,Null);</v>
      </c>
      <c r="ET81" s="47" t="s">
        <v>0</v>
      </c>
      <c r="EU81" s="19" t="str">
        <f t="shared" si="182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1" s="47" t="s">
        <v>0</v>
      </c>
      <c r="EW81" s="180" t="str">
        <f t="shared" si="147"/>
        <v xml:space="preserve">
INSERT INTO rezultat(id,stazakategorija_id,imeprezime_id,vrijeme_sec,status_id,registracija,uparivanje_id,originalstatus_id,imeprezimealias_id,klubalias_id,kategorijaalias_id) VALUES (251,28,1566,4166,1,1,3,0,Null,1,Null);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1" s="47" t="s">
        <v>0</v>
      </c>
    </row>
    <row r="82" spans="1:154" x14ac:dyDescent="0.25">
      <c r="A82" t="s">
        <v>0</v>
      </c>
      <c r="B82" s="52" t="str">
        <f>IF(csv!F72="","",csv!T72)</f>
        <v>M21B</v>
      </c>
      <c r="C82" s="31" t="s">
        <v>0</v>
      </c>
      <c r="D82" s="31" t="str">
        <f>IF(csv!F72="","",csv!F72)</f>
        <v>Tomislav</v>
      </c>
      <c r="E82" s="31" t="str">
        <f>IF(csv!E72="","",csv!E72)</f>
        <v>Burgund</v>
      </c>
      <c r="F82" s="31" t="s">
        <v>0</v>
      </c>
      <c r="G82" s="73" t="str">
        <f>IF(csv!M72="","",csv!M72)</f>
        <v>71:34</v>
      </c>
      <c r="H82" s="73" t="str">
        <f>IF(csv!N72="","",csv!N72)</f>
        <v>0</v>
      </c>
      <c r="I82" s="31" t="s">
        <v>0</v>
      </c>
      <c r="J82" s="31" t="str">
        <f>IF(csv!P72="","",csv!P72)</f>
        <v>Vihor</v>
      </c>
      <c r="K82" s="31" t="str">
        <f>IF(csv!Q72="","",csv!Q72)</f>
        <v>OK Vihor</v>
      </c>
      <c r="L82" s="31" t="s">
        <v>0</v>
      </c>
      <c r="M82" s="66" t="str">
        <f>IF(csv!R72="","",csv!R72)</f>
        <v>CRO</v>
      </c>
      <c r="N82" s="47" t="s">
        <v>0</v>
      </c>
      <c r="O82" s="246" t="str">
        <f t="shared" si="148"/>
        <v>ok</v>
      </c>
      <c r="P82" s="47"/>
      <c r="Q82" s="52" t="str">
        <f t="shared" si="149"/>
        <v>M21B</v>
      </c>
      <c r="R82" s="73">
        <f>IF(Q82="","",IF(COUNTIF(Q$12:Q81,Q82)=0,R81+1,R81))</f>
        <v>6</v>
      </c>
      <c r="S82" s="73">
        <f t="shared" si="150"/>
        <v>108</v>
      </c>
      <c r="T82" s="73">
        <f t="shared" si="113"/>
        <v>19</v>
      </c>
      <c r="U82" s="66" t="str">
        <f t="shared" si="114"/>
        <v>M21B – M16</v>
      </c>
      <c r="V82" s="47" t="s">
        <v>0</v>
      </c>
      <c r="W82" s="222" t="str">
        <f t="shared" si="115"/>
        <v>M21B</v>
      </c>
      <c r="X82" s="223">
        <f t="shared" si="116"/>
        <v>28</v>
      </c>
      <c r="Y82" s="47" t="s">
        <v>0</v>
      </c>
      <c r="Z82" s="52" t="str">
        <f t="shared" si="151"/>
        <v>CRO</v>
      </c>
      <c r="AA82" s="73">
        <f t="shared" si="117"/>
        <v>1</v>
      </c>
      <c r="AB82" s="31" t="str">
        <f t="shared" si="152"/>
        <v/>
      </c>
      <c r="AC82" s="66" t="str">
        <f>IF(AB82="","",MAX(AC$12:AC81)+1)</f>
        <v/>
      </c>
      <c r="AD82" s="47" t="s">
        <v>0</v>
      </c>
      <c r="AE82" s="125"/>
      <c r="AF82" s="47" t="s">
        <v>0</v>
      </c>
      <c r="AG82" s="19" t="str">
        <f t="shared" si="153"/>
        <v/>
      </c>
      <c r="AH82" s="47" t="s">
        <v>0</v>
      </c>
      <c r="AI82" s="143" t="str">
        <f t="shared" si="154"/>
        <v>CRO</v>
      </c>
      <c r="AJ82" s="47"/>
      <c r="AK82" s="52" t="str">
        <f t="shared" si="155"/>
        <v>Tomislav</v>
      </c>
      <c r="AL82" s="31" t="str">
        <f t="shared" si="156"/>
        <v>Burgund</v>
      </c>
      <c r="AM82" s="73">
        <f t="shared" si="157"/>
        <v>1884</v>
      </c>
      <c r="AN82" s="73" t="str">
        <f t="shared" si="158"/>
        <v/>
      </c>
      <c r="AO82" s="31" t="str">
        <f t="shared" si="118"/>
        <v>Tomislav</v>
      </c>
      <c r="AP82" s="66" t="str">
        <f t="shared" si="119"/>
        <v>Burgund</v>
      </c>
      <c r="AQ82" s="47" t="s">
        <v>0</v>
      </c>
      <c r="AR82" s="82" t="str">
        <f t="shared" si="159"/>
        <v/>
      </c>
      <c r="AS82" s="47" t="s">
        <v>0</v>
      </c>
      <c r="AT82" s="19" t="str">
        <f t="shared" si="160"/>
        <v/>
      </c>
      <c r="AU82" s="47" t="s">
        <v>0</v>
      </c>
      <c r="AV82" s="103"/>
      <c r="AW82" s="105"/>
      <c r="AX82" s="47" t="s">
        <v>0</v>
      </c>
      <c r="AY82" s="259" t="str">
        <f t="shared" si="102"/>
        <v/>
      </c>
      <c r="AZ82" s="47" t="s">
        <v>0</v>
      </c>
      <c r="BA82" s="52" t="str">
        <f t="shared" si="120"/>
        <v/>
      </c>
      <c r="BB82" s="73" t="str">
        <f>IF(AV82&amp;AW82="","",MAX(BB$12:BB81)+1)</f>
        <v/>
      </c>
      <c r="BC82" s="272" t="str">
        <f t="shared" si="121"/>
        <v/>
      </c>
      <c r="BD82" s="53" t="str">
        <f>IF(AND(AM82="NEMA",AN82="NEMA",OR(AV82&amp;AW82="",BC82="NEMA")),MAX(BD$12:BD81)+1,"")</f>
        <v/>
      </c>
      <c r="BE82" s="47" t="s">
        <v>0</v>
      </c>
      <c r="BF82" s="52" t="str">
        <f t="shared" si="161"/>
        <v>Tomislav</v>
      </c>
      <c r="BG82" s="66" t="str">
        <f t="shared" si="162"/>
        <v>Burgund</v>
      </c>
      <c r="BH82" s="47" t="s">
        <v>0</v>
      </c>
      <c r="BI82" s="52" t="str">
        <f t="shared" si="122"/>
        <v>Vihor</v>
      </c>
      <c r="BJ82" s="31" t="str">
        <f t="shared" si="123"/>
        <v>OK Vihor</v>
      </c>
      <c r="BK82" s="73" t="str">
        <f t="shared" si="124"/>
        <v/>
      </c>
      <c r="BL82" s="31" t="str" cm="1">
        <f t="array" ref="BL82">IF(BK82="",""&amp;BJ82,IF(BK82="NEMA",BJ82,INDEX(regKlub_naziv,MATCH(INDEX(regKlub_alias_klubId,BK82),regKlub_id,0))))</f>
        <v>OK Vihor</v>
      </c>
      <c r="BM82" s="31" t="str" cm="1">
        <f t="array" ref="BM82">IFERROR(""&amp;INDEX(regNatjecatelj_klub,DV82),"")</f>
        <v>OK Vihor</v>
      </c>
      <c r="BN82" s="73" t="str">
        <f t="shared" si="163"/>
        <v/>
      </c>
      <c r="BO82" s="66" t="str">
        <f t="shared" si="164"/>
        <v>OK Vihor</v>
      </c>
      <c r="BP82" s="47" t="s">
        <v>0</v>
      </c>
      <c r="BQ82" s="52" t="str">
        <f>IF(X82&lt;&gt;"NEMA","",IF(IFERROR(MATCH(W82,W$12:W81,0),0)&lt;&gt;0,"",W82))</f>
        <v/>
      </c>
      <c r="BR82" s="73" t="str">
        <f t="shared" si="165"/>
        <v/>
      </c>
      <c r="BS82" s="31" t="str">
        <f>IF(OR(BR82="",BR82&lt;&gt;"NEMA"),"",MAX(BS$12:BS81)+1)</f>
        <v/>
      </c>
      <c r="BT82" s="66" t="str">
        <f t="shared" si="166"/>
        <v/>
      </c>
      <c r="BU82" s="47" t="s">
        <v>0</v>
      </c>
      <c r="BV82" s="19" t="str">
        <f t="shared" si="167"/>
        <v/>
      </c>
      <c r="BW82" s="47" t="s">
        <v>0</v>
      </c>
      <c r="BX82" s="82" t="str">
        <f>IF(BK82&lt;&gt;"NEMA","",IF(IFERROR(MATCH(BJ82,BJ$12:BJ81,0),0)&lt;&gt;0,"",BJ82))</f>
        <v/>
      </c>
      <c r="BY82" s="47" t="s">
        <v>0</v>
      </c>
      <c r="BZ82" s="125"/>
      <c r="CA82" s="47" t="s">
        <v>0</v>
      </c>
      <c r="CB82" s="58" t="str">
        <f t="shared" si="168"/>
        <v/>
      </c>
      <c r="CC82" s="31" t="str">
        <f t="shared" si="169"/>
        <v/>
      </c>
      <c r="CD82" s="31" t="str">
        <f>IF(CC82="","",MAX(CD$12:CD81)+1)</f>
        <v/>
      </c>
      <c r="CE82" s="31" t="str">
        <f t="shared" si="125"/>
        <v/>
      </c>
      <c r="CF82" s="31" t="str">
        <f t="shared" si="170"/>
        <v/>
      </c>
      <c r="CG82" s="31" t="str">
        <f>IF(BZ82="","",MAX(CG$12:CG81)+1)</f>
        <v/>
      </c>
      <c r="CH82" s="31" t="str">
        <f t="shared" si="171"/>
        <v/>
      </c>
      <c r="CI82" s="66" t="str">
        <f t="shared" si="172"/>
        <v/>
      </c>
      <c r="CJ82" s="47" t="s">
        <v>0</v>
      </c>
      <c r="CK82" s="73" t="str">
        <f t="shared" si="126"/>
        <v/>
      </c>
      <c r="CL82" s="47"/>
      <c r="CM82" s="19" t="str">
        <f t="shared" si="173"/>
        <v/>
      </c>
      <c r="CN82" s="47" t="s">
        <v>0</v>
      </c>
      <c r="CO82" s="143" t="str">
        <f t="shared" si="174"/>
        <v>OK Vihor</v>
      </c>
      <c r="CP82" s="47" t="s">
        <v>0</v>
      </c>
      <c r="CQ82" s="58" t="str">
        <f t="shared" si="109"/>
        <v>71:34</v>
      </c>
      <c r="CR82" s="73" t="str">
        <f t="shared" si="110"/>
        <v>0</v>
      </c>
      <c r="CS82" s="229" t="str">
        <f t="shared" si="127"/>
        <v/>
      </c>
      <c r="CT82" s="230">
        <f t="shared" si="112"/>
        <v>4294</v>
      </c>
      <c r="CU82" s="163">
        <f t="shared" si="128"/>
        <v>1</v>
      </c>
      <c r="CV82" s="47" t="s">
        <v>0</v>
      </c>
      <c r="CW82" s="222" t="str">
        <f t="shared" si="175"/>
        <v xml:space="preserve">
</v>
      </c>
      <c r="CX82" s="223">
        <f t="shared" si="176"/>
        <v>6</v>
      </c>
      <c r="CY82" s="47" t="s">
        <v>0</v>
      </c>
      <c r="CZ82" s="47"/>
      <c r="DA82" s="47"/>
      <c r="DB82" s="47"/>
      <c r="DC82" s="47" t="s">
        <v>0</v>
      </c>
      <c r="DD82" s="53" t="str">
        <f t="shared" si="103"/>
        <v/>
      </c>
      <c r="DE82" t="s">
        <v>0</v>
      </c>
      <c r="DF82" s="128" t="str">
        <f t="shared" si="104"/>
        <v>M</v>
      </c>
      <c r="DG82" t="s">
        <v>0</v>
      </c>
      <c r="DH82" s="52" t="str">
        <f t="shared" si="105"/>
        <v/>
      </c>
      <c r="DI82" s="66" t="str">
        <f t="shared" si="106"/>
        <v/>
      </c>
      <c r="DJ82" t="s">
        <v>0</v>
      </c>
      <c r="DK82" s="19" t="str">
        <f t="shared" si="107"/>
        <v/>
      </c>
      <c r="DL82" s="47" t="s">
        <v>0</v>
      </c>
      <c r="DM82" s="19" t="str">
        <f t="shared" si="108"/>
        <v/>
      </c>
      <c r="DN82" s="47" t="s">
        <v>0</v>
      </c>
      <c r="DO82" s="52" t="str">
        <f t="shared" si="129"/>
        <v>Tomislav – Burgund – OK Vihor – M21B</v>
      </c>
      <c r="DP82" s="53">
        <f t="shared" si="130"/>
        <v>636</v>
      </c>
      <c r="DQ82" s="47" t="s">
        <v>0</v>
      </c>
      <c r="DR82" s="52" t="str">
        <f t="shared" si="131"/>
        <v>Tomislav – Burgund – OK Vihor</v>
      </c>
      <c r="DS82" s="53">
        <f t="shared" si="132"/>
        <v>636</v>
      </c>
      <c r="DT82" s="47" t="s">
        <v>0</v>
      </c>
      <c r="DU82" s="52" t="str">
        <f t="shared" si="133"/>
        <v>Tomislav – Burgund</v>
      </c>
      <c r="DV82" s="53">
        <f t="shared" si="134"/>
        <v>636</v>
      </c>
      <c r="DW82" s="47" t="s">
        <v>0</v>
      </c>
      <c r="DX82" s="58">
        <f t="shared" si="177"/>
        <v>636</v>
      </c>
      <c r="DY82" s="53" cm="1">
        <f t="array" ref="DY82">IF(DX82&lt;&gt;"",INDEX(regNatjecatelj_id,DX82,0),IF(BD82&lt;&gt;"",BD82,""))</f>
        <v>1884</v>
      </c>
      <c r="DZ82" s="47" t="s">
        <v>0</v>
      </c>
      <c r="EA82" s="58" t="str">
        <f t="shared" si="135"/>
        <v>imepre</v>
      </c>
      <c r="EB82" s="73" t="str">
        <f t="shared" si="136"/>
        <v>klu</v>
      </c>
      <c r="EC82" s="73" t="str">
        <f t="shared" si="137"/>
        <v>kat</v>
      </c>
      <c r="ED82" s="73" t="str">
        <f t="shared" si="138"/>
        <v/>
      </c>
      <c r="EE82" s="66" t="str">
        <f t="shared" si="139"/>
        <v>imepre-klu-kat</v>
      </c>
      <c r="EF82" s="47" t="s">
        <v>0</v>
      </c>
      <c r="EG82" s="58">
        <f>IF(AL82="","",MAX(EG$12:EG81)+1)</f>
        <v>252</v>
      </c>
      <c r="EH82" s="73">
        <f t="shared" si="140"/>
        <v>28</v>
      </c>
      <c r="EI82" s="73">
        <f t="shared" si="178"/>
        <v>1884</v>
      </c>
      <c r="EJ82" s="73">
        <f t="shared" si="141"/>
        <v>4294</v>
      </c>
      <c r="EK82" s="73">
        <f t="shared" si="142"/>
        <v>1</v>
      </c>
      <c r="EL82" s="73">
        <f t="shared" si="179"/>
        <v>1</v>
      </c>
      <c r="EM82" s="73">
        <f t="shared" si="180"/>
        <v>1</v>
      </c>
      <c r="EN82" s="73" t="str">
        <f t="shared" si="143"/>
        <v>0</v>
      </c>
      <c r="EO82" s="73" t="str">
        <f t="shared" si="144"/>
        <v/>
      </c>
      <c r="EP82" s="73" t="str">
        <f t="shared" si="145"/>
        <v/>
      </c>
      <c r="EQ82" s="53" t="str">
        <f t="shared" si="146"/>
        <v/>
      </c>
      <c r="ER82" s="47" t="s">
        <v>0</v>
      </c>
      <c r="ES82" s="19" t="str">
        <f t="shared" si="181"/>
        <v>INSERT INTO rezultat(id,stazakategorija_id,imeprezime_id,vrijeme_sec,status_id,registracija,uparivanje_id,originalstatus_id,imeprezimealias_id,klubalias_id,kategorijaalias_id) VALUES (252,28,1884,4294,1,1,1,0,Null,Null,Null);</v>
      </c>
      <c r="ET82" s="47" t="s">
        <v>0</v>
      </c>
      <c r="EU82" s="19" t="str">
        <f t="shared" si="182"/>
        <v>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2" s="47" t="s">
        <v>0</v>
      </c>
      <c r="EW82" s="180" t="str">
        <f t="shared" si="147"/>
        <v xml:space="preserve">
INSERT INTO rezultat(id,stazakategorija_id,imeprezime_id,vrijeme_sec,status_id,registracija,uparivanje_id,originalstatus_id,imeprezimealias_id,klubalias_id,kategorijaalias_id) VALUES (252,28,1884,4294,1,1,1,0,Null,Null,Null);
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2" s="47" t="s">
        <v>0</v>
      </c>
    </row>
    <row r="83" spans="1:154" x14ac:dyDescent="0.25">
      <c r="A83" t="s">
        <v>0</v>
      </c>
      <c r="B83" s="52" t="str">
        <f>IF(csv!F73="","",csv!T73)</f>
        <v>M21B</v>
      </c>
      <c r="C83" s="31" t="s">
        <v>0</v>
      </c>
      <c r="D83" s="31" t="str">
        <f>IF(csv!F73="","",csv!F73)</f>
        <v>Siniša</v>
      </c>
      <c r="E83" s="31" t="str">
        <f>IF(csv!E73="","",csv!E73)</f>
        <v>Lah</v>
      </c>
      <c r="F83" s="31" t="s">
        <v>0</v>
      </c>
      <c r="G83" s="73" t="str">
        <f>IF(csv!M73="","",csv!M73)</f>
        <v>75:28</v>
      </c>
      <c r="H83" s="73" t="str">
        <f>IF(csv!N73="","",csv!N73)</f>
        <v>0</v>
      </c>
      <c r="I83" s="31" t="s">
        <v>0</v>
      </c>
      <c r="J83" s="31" t="str">
        <f>IF(csv!P73="","",csv!P73)</f>
        <v>OK Varaždin</v>
      </c>
      <c r="K83" s="31" t="str">
        <f>IF(csv!Q73="","",csv!Q73)</f>
        <v>OK Varaždin</v>
      </c>
      <c r="L83" s="31" t="s">
        <v>0</v>
      </c>
      <c r="M83" s="66" t="str">
        <f>IF(csv!R73="","",csv!R73)</f>
        <v>CRO</v>
      </c>
      <c r="N83" s="47" t="s">
        <v>0</v>
      </c>
      <c r="O83" s="246" t="str">
        <f t="shared" si="148"/>
        <v>ok</v>
      </c>
      <c r="P83" s="47"/>
      <c r="Q83" s="52" t="str">
        <f t="shared" si="149"/>
        <v>M21B</v>
      </c>
      <c r="R83" s="73">
        <f>IF(Q83="","",IF(COUNTIF(Q$12:Q82,Q83)=0,R82+1,R82))</f>
        <v>6</v>
      </c>
      <c r="S83" s="73">
        <f t="shared" si="150"/>
        <v>108</v>
      </c>
      <c r="T83" s="73">
        <f t="shared" si="113"/>
        <v>19</v>
      </c>
      <c r="U83" s="66" t="str">
        <f t="shared" si="114"/>
        <v>M21B – M16</v>
      </c>
      <c r="V83" s="47" t="s">
        <v>0</v>
      </c>
      <c r="W83" s="222" t="str">
        <f t="shared" si="115"/>
        <v>M21B</v>
      </c>
      <c r="X83" s="223">
        <f t="shared" si="116"/>
        <v>28</v>
      </c>
      <c r="Y83" s="47" t="s">
        <v>0</v>
      </c>
      <c r="Z83" s="52" t="str">
        <f t="shared" si="151"/>
        <v>CRO</v>
      </c>
      <c r="AA83" s="73">
        <f t="shared" si="117"/>
        <v>1</v>
      </c>
      <c r="AB83" s="31" t="str">
        <f t="shared" si="152"/>
        <v/>
      </c>
      <c r="AC83" s="66" t="str">
        <f>IF(AB83="","",MAX(AC$12:AC82)+1)</f>
        <v/>
      </c>
      <c r="AD83" s="47" t="s">
        <v>0</v>
      </c>
      <c r="AE83" s="125"/>
      <c r="AF83" s="47" t="s">
        <v>0</v>
      </c>
      <c r="AG83" s="19" t="str">
        <f t="shared" si="153"/>
        <v/>
      </c>
      <c r="AH83" s="47" t="s">
        <v>0</v>
      </c>
      <c r="AI83" s="143" t="str">
        <f t="shared" si="154"/>
        <v>CRO</v>
      </c>
      <c r="AJ83" s="47"/>
      <c r="AK83" s="52" t="str">
        <f t="shared" si="155"/>
        <v>Siniša</v>
      </c>
      <c r="AL83" s="31" t="str">
        <f t="shared" si="156"/>
        <v>Lah</v>
      </c>
      <c r="AM83" s="73">
        <f t="shared" si="157"/>
        <v>1310</v>
      </c>
      <c r="AN83" s="73" t="str">
        <f t="shared" si="158"/>
        <v/>
      </c>
      <c r="AO83" s="31" t="str">
        <f t="shared" si="118"/>
        <v>Siniša</v>
      </c>
      <c r="AP83" s="66" t="str">
        <f t="shared" si="119"/>
        <v>Lah</v>
      </c>
      <c r="AQ83" s="47" t="s">
        <v>0</v>
      </c>
      <c r="AR83" s="82" t="str">
        <f t="shared" si="159"/>
        <v/>
      </c>
      <c r="AS83" s="47" t="s">
        <v>0</v>
      </c>
      <c r="AT83" s="19" t="str">
        <f t="shared" si="160"/>
        <v/>
      </c>
      <c r="AU83" s="47" t="s">
        <v>0</v>
      </c>
      <c r="AV83" s="103"/>
      <c r="AW83" s="105"/>
      <c r="AX83" s="47" t="s">
        <v>0</v>
      </c>
      <c r="AY83" s="259" t="str">
        <f t="shared" si="102"/>
        <v/>
      </c>
      <c r="AZ83" s="47" t="s">
        <v>0</v>
      </c>
      <c r="BA83" s="52" t="str">
        <f t="shared" si="120"/>
        <v/>
      </c>
      <c r="BB83" s="73" t="str">
        <f>IF(AV83&amp;AW83="","",MAX(BB$12:BB82)+1)</f>
        <v/>
      </c>
      <c r="BC83" s="272" t="str">
        <f t="shared" si="121"/>
        <v/>
      </c>
      <c r="BD83" s="53" t="str">
        <f>IF(AND(AM83="NEMA",AN83="NEMA",OR(AV83&amp;AW83="",BC83="NEMA")),MAX(BD$12:BD82)+1,"")</f>
        <v/>
      </c>
      <c r="BE83" s="47" t="s">
        <v>0</v>
      </c>
      <c r="BF83" s="52" t="str">
        <f t="shared" si="161"/>
        <v>Siniša</v>
      </c>
      <c r="BG83" s="66" t="str">
        <f t="shared" si="162"/>
        <v>Lah</v>
      </c>
      <c r="BH83" s="47" t="s">
        <v>0</v>
      </c>
      <c r="BI83" s="52" t="str">
        <f t="shared" si="122"/>
        <v>OK Varaždin</v>
      </c>
      <c r="BJ83" s="31" t="str">
        <f t="shared" si="123"/>
        <v>OK Varaždin</v>
      </c>
      <c r="BK83" s="73" t="str">
        <f t="shared" si="124"/>
        <v/>
      </c>
      <c r="BL83" s="31" t="str" cm="1">
        <f t="array" ref="BL83">IF(BK83="",""&amp;BJ83,IF(BK83="NEMA",BJ83,INDEX(regKlub_naziv,MATCH(INDEX(regKlub_alias_klubId,BK83),regKlub_id,0))))</f>
        <v>OK Varaždin</v>
      </c>
      <c r="BM83" s="31" t="str" cm="1">
        <f t="array" ref="BM83">IFERROR(""&amp;INDEX(regNatjecatelj_klub,DV83),"")</f>
        <v>OK Varaždin</v>
      </c>
      <c r="BN83" s="73" t="str">
        <f t="shared" si="163"/>
        <v/>
      </c>
      <c r="BO83" s="66" t="str">
        <f t="shared" si="164"/>
        <v>OK Varaždin</v>
      </c>
      <c r="BP83" s="47" t="s">
        <v>0</v>
      </c>
      <c r="BQ83" s="52" t="str">
        <f>IF(X83&lt;&gt;"NEMA","",IF(IFERROR(MATCH(W83,W$12:W82,0),0)&lt;&gt;0,"",W83))</f>
        <v/>
      </c>
      <c r="BR83" s="73" t="str">
        <f t="shared" si="165"/>
        <v/>
      </c>
      <c r="BS83" s="31" t="str">
        <f>IF(OR(BR83="",BR83&lt;&gt;"NEMA"),"",MAX(BS$12:BS82)+1)</f>
        <v/>
      </c>
      <c r="BT83" s="66" t="str">
        <f t="shared" si="166"/>
        <v/>
      </c>
      <c r="BU83" s="47" t="s">
        <v>0</v>
      </c>
      <c r="BV83" s="19" t="str">
        <f t="shared" si="167"/>
        <v/>
      </c>
      <c r="BW83" s="47" t="s">
        <v>0</v>
      </c>
      <c r="BX83" s="82" t="str">
        <f>IF(BK83&lt;&gt;"NEMA","",IF(IFERROR(MATCH(BJ83,BJ$12:BJ82,0),0)&lt;&gt;0,"",BJ83))</f>
        <v/>
      </c>
      <c r="BY83" s="47" t="s">
        <v>0</v>
      </c>
      <c r="BZ83" s="125"/>
      <c r="CA83" s="47" t="s">
        <v>0</v>
      </c>
      <c r="CB83" s="58" t="str">
        <f t="shared" si="168"/>
        <v/>
      </c>
      <c r="CC83" s="31" t="str">
        <f t="shared" si="169"/>
        <v/>
      </c>
      <c r="CD83" s="31" t="str">
        <f>IF(CC83="","",MAX(CD$12:CD82)+1)</f>
        <v/>
      </c>
      <c r="CE83" s="31" t="str">
        <f t="shared" si="125"/>
        <v/>
      </c>
      <c r="CF83" s="31" t="str">
        <f t="shared" si="170"/>
        <v/>
      </c>
      <c r="CG83" s="31" t="str">
        <f>IF(BZ83="","",MAX(CG$12:CG82)+1)</f>
        <v/>
      </c>
      <c r="CH83" s="31" t="str">
        <f t="shared" si="171"/>
        <v/>
      </c>
      <c r="CI83" s="66" t="str">
        <f t="shared" si="172"/>
        <v/>
      </c>
      <c r="CJ83" s="47" t="s">
        <v>0</v>
      </c>
      <c r="CK83" s="73" t="str">
        <f t="shared" si="126"/>
        <v/>
      </c>
      <c r="CL83" s="47"/>
      <c r="CM83" s="19" t="str">
        <f t="shared" si="173"/>
        <v/>
      </c>
      <c r="CN83" s="47" t="s">
        <v>0</v>
      </c>
      <c r="CO83" s="143" t="str">
        <f t="shared" si="174"/>
        <v>OK Varaždin</v>
      </c>
      <c r="CP83" s="47" t="s">
        <v>0</v>
      </c>
      <c r="CQ83" s="58" t="str">
        <f t="shared" si="109"/>
        <v>75:28</v>
      </c>
      <c r="CR83" s="73" t="str">
        <f t="shared" si="110"/>
        <v>0</v>
      </c>
      <c r="CS83" s="229" t="str">
        <f t="shared" si="127"/>
        <v/>
      </c>
      <c r="CT83" s="230">
        <f t="shared" si="112"/>
        <v>4528</v>
      </c>
      <c r="CU83" s="163">
        <f t="shared" si="128"/>
        <v>1</v>
      </c>
      <c r="CV83" s="47" t="s">
        <v>0</v>
      </c>
      <c r="CW83" s="222" t="str">
        <f t="shared" si="175"/>
        <v xml:space="preserve">
</v>
      </c>
      <c r="CX83" s="223">
        <f t="shared" si="176"/>
        <v>6</v>
      </c>
      <c r="CY83" s="47" t="s">
        <v>0</v>
      </c>
      <c r="CZ83" s="47"/>
      <c r="DA83" s="47"/>
      <c r="DB83" s="47"/>
      <c r="DC83" s="47" t="s">
        <v>0</v>
      </c>
      <c r="DD83" s="53" t="str">
        <f t="shared" si="103"/>
        <v/>
      </c>
      <c r="DE83" t="s">
        <v>0</v>
      </c>
      <c r="DF83" s="128" t="str">
        <f t="shared" si="104"/>
        <v>M</v>
      </c>
      <c r="DG83" t="s">
        <v>0</v>
      </c>
      <c r="DH83" s="52" t="str">
        <f t="shared" si="105"/>
        <v/>
      </c>
      <c r="DI83" s="66" t="str">
        <f t="shared" si="106"/>
        <v/>
      </c>
      <c r="DJ83" t="s">
        <v>0</v>
      </c>
      <c r="DK83" s="19" t="str">
        <f t="shared" si="107"/>
        <v/>
      </c>
      <c r="DL83" s="47" t="s">
        <v>0</v>
      </c>
      <c r="DM83" s="19" t="str">
        <f t="shared" si="108"/>
        <v/>
      </c>
      <c r="DN83" s="47" t="s">
        <v>0</v>
      </c>
      <c r="DO83" s="52" t="str">
        <f t="shared" si="129"/>
        <v>Siniša – Lah – OK Varaždin – M21B</v>
      </c>
      <c r="DP83" s="53">
        <f t="shared" si="130"/>
        <v>552</v>
      </c>
      <c r="DQ83" s="47" t="s">
        <v>0</v>
      </c>
      <c r="DR83" s="52" t="str">
        <f t="shared" si="131"/>
        <v>Siniša – Lah – OK Varaždin</v>
      </c>
      <c r="DS83" s="53">
        <f t="shared" si="132"/>
        <v>552</v>
      </c>
      <c r="DT83" s="47" t="s">
        <v>0</v>
      </c>
      <c r="DU83" s="52" t="str">
        <f t="shared" si="133"/>
        <v>Siniša – Lah</v>
      </c>
      <c r="DV83" s="53">
        <f t="shared" si="134"/>
        <v>552</v>
      </c>
      <c r="DW83" s="47" t="s">
        <v>0</v>
      </c>
      <c r="DX83" s="58">
        <f t="shared" si="177"/>
        <v>552</v>
      </c>
      <c r="DY83" s="53" cm="1">
        <f t="array" ref="DY83">IF(DX83&lt;&gt;"",INDEX(regNatjecatelj_id,DX83,0),IF(BD83&lt;&gt;"",BD83,""))</f>
        <v>1310</v>
      </c>
      <c r="DZ83" s="47" t="s">
        <v>0</v>
      </c>
      <c r="EA83" s="58" t="str">
        <f t="shared" si="135"/>
        <v>imepre</v>
      </c>
      <c r="EB83" s="73" t="str">
        <f t="shared" si="136"/>
        <v>klu</v>
      </c>
      <c r="EC83" s="73" t="str">
        <f t="shared" si="137"/>
        <v>kat</v>
      </c>
      <c r="ED83" s="73" t="str">
        <f t="shared" si="138"/>
        <v/>
      </c>
      <c r="EE83" s="66" t="str">
        <f t="shared" si="139"/>
        <v>imepre-klu-kat</v>
      </c>
      <c r="EF83" s="47" t="s">
        <v>0</v>
      </c>
      <c r="EG83" s="58">
        <f>IF(AL83="","",MAX(EG$12:EG82)+1)</f>
        <v>253</v>
      </c>
      <c r="EH83" s="73">
        <f t="shared" si="140"/>
        <v>28</v>
      </c>
      <c r="EI83" s="73">
        <f t="shared" si="178"/>
        <v>1310</v>
      </c>
      <c r="EJ83" s="73">
        <f t="shared" si="141"/>
        <v>4528</v>
      </c>
      <c r="EK83" s="73">
        <f t="shared" si="142"/>
        <v>1</v>
      </c>
      <c r="EL83" s="73">
        <f t="shared" si="179"/>
        <v>1</v>
      </c>
      <c r="EM83" s="73">
        <f t="shared" si="180"/>
        <v>1</v>
      </c>
      <c r="EN83" s="73" t="str">
        <f t="shared" si="143"/>
        <v>0</v>
      </c>
      <c r="EO83" s="73" t="str">
        <f t="shared" si="144"/>
        <v/>
      </c>
      <c r="EP83" s="73" t="str">
        <f t="shared" si="145"/>
        <v/>
      </c>
      <c r="EQ83" s="53" t="str">
        <f t="shared" si="146"/>
        <v/>
      </c>
      <c r="ER83" s="47" t="s">
        <v>0</v>
      </c>
      <c r="ES83" s="19" t="str">
        <f t="shared" si="181"/>
        <v>INSERT INTO rezultat(id,stazakategorija_id,imeprezime_id,vrijeme_sec,status_id,registracija,uparivanje_id,originalstatus_id,imeprezimealias_id,klubalias_id,kategorijaalias_id) VALUES (253,28,1310,4528,1,1,1,0,Null,Null,Null);</v>
      </c>
      <c r="ET83" s="47" t="s">
        <v>0</v>
      </c>
      <c r="EU83" s="19" t="str">
        <f t="shared" si="182"/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3" s="47" t="s">
        <v>0</v>
      </c>
      <c r="EW83" s="180" t="str">
        <f t="shared" si="147"/>
        <v xml:space="preserve">
INSERT INTO rezultat(id,stazakategorija_id,imeprezime_id,vrijeme_sec,status_id,registracija,uparivanje_id,originalstatus_id,imeprezimealias_id,klubalias_id,kategorijaalias_id) VALUES (253,28,1310,4528,1,1,1,0,Null,Null,Null);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3" s="47" t="s">
        <v>0</v>
      </c>
    </row>
    <row r="84" spans="1:154" x14ac:dyDescent="0.25">
      <c r="A84" t="s">
        <v>0</v>
      </c>
      <c r="B84" s="52" t="str">
        <f>IF(csv!F74="","",csv!T74)</f>
        <v>M21B</v>
      </c>
      <c r="C84" s="31" t="s">
        <v>0</v>
      </c>
      <c r="D84" s="31" t="str">
        <f>IF(csv!F74="","",csv!F74)</f>
        <v>Tihomir</v>
      </c>
      <c r="E84" s="31" t="str">
        <f>IF(csv!E74="","",csv!E74)</f>
        <v>Klement</v>
      </c>
      <c r="F84" s="31" t="s">
        <v>0</v>
      </c>
      <c r="G84" s="73" t="str">
        <f>IF(csv!M74="","",csv!M74)</f>
        <v>85:50</v>
      </c>
      <c r="H84" s="73" t="str">
        <f>IF(csv!N74="","",csv!N74)</f>
        <v>0</v>
      </c>
      <c r="I84" s="31" t="s">
        <v>0</v>
      </c>
      <c r="J84" s="31" t="str">
        <f>IF(csv!P74="","",csv!P74)</f>
        <v>Vihor</v>
      </c>
      <c r="K84" s="31" t="str">
        <f>IF(csv!Q74="","",csv!Q74)</f>
        <v>OK Vihor</v>
      </c>
      <c r="L84" s="31" t="s">
        <v>0</v>
      </c>
      <c r="M84" s="66" t="str">
        <f>IF(csv!R74="","",csv!R74)</f>
        <v>CRO</v>
      </c>
      <c r="N84" s="47" t="s">
        <v>0</v>
      </c>
      <c r="O84" s="246" t="str">
        <f t="shared" si="148"/>
        <v>ok</v>
      </c>
      <c r="P84" s="47"/>
      <c r="Q84" s="52" t="str">
        <f t="shared" si="149"/>
        <v>M21B</v>
      </c>
      <c r="R84" s="73">
        <f>IF(Q84="","",IF(COUNTIF(Q$12:Q83,Q84)=0,R83+1,R83))</f>
        <v>6</v>
      </c>
      <c r="S84" s="73">
        <f t="shared" si="150"/>
        <v>108</v>
      </c>
      <c r="T84" s="73">
        <f t="shared" si="113"/>
        <v>19</v>
      </c>
      <c r="U84" s="66" t="str">
        <f t="shared" si="114"/>
        <v>M21B – M16</v>
      </c>
      <c r="V84" s="47" t="s">
        <v>0</v>
      </c>
      <c r="W84" s="222" t="str">
        <f t="shared" si="115"/>
        <v>M21B</v>
      </c>
      <c r="X84" s="223">
        <f t="shared" si="116"/>
        <v>28</v>
      </c>
      <c r="Y84" s="47" t="s">
        <v>0</v>
      </c>
      <c r="Z84" s="52" t="str">
        <f t="shared" si="151"/>
        <v>CRO</v>
      </c>
      <c r="AA84" s="73">
        <f t="shared" si="117"/>
        <v>1</v>
      </c>
      <c r="AB84" s="31" t="str">
        <f t="shared" si="152"/>
        <v/>
      </c>
      <c r="AC84" s="66" t="str">
        <f>IF(AB84="","",MAX(AC$12:AC83)+1)</f>
        <v/>
      </c>
      <c r="AD84" s="47" t="s">
        <v>0</v>
      </c>
      <c r="AE84" s="125"/>
      <c r="AF84" s="47" t="s">
        <v>0</v>
      </c>
      <c r="AG84" s="19" t="str">
        <f t="shared" si="153"/>
        <v/>
      </c>
      <c r="AH84" s="47" t="s">
        <v>0</v>
      </c>
      <c r="AI84" s="143" t="str">
        <f t="shared" si="154"/>
        <v>CRO</v>
      </c>
      <c r="AJ84" s="47"/>
      <c r="AK84" s="52" t="str">
        <f t="shared" si="155"/>
        <v>Tihomir</v>
      </c>
      <c r="AL84" s="31" t="str">
        <f t="shared" si="156"/>
        <v>Klement</v>
      </c>
      <c r="AM84" s="73">
        <f t="shared" si="157"/>
        <v>1922</v>
      </c>
      <c r="AN84" s="73" t="str">
        <f t="shared" si="158"/>
        <v/>
      </c>
      <c r="AO84" s="31" t="str">
        <f t="shared" si="118"/>
        <v>Tihomir</v>
      </c>
      <c r="AP84" s="66" t="str">
        <f t="shared" si="119"/>
        <v>Klement</v>
      </c>
      <c r="AQ84" s="47" t="s">
        <v>0</v>
      </c>
      <c r="AR84" s="82" t="str">
        <f t="shared" si="159"/>
        <v/>
      </c>
      <c r="AS84" s="47" t="s">
        <v>0</v>
      </c>
      <c r="AT84" s="19" t="str">
        <f t="shared" si="160"/>
        <v/>
      </c>
      <c r="AU84" s="47" t="s">
        <v>0</v>
      </c>
      <c r="AV84" s="103"/>
      <c r="AW84" s="105"/>
      <c r="AX84" s="47" t="s">
        <v>0</v>
      </c>
      <c r="AY84" s="259" t="str">
        <f t="shared" si="102"/>
        <v/>
      </c>
      <c r="AZ84" s="47" t="s">
        <v>0</v>
      </c>
      <c r="BA84" s="52" t="str">
        <f t="shared" si="120"/>
        <v/>
      </c>
      <c r="BB84" s="73" t="str">
        <f>IF(AV84&amp;AW84="","",MAX(BB$12:BB83)+1)</f>
        <v/>
      </c>
      <c r="BC84" s="272" t="str">
        <f t="shared" si="121"/>
        <v/>
      </c>
      <c r="BD84" s="53" t="str">
        <f>IF(AND(AM84="NEMA",AN84="NEMA",OR(AV84&amp;AW84="",BC84="NEMA")),MAX(BD$12:BD83)+1,"")</f>
        <v/>
      </c>
      <c r="BE84" s="47" t="s">
        <v>0</v>
      </c>
      <c r="BF84" s="52" t="str">
        <f t="shared" si="161"/>
        <v>Tihomir</v>
      </c>
      <c r="BG84" s="66" t="str">
        <f t="shared" si="162"/>
        <v>Klement</v>
      </c>
      <c r="BH84" s="47" t="s">
        <v>0</v>
      </c>
      <c r="BI84" s="52" t="str">
        <f t="shared" si="122"/>
        <v>Vihor</v>
      </c>
      <c r="BJ84" s="31" t="str">
        <f t="shared" si="123"/>
        <v>OK Vihor</v>
      </c>
      <c r="BK84" s="73" t="str">
        <f t="shared" si="124"/>
        <v/>
      </c>
      <c r="BL84" s="31" t="str" cm="1">
        <f t="array" ref="BL84">IF(BK84="",""&amp;BJ84,IF(BK84="NEMA",BJ84,INDEX(regKlub_naziv,MATCH(INDEX(regKlub_alias_klubId,BK84),regKlub_id,0))))</f>
        <v>OK Vihor</v>
      </c>
      <c r="BM84" s="31" t="str" cm="1">
        <f t="array" ref="BM84">IFERROR(""&amp;INDEX(regNatjecatelj_klub,DV84),"")</f>
        <v>OK Vihor</v>
      </c>
      <c r="BN84" s="73" t="str">
        <f t="shared" si="163"/>
        <v/>
      </c>
      <c r="BO84" s="66" t="str">
        <f t="shared" si="164"/>
        <v>OK Vihor</v>
      </c>
      <c r="BP84" s="47" t="s">
        <v>0</v>
      </c>
      <c r="BQ84" s="52" t="str">
        <f>IF(X84&lt;&gt;"NEMA","",IF(IFERROR(MATCH(W84,W$12:W83,0),0)&lt;&gt;0,"",W84))</f>
        <v/>
      </c>
      <c r="BR84" s="73" t="str">
        <f t="shared" si="165"/>
        <v/>
      </c>
      <c r="BS84" s="31" t="str">
        <f>IF(OR(BR84="",BR84&lt;&gt;"NEMA"),"",MAX(BS$12:BS83)+1)</f>
        <v/>
      </c>
      <c r="BT84" s="66" t="str">
        <f t="shared" si="166"/>
        <v/>
      </c>
      <c r="BU84" s="47" t="s">
        <v>0</v>
      </c>
      <c r="BV84" s="19" t="str">
        <f t="shared" si="167"/>
        <v/>
      </c>
      <c r="BW84" s="47" t="s">
        <v>0</v>
      </c>
      <c r="BX84" s="82" t="str">
        <f>IF(BK84&lt;&gt;"NEMA","",IF(IFERROR(MATCH(BJ84,BJ$12:BJ83,0),0)&lt;&gt;0,"",BJ84))</f>
        <v/>
      </c>
      <c r="BY84" s="47" t="s">
        <v>0</v>
      </c>
      <c r="BZ84" s="125"/>
      <c r="CA84" s="47" t="s">
        <v>0</v>
      </c>
      <c r="CB84" s="58" t="str">
        <f t="shared" si="168"/>
        <v/>
      </c>
      <c r="CC84" s="31" t="str">
        <f t="shared" si="169"/>
        <v/>
      </c>
      <c r="CD84" s="31" t="str">
        <f>IF(CC84="","",MAX(CD$12:CD83)+1)</f>
        <v/>
      </c>
      <c r="CE84" s="31" t="str">
        <f t="shared" si="125"/>
        <v/>
      </c>
      <c r="CF84" s="31" t="str">
        <f t="shared" si="170"/>
        <v/>
      </c>
      <c r="CG84" s="31" t="str">
        <f>IF(BZ84="","",MAX(CG$12:CG83)+1)</f>
        <v/>
      </c>
      <c r="CH84" s="31" t="str">
        <f t="shared" si="171"/>
        <v/>
      </c>
      <c r="CI84" s="66" t="str">
        <f t="shared" si="172"/>
        <v/>
      </c>
      <c r="CJ84" s="47" t="s">
        <v>0</v>
      </c>
      <c r="CK84" s="73" t="str">
        <f t="shared" si="126"/>
        <v/>
      </c>
      <c r="CL84" s="47"/>
      <c r="CM84" s="19" t="str">
        <f t="shared" si="173"/>
        <v/>
      </c>
      <c r="CN84" s="47" t="s">
        <v>0</v>
      </c>
      <c r="CO84" s="143" t="str">
        <f t="shared" si="174"/>
        <v>OK Vihor</v>
      </c>
      <c r="CP84" s="47" t="s">
        <v>0</v>
      </c>
      <c r="CQ84" s="58" t="str">
        <f t="shared" si="109"/>
        <v>85:50</v>
      </c>
      <c r="CR84" s="73" t="str">
        <f t="shared" si="110"/>
        <v>0</v>
      </c>
      <c r="CS84" s="229" t="str">
        <f t="shared" si="127"/>
        <v/>
      </c>
      <c r="CT84" s="230">
        <f t="shared" si="112"/>
        <v>5150</v>
      </c>
      <c r="CU84" s="163">
        <f t="shared" si="128"/>
        <v>1</v>
      </c>
      <c r="CV84" s="47" t="s">
        <v>0</v>
      </c>
      <c r="CW84" s="222" t="str">
        <f t="shared" si="175"/>
        <v xml:space="preserve">
</v>
      </c>
      <c r="CX84" s="223">
        <f t="shared" si="176"/>
        <v>6</v>
      </c>
      <c r="CY84" s="47" t="s">
        <v>0</v>
      </c>
      <c r="CZ84" s="47"/>
      <c r="DA84" s="47"/>
      <c r="DB84" s="47"/>
      <c r="DC84" s="47" t="s">
        <v>0</v>
      </c>
      <c r="DD84" s="53" t="str">
        <f t="shared" si="103"/>
        <v/>
      </c>
      <c r="DE84" t="s">
        <v>0</v>
      </c>
      <c r="DF84" s="128" t="str">
        <f t="shared" si="104"/>
        <v>M</v>
      </c>
      <c r="DG84" t="s">
        <v>0</v>
      </c>
      <c r="DH84" s="52" t="str">
        <f t="shared" si="105"/>
        <v/>
      </c>
      <c r="DI84" s="66" t="str">
        <f t="shared" si="106"/>
        <v/>
      </c>
      <c r="DJ84" t="s">
        <v>0</v>
      </c>
      <c r="DK84" s="19" t="str">
        <f t="shared" si="107"/>
        <v/>
      </c>
      <c r="DL84" s="47" t="s">
        <v>0</v>
      </c>
      <c r="DM84" s="19" t="str">
        <f t="shared" si="108"/>
        <v/>
      </c>
      <c r="DN84" s="47" t="s">
        <v>0</v>
      </c>
      <c r="DO84" s="52" t="str">
        <f t="shared" si="129"/>
        <v>Tihomir – Klement – OK Vihor – M21B</v>
      </c>
      <c r="DP84" s="53">
        <f t="shared" si="130"/>
        <v>738</v>
      </c>
      <c r="DQ84" s="47" t="s">
        <v>0</v>
      </c>
      <c r="DR84" s="52" t="str">
        <f t="shared" si="131"/>
        <v>Tihomir – Klement – OK Vihor</v>
      </c>
      <c r="DS84" s="53">
        <f t="shared" si="132"/>
        <v>738</v>
      </c>
      <c r="DT84" s="47" t="s">
        <v>0</v>
      </c>
      <c r="DU84" s="52" t="str">
        <f t="shared" si="133"/>
        <v>Tihomir – Klement</v>
      </c>
      <c r="DV84" s="53">
        <f t="shared" si="134"/>
        <v>738</v>
      </c>
      <c r="DW84" s="47" t="s">
        <v>0</v>
      </c>
      <c r="DX84" s="58">
        <f t="shared" si="177"/>
        <v>738</v>
      </c>
      <c r="DY84" s="53" cm="1">
        <f t="array" ref="DY84">IF(DX84&lt;&gt;"",INDEX(regNatjecatelj_id,DX84,0),IF(BD84&lt;&gt;"",BD84,""))</f>
        <v>1922</v>
      </c>
      <c r="DZ84" s="47" t="s">
        <v>0</v>
      </c>
      <c r="EA84" s="58" t="str">
        <f t="shared" si="135"/>
        <v>imepre</v>
      </c>
      <c r="EB84" s="73" t="str">
        <f t="shared" si="136"/>
        <v>klu</v>
      </c>
      <c r="EC84" s="73" t="str">
        <f t="shared" si="137"/>
        <v>kat</v>
      </c>
      <c r="ED84" s="73" t="str">
        <f t="shared" si="138"/>
        <v/>
      </c>
      <c r="EE84" s="66" t="str">
        <f t="shared" si="139"/>
        <v>imepre-klu-kat</v>
      </c>
      <c r="EF84" s="47" t="s">
        <v>0</v>
      </c>
      <c r="EG84" s="58">
        <f>IF(AL84="","",MAX(EG$12:EG83)+1)</f>
        <v>254</v>
      </c>
      <c r="EH84" s="73">
        <f t="shared" si="140"/>
        <v>28</v>
      </c>
      <c r="EI84" s="73">
        <f t="shared" si="178"/>
        <v>1922</v>
      </c>
      <c r="EJ84" s="73">
        <f t="shared" si="141"/>
        <v>5150</v>
      </c>
      <c r="EK84" s="73">
        <f t="shared" si="142"/>
        <v>1</v>
      </c>
      <c r="EL84" s="73">
        <f t="shared" si="179"/>
        <v>1</v>
      </c>
      <c r="EM84" s="73">
        <f t="shared" si="180"/>
        <v>1</v>
      </c>
      <c r="EN84" s="73" t="str">
        <f t="shared" si="143"/>
        <v>0</v>
      </c>
      <c r="EO84" s="73" t="str">
        <f t="shared" si="144"/>
        <v/>
      </c>
      <c r="EP84" s="73" t="str">
        <f t="shared" si="145"/>
        <v/>
      </c>
      <c r="EQ84" s="53" t="str">
        <f t="shared" si="146"/>
        <v/>
      </c>
      <c r="ER84" s="47" t="s">
        <v>0</v>
      </c>
      <c r="ES84" s="19" t="str">
        <f t="shared" si="181"/>
        <v>INSERT INTO rezultat(id,stazakategorija_id,imeprezime_id,vrijeme_sec,status_id,registracija,uparivanje_id,originalstatus_id,imeprezimealias_id,klubalias_id,kategorijaalias_id) VALUES (254,28,1922,5150,1,1,1,0,Null,Null,Null);</v>
      </c>
      <c r="ET84" s="47" t="s">
        <v>0</v>
      </c>
      <c r="EU84" s="19" t="str">
        <f t="shared" si="182"/>
        <v>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4" s="47" t="s">
        <v>0</v>
      </c>
      <c r="EW84" s="180" t="str">
        <f t="shared" si="147"/>
        <v xml:space="preserve">
INSERT INTO rezultat(id,stazakategorija_id,imeprezime_id,vrijeme_sec,status_id,registracija,uparivanje_id,originalstatus_id,imeprezimealias_id,klubalias_id,kategorijaalias_id) VALUES (254,28,1922,5150,1,1,1,0,Null,Null,Null);
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4" s="47" t="s">
        <v>0</v>
      </c>
    </row>
    <row r="85" spans="1:154" x14ac:dyDescent="0.25">
      <c r="A85" t="s">
        <v>0</v>
      </c>
      <c r="B85" s="52" t="str">
        <f>IF(csv!F75="","",csv!T75)</f>
        <v>M21B</v>
      </c>
      <c r="C85" s="31" t="s">
        <v>0</v>
      </c>
      <c r="D85" s="31" t="str">
        <f>IF(csv!F75="","",csv!F75)</f>
        <v>Željko</v>
      </c>
      <c r="E85" s="31" t="str">
        <f>IF(csv!E75="","",csv!E75)</f>
        <v>Valjak</v>
      </c>
      <c r="F85" s="31" t="s">
        <v>0</v>
      </c>
      <c r="G85" s="73" t="str">
        <f>IF(csv!M75="","",csv!M75)</f>
        <v>86:08</v>
      </c>
      <c r="H85" s="73" t="str">
        <f>IF(csv!N75="","",csv!N75)</f>
        <v>0</v>
      </c>
      <c r="I85" s="31" t="s">
        <v>0</v>
      </c>
      <c r="J85" s="31" t="str">
        <f>IF(csv!P75="","",csv!P75)</f>
        <v>Vihor</v>
      </c>
      <c r="K85" s="31" t="str">
        <f>IF(csv!Q75="","",csv!Q75)</f>
        <v>OK Vihor</v>
      </c>
      <c r="L85" s="31" t="s">
        <v>0</v>
      </c>
      <c r="M85" s="66" t="str">
        <f>IF(csv!R75="","",csv!R75)</f>
        <v>CRO</v>
      </c>
      <c r="N85" s="47" t="s">
        <v>0</v>
      </c>
      <c r="O85" s="246" t="str">
        <f t="shared" si="148"/>
        <v>ok</v>
      </c>
      <c r="P85" s="47"/>
      <c r="Q85" s="52" t="str">
        <f t="shared" si="149"/>
        <v>M21B</v>
      </c>
      <c r="R85" s="73">
        <f>IF(Q85="","",IF(COUNTIF(Q$12:Q84,Q85)=0,R84+1,R84))</f>
        <v>6</v>
      </c>
      <c r="S85" s="73">
        <f t="shared" si="150"/>
        <v>108</v>
      </c>
      <c r="T85" s="73">
        <f t="shared" si="113"/>
        <v>19</v>
      </c>
      <c r="U85" s="66" t="str">
        <f t="shared" si="114"/>
        <v>M21B – M16</v>
      </c>
      <c r="V85" s="47" t="s">
        <v>0</v>
      </c>
      <c r="W85" s="222" t="str">
        <f t="shared" si="115"/>
        <v>M21B</v>
      </c>
      <c r="X85" s="223">
        <f t="shared" si="116"/>
        <v>28</v>
      </c>
      <c r="Y85" s="47" t="s">
        <v>0</v>
      </c>
      <c r="Z85" s="52" t="str">
        <f t="shared" si="151"/>
        <v>CRO</v>
      </c>
      <c r="AA85" s="73">
        <f t="shared" si="117"/>
        <v>1</v>
      </c>
      <c r="AB85" s="31" t="str">
        <f t="shared" si="152"/>
        <v/>
      </c>
      <c r="AC85" s="66" t="str">
        <f>IF(AB85="","",MAX(AC$12:AC84)+1)</f>
        <v/>
      </c>
      <c r="AD85" s="47" t="s">
        <v>0</v>
      </c>
      <c r="AE85" s="125"/>
      <c r="AF85" s="47" t="s">
        <v>0</v>
      </c>
      <c r="AG85" s="19" t="str">
        <f t="shared" si="153"/>
        <v/>
      </c>
      <c r="AH85" s="47" t="s">
        <v>0</v>
      </c>
      <c r="AI85" s="143" t="str">
        <f t="shared" si="154"/>
        <v>CRO</v>
      </c>
      <c r="AJ85" s="47"/>
      <c r="AK85" s="52" t="str">
        <f t="shared" si="155"/>
        <v>Željko</v>
      </c>
      <c r="AL85" s="31" t="str">
        <f t="shared" si="156"/>
        <v>Valjak</v>
      </c>
      <c r="AM85" s="73">
        <f t="shared" si="157"/>
        <v>1907</v>
      </c>
      <c r="AN85" s="73" t="str">
        <f t="shared" si="158"/>
        <v/>
      </c>
      <c r="AO85" s="31" t="str">
        <f t="shared" si="118"/>
        <v>Željko</v>
      </c>
      <c r="AP85" s="66" t="str">
        <f t="shared" si="119"/>
        <v>Valjak</v>
      </c>
      <c r="AQ85" s="47" t="s">
        <v>0</v>
      </c>
      <c r="AR85" s="82" t="str">
        <f t="shared" si="159"/>
        <v/>
      </c>
      <c r="AS85" s="47" t="s">
        <v>0</v>
      </c>
      <c r="AT85" s="19" t="str">
        <f t="shared" si="160"/>
        <v/>
      </c>
      <c r="AU85" s="47" t="s">
        <v>0</v>
      </c>
      <c r="AV85" s="103"/>
      <c r="AW85" s="105"/>
      <c r="AX85" s="47" t="s">
        <v>0</v>
      </c>
      <c r="AY85" s="259" t="str">
        <f t="shared" ref="AY85:AY148" si="183">IF(AND(AV85="",AW85&lt;&gt;""),"FALI IME",IF(AND(AV85&lt;&gt;"",AW85=""),"FALI PREZIME",IF(OR(AM85="",AND(AM85="NEMA",AN85="NEMA"),AV85&amp;AW85=""),"","GREŠKA")))</f>
        <v/>
      </c>
      <c r="AZ85" s="47" t="s">
        <v>0</v>
      </c>
      <c r="BA85" s="52" t="str">
        <f t="shared" si="120"/>
        <v/>
      </c>
      <c r="BB85" s="73" t="str">
        <f>IF(AV85&amp;AW85="","",MAX(BB$12:BB84)+1)</f>
        <v/>
      </c>
      <c r="BC85" s="272" t="str">
        <f t="shared" si="121"/>
        <v/>
      </c>
      <c r="BD85" s="53" t="str">
        <f>IF(AND(AM85="NEMA",AN85="NEMA",OR(AV85&amp;AW85="",BC85="NEMA")),MAX(BD$12:BD84)+1,"")</f>
        <v/>
      </c>
      <c r="BE85" s="47" t="s">
        <v>0</v>
      </c>
      <c r="BF85" s="52" t="str">
        <f t="shared" si="161"/>
        <v>Željko</v>
      </c>
      <c r="BG85" s="66" t="str">
        <f t="shared" si="162"/>
        <v>Valjak</v>
      </c>
      <c r="BH85" s="47" t="s">
        <v>0</v>
      </c>
      <c r="BI85" s="52" t="str">
        <f t="shared" si="122"/>
        <v>Vihor</v>
      </c>
      <c r="BJ85" s="31" t="str">
        <f t="shared" si="123"/>
        <v>OK Vihor</v>
      </c>
      <c r="BK85" s="73" t="str">
        <f t="shared" si="124"/>
        <v/>
      </c>
      <c r="BL85" s="31" t="str" cm="1">
        <f t="array" ref="BL85">IF(BK85="",""&amp;BJ85,IF(BK85="NEMA",BJ85,INDEX(regKlub_naziv,MATCH(INDEX(regKlub_alias_klubId,BK85),regKlub_id,0))))</f>
        <v>OK Vihor</v>
      </c>
      <c r="BM85" s="31" t="str" cm="1">
        <f t="array" ref="BM85">IFERROR(""&amp;INDEX(regNatjecatelj_klub,DV85),"")</f>
        <v>OK Vihor</v>
      </c>
      <c r="BN85" s="73" t="str">
        <f t="shared" si="163"/>
        <v/>
      </c>
      <c r="BO85" s="66" t="str">
        <f t="shared" si="164"/>
        <v>OK Vihor</v>
      </c>
      <c r="BP85" s="47" t="s">
        <v>0</v>
      </c>
      <c r="BQ85" s="52" t="str">
        <f>IF(X85&lt;&gt;"NEMA","",IF(IFERROR(MATCH(W85,W$12:W84,0),0)&lt;&gt;0,"",W85))</f>
        <v/>
      </c>
      <c r="BR85" s="73" t="str">
        <f t="shared" si="165"/>
        <v/>
      </c>
      <c r="BS85" s="31" t="str">
        <f>IF(OR(BR85="",BR85&lt;&gt;"NEMA"),"",MAX(BS$12:BS84)+1)</f>
        <v/>
      </c>
      <c r="BT85" s="66" t="str">
        <f t="shared" si="166"/>
        <v/>
      </c>
      <c r="BU85" s="47" t="s">
        <v>0</v>
      </c>
      <c r="BV85" s="19" t="str">
        <f t="shared" si="167"/>
        <v/>
      </c>
      <c r="BW85" s="47" t="s">
        <v>0</v>
      </c>
      <c r="BX85" s="82" t="str">
        <f>IF(BK85&lt;&gt;"NEMA","",IF(IFERROR(MATCH(BJ85,BJ$12:BJ84,0),0)&lt;&gt;0,"",BJ85))</f>
        <v/>
      </c>
      <c r="BY85" s="47" t="s">
        <v>0</v>
      </c>
      <c r="BZ85" s="125"/>
      <c r="CA85" s="47" t="s">
        <v>0</v>
      </c>
      <c r="CB85" s="58" t="str">
        <f t="shared" si="168"/>
        <v/>
      </c>
      <c r="CC85" s="31" t="str">
        <f t="shared" si="169"/>
        <v/>
      </c>
      <c r="CD85" s="31" t="str">
        <f>IF(CC85="","",MAX(CD$12:CD84)+1)</f>
        <v/>
      </c>
      <c r="CE85" s="31" t="str">
        <f t="shared" si="125"/>
        <v/>
      </c>
      <c r="CF85" s="31" t="str">
        <f t="shared" si="170"/>
        <v/>
      </c>
      <c r="CG85" s="31" t="str">
        <f>IF(BZ85="","",MAX(CG$12:CG84)+1)</f>
        <v/>
      </c>
      <c r="CH85" s="31" t="str">
        <f t="shared" si="171"/>
        <v/>
      </c>
      <c r="CI85" s="66" t="str">
        <f t="shared" si="172"/>
        <v/>
      </c>
      <c r="CJ85" s="47" t="s">
        <v>0</v>
      </c>
      <c r="CK85" s="73" t="str">
        <f t="shared" si="126"/>
        <v/>
      </c>
      <c r="CL85" s="47"/>
      <c r="CM85" s="19" t="str">
        <f t="shared" si="173"/>
        <v/>
      </c>
      <c r="CN85" s="47" t="s">
        <v>0</v>
      </c>
      <c r="CO85" s="143" t="str">
        <f t="shared" si="174"/>
        <v>OK Vihor</v>
      </c>
      <c r="CP85" s="47" t="s">
        <v>0</v>
      </c>
      <c r="CQ85" s="58" t="str">
        <f t="shared" si="109"/>
        <v>86:08</v>
      </c>
      <c r="CR85" s="73" t="str">
        <f t="shared" si="110"/>
        <v>0</v>
      </c>
      <c r="CS85" s="229" t="str">
        <f t="shared" si="127"/>
        <v/>
      </c>
      <c r="CT85" s="230">
        <f t="shared" si="112"/>
        <v>5168</v>
      </c>
      <c r="CU85" s="163">
        <f t="shared" si="128"/>
        <v>1</v>
      </c>
      <c r="CV85" s="47" t="s">
        <v>0</v>
      </c>
      <c r="CW85" s="222" t="str">
        <f t="shared" si="175"/>
        <v xml:space="preserve">
</v>
      </c>
      <c r="CX85" s="223">
        <f t="shared" si="176"/>
        <v>6</v>
      </c>
      <c r="CY85" s="47" t="s">
        <v>0</v>
      </c>
      <c r="CZ85" s="47"/>
      <c r="DA85" s="47"/>
      <c r="DB85" s="47"/>
      <c r="DC85" s="47" t="s">
        <v>0</v>
      </c>
      <c r="DD85" s="53" t="str">
        <f t="shared" ref="DD85:DD148" si="184">IF(BD85="","",IF(DF85="O",1,""))</f>
        <v/>
      </c>
      <c r="DE85" t="s">
        <v>0</v>
      </c>
      <c r="DF85" s="128" t="str">
        <f t="shared" ref="DF85:DF148" si="185">IF(Q85="","",LEFT(INDEX(regKategorija_oznaka,MATCH(S85,regKategorija_id,0)),1))</f>
        <v>M</v>
      </c>
      <c r="DG85" t="s">
        <v>0</v>
      </c>
      <c r="DH85" s="52" t="str">
        <f t="shared" ref="DH85:DH148" si="186">IF(BD85="","",IF(M85&lt;&gt;"CRO","","INSERT INTO osoba (id,reg_broj,oib,spol_id,dat_rodjenja) VALUES ("&amp;BD85&amp;",(SELECT max(os.reg_broj)+1 FROM osoba AS os),Null,'"&amp;DF85&amp;"',Null); INSERT INTO osoba_log (id,reg_broj,oib,spol_id,dat_rodjenja,dnevnik_id) SELECT id,reg_broj,oib,spol_id,dat_rodjenja,"&amp;data_dnevnik_id&amp;" FROM osoba WHERE id = "&amp;BD85&amp;";"))</f>
        <v/>
      </c>
      <c r="DI85" s="66" t="str">
        <f t="shared" ref="DI85:DI148" si="187">IF(BD85="","","INSERT INTO imeprezime (id,osoba_id,rbr,ime,prezime,klub_id,identitet_id,sintaksa_id,info,aktivno,dnevnik_id) VALUES ("&amp;BD85&amp;","&amp;IF(DH85="","Null",BD85)&amp;",1,'"&amp;IF(AV85&lt;&gt;"",AV85,AK85)&amp;"','"&amp;IF(AW85&lt;&gt;"",AW85,AL85)&amp;"',(SELECT id FROM klub WHERE naziv = '"&amp;CO85&amp;"'),Null,1,'',1,"&amp;data_dnevnik_id&amp;");")</f>
        <v/>
      </c>
      <c r="DJ85" t="s">
        <v>0</v>
      </c>
      <c r="DK85" s="19" t="str">
        <f t="shared" ref="DK85:DK148" si="188">IF(DH85="",DI85,DH85&amp;" "&amp;DI85)</f>
        <v/>
      </c>
      <c r="DL85" s="47" t="s">
        <v>0</v>
      </c>
      <c r="DM85" s="19" t="str">
        <f t="shared" ref="DM85:DM148" si="189">IF(BA85="","","INSERT INTO imeprezime_alias(id,alias,imeprezime_id) VALUES ("&amp;BB85&amp;",'"&amp;BA85&amp;"',"&amp;IF(BC85="NEMA",BD85,BC85)&amp;");")</f>
        <v/>
      </c>
      <c r="DN85" s="47" t="s">
        <v>0</v>
      </c>
      <c r="DO85" s="52" t="str">
        <f t="shared" si="129"/>
        <v>Željko – Valjak – OK Vihor – M21B</v>
      </c>
      <c r="DP85" s="53">
        <f t="shared" si="130"/>
        <v>936</v>
      </c>
      <c r="DQ85" s="47" t="s">
        <v>0</v>
      </c>
      <c r="DR85" s="52" t="str">
        <f t="shared" si="131"/>
        <v>Željko – Valjak – OK Vihor</v>
      </c>
      <c r="DS85" s="53">
        <f t="shared" si="132"/>
        <v>936</v>
      </c>
      <c r="DT85" s="47" t="s">
        <v>0</v>
      </c>
      <c r="DU85" s="52" t="str">
        <f t="shared" si="133"/>
        <v>Željko – Valjak</v>
      </c>
      <c r="DV85" s="53">
        <f t="shared" si="134"/>
        <v>936</v>
      </c>
      <c r="DW85" s="47" t="s">
        <v>0</v>
      </c>
      <c r="DX85" s="58">
        <f t="shared" si="177"/>
        <v>936</v>
      </c>
      <c r="DY85" s="53" cm="1">
        <f t="array" ref="DY85">IF(DX85&lt;&gt;"",INDEX(regNatjecatelj_id,DX85,0),IF(BD85&lt;&gt;"",BD85,""))</f>
        <v>1907</v>
      </c>
      <c r="DZ85" s="47" t="s">
        <v>0</v>
      </c>
      <c r="EA85" s="58" t="str">
        <f t="shared" si="135"/>
        <v>imepre</v>
      </c>
      <c r="EB85" s="73" t="str">
        <f t="shared" si="136"/>
        <v>klu</v>
      </c>
      <c r="EC85" s="73" t="str">
        <f t="shared" si="137"/>
        <v>kat</v>
      </c>
      <c r="ED85" s="73" t="str">
        <f t="shared" si="138"/>
        <v/>
      </c>
      <c r="EE85" s="66" t="str">
        <f t="shared" si="139"/>
        <v>imepre-klu-kat</v>
      </c>
      <c r="EF85" s="47" t="s">
        <v>0</v>
      </c>
      <c r="EG85" s="58">
        <f>IF(AL85="","",MAX(EG$12:EG84)+1)</f>
        <v>255</v>
      </c>
      <c r="EH85" s="73">
        <f t="shared" si="140"/>
        <v>28</v>
      </c>
      <c r="EI85" s="73">
        <f t="shared" si="178"/>
        <v>1907</v>
      </c>
      <c r="EJ85" s="73">
        <f t="shared" si="141"/>
        <v>5168</v>
      </c>
      <c r="EK85" s="73">
        <f t="shared" si="142"/>
        <v>1</v>
      </c>
      <c r="EL85" s="73">
        <f t="shared" si="179"/>
        <v>1</v>
      </c>
      <c r="EM85" s="73">
        <f t="shared" si="180"/>
        <v>1</v>
      </c>
      <c r="EN85" s="73" t="str">
        <f t="shared" si="143"/>
        <v>0</v>
      </c>
      <c r="EO85" s="73" t="str">
        <f t="shared" si="144"/>
        <v/>
      </c>
      <c r="EP85" s="73" t="str">
        <f t="shared" si="145"/>
        <v/>
      </c>
      <c r="EQ85" s="53" t="str">
        <f t="shared" si="146"/>
        <v/>
      </c>
      <c r="ER85" s="47" t="s">
        <v>0</v>
      </c>
      <c r="ES85" s="19" t="str">
        <f t="shared" si="181"/>
        <v>INSERT INTO rezultat(id,stazakategorija_id,imeprezime_id,vrijeme_sec,status_id,registracija,uparivanje_id,originalstatus_id,imeprezimealias_id,klubalias_id,kategorijaalias_id) VALUES (255,28,1907,5168,1,1,1,0,Null,Null,Null);</v>
      </c>
      <c r="ET85" s="47" t="s">
        <v>0</v>
      </c>
      <c r="EU85" s="19" t="str">
        <f t="shared" si="182"/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5" s="47" t="s">
        <v>0</v>
      </c>
      <c r="EW85" s="180" t="str">
        <f t="shared" si="147"/>
        <v xml:space="preserve">
INSERT INTO rezultat(id,stazakategorija_id,imeprezime_id,vrijeme_sec,status_id,registracija,uparivanje_id,originalstatus_id,imeprezimealias_id,klubalias_id,kategorijaalias_id) VALUES (255,28,1907,5168,1,1,1,0,Null,Null,Null);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5" s="47" t="s">
        <v>0</v>
      </c>
    </row>
    <row r="86" spans="1:154" x14ac:dyDescent="0.25">
      <c r="A86" t="s">
        <v>0</v>
      </c>
      <c r="B86" s="52" t="str">
        <f>IF(csv!F76="","",csv!T76)</f>
        <v>M21B</v>
      </c>
      <c r="C86" s="31" t="s">
        <v>0</v>
      </c>
      <c r="D86" s="31" t="str">
        <f>IF(csv!F76="","",csv!F76)</f>
        <v>Dario</v>
      </c>
      <c r="E86" s="31" t="str">
        <f>IF(csv!E76="","",csv!E76)</f>
        <v>Vodopija</v>
      </c>
      <c r="F86" s="31" t="s">
        <v>0</v>
      </c>
      <c r="G86" s="73" t="str">
        <f>IF(csv!M76="","",csv!M76)</f>
        <v>91:02</v>
      </c>
      <c r="H86" s="73" t="str">
        <f>IF(csv!N76="","",csv!N76)</f>
        <v>0</v>
      </c>
      <c r="I86" s="31" t="s">
        <v>0</v>
      </c>
      <c r="J86" s="31" t="str">
        <f>IF(csv!P76="","",csv!P76)</f>
        <v>KAP</v>
      </c>
      <c r="K86" s="31" t="str">
        <f>IF(csv!Q76="","",csv!Q76)</f>
        <v>OK Kapela</v>
      </c>
      <c r="L86" s="31" t="s">
        <v>0</v>
      </c>
      <c r="M86" s="66" t="str">
        <f>IF(csv!R76="","",csv!R76)</f>
        <v>CRO</v>
      </c>
      <c r="N86" s="47" t="s">
        <v>0</v>
      </c>
      <c r="O86" s="246" t="str">
        <f t="shared" si="148"/>
        <v>ok</v>
      </c>
      <c r="P86" s="47"/>
      <c r="Q86" s="52" t="str">
        <f t="shared" si="149"/>
        <v>M21B</v>
      </c>
      <c r="R86" s="73">
        <f>IF(Q86="","",IF(COUNTIF(Q$12:Q85,Q86)=0,R85+1,R85))</f>
        <v>6</v>
      </c>
      <c r="S86" s="73">
        <f t="shared" si="150"/>
        <v>108</v>
      </c>
      <c r="T86" s="73">
        <f t="shared" si="113"/>
        <v>19</v>
      </c>
      <c r="U86" s="66" t="str">
        <f t="shared" si="114"/>
        <v>M21B – M16</v>
      </c>
      <c r="V86" s="47" t="s">
        <v>0</v>
      </c>
      <c r="W86" s="222" t="str">
        <f t="shared" si="115"/>
        <v>M21B</v>
      </c>
      <c r="X86" s="223">
        <f t="shared" si="116"/>
        <v>28</v>
      </c>
      <c r="Y86" s="47" t="s">
        <v>0</v>
      </c>
      <c r="Z86" s="52" t="str">
        <f t="shared" si="151"/>
        <v>CRO</v>
      </c>
      <c r="AA86" s="73">
        <f t="shared" si="117"/>
        <v>1</v>
      </c>
      <c r="AB86" s="31" t="str">
        <f t="shared" si="152"/>
        <v/>
      </c>
      <c r="AC86" s="66" t="str">
        <f>IF(AB86="","",MAX(AC$12:AC85)+1)</f>
        <v/>
      </c>
      <c r="AD86" s="47" t="s">
        <v>0</v>
      </c>
      <c r="AE86" s="125"/>
      <c r="AF86" s="47" t="s">
        <v>0</v>
      </c>
      <c r="AG86" s="19" t="str">
        <f t="shared" si="153"/>
        <v/>
      </c>
      <c r="AH86" s="47" t="s">
        <v>0</v>
      </c>
      <c r="AI86" s="143" t="str">
        <f t="shared" si="154"/>
        <v>CRO</v>
      </c>
      <c r="AJ86" s="47"/>
      <c r="AK86" s="52" t="str">
        <f t="shared" si="155"/>
        <v>Dario</v>
      </c>
      <c r="AL86" s="31" t="str">
        <f t="shared" si="156"/>
        <v>Vodopija</v>
      </c>
      <c r="AM86" s="73">
        <f t="shared" si="157"/>
        <v>1089</v>
      </c>
      <c r="AN86" s="73" t="str">
        <f t="shared" si="158"/>
        <v/>
      </c>
      <c r="AO86" s="31" t="str">
        <f t="shared" si="118"/>
        <v>Dario</v>
      </c>
      <c r="AP86" s="66" t="str">
        <f t="shared" si="119"/>
        <v>Vodopija</v>
      </c>
      <c r="AQ86" s="47" t="s">
        <v>0</v>
      </c>
      <c r="AR86" s="82" t="str">
        <f t="shared" si="159"/>
        <v/>
      </c>
      <c r="AS86" s="47" t="s">
        <v>0</v>
      </c>
      <c r="AT86" s="19" t="str">
        <f t="shared" si="160"/>
        <v/>
      </c>
      <c r="AU86" s="47" t="s">
        <v>0</v>
      </c>
      <c r="AV86" s="103"/>
      <c r="AW86" s="105"/>
      <c r="AX86" s="47" t="s">
        <v>0</v>
      </c>
      <c r="AY86" s="259" t="str">
        <f t="shared" si="183"/>
        <v/>
      </c>
      <c r="AZ86" s="47" t="s">
        <v>0</v>
      </c>
      <c r="BA86" s="52" t="str">
        <f t="shared" si="120"/>
        <v/>
      </c>
      <c r="BB86" s="73" t="str">
        <f>IF(AV86&amp;AW86="","",MAX(BB$12:BB85)+1)</f>
        <v/>
      </c>
      <c r="BC86" s="272" t="str">
        <f t="shared" si="121"/>
        <v/>
      </c>
      <c r="BD86" s="53" t="str">
        <f>IF(AND(AM86="NEMA",AN86="NEMA",OR(AV86&amp;AW86="",BC86="NEMA")),MAX(BD$12:BD85)+1,"")</f>
        <v/>
      </c>
      <c r="BE86" s="47" t="s">
        <v>0</v>
      </c>
      <c r="BF86" s="52" t="str">
        <f t="shared" si="161"/>
        <v>Dario</v>
      </c>
      <c r="BG86" s="66" t="str">
        <f t="shared" si="162"/>
        <v>Vodopija</v>
      </c>
      <c r="BH86" s="47" t="s">
        <v>0</v>
      </c>
      <c r="BI86" s="52" t="str">
        <f t="shared" si="122"/>
        <v>KAP</v>
      </c>
      <c r="BJ86" s="31" t="str">
        <f t="shared" si="123"/>
        <v>OK Kapela</v>
      </c>
      <c r="BK86" s="73" t="str">
        <f t="shared" si="124"/>
        <v/>
      </c>
      <c r="BL86" s="31" t="str" cm="1">
        <f t="array" ref="BL86">IF(BK86="",""&amp;BJ86,IF(BK86="NEMA",BJ86,INDEX(regKlub_naziv,MATCH(INDEX(regKlub_alias_klubId,BK86),regKlub_id,0))))</f>
        <v>OK Kapela</v>
      </c>
      <c r="BM86" s="31" t="str" cm="1">
        <f t="array" ref="BM86">IFERROR(""&amp;INDEX(regNatjecatelj_klub,DV86),"")</f>
        <v>OK Kapela</v>
      </c>
      <c r="BN86" s="73" t="str">
        <f t="shared" si="163"/>
        <v/>
      </c>
      <c r="BO86" s="66" t="str">
        <f t="shared" si="164"/>
        <v>OK Kapela</v>
      </c>
      <c r="BP86" s="47" t="s">
        <v>0</v>
      </c>
      <c r="BQ86" s="52" t="str">
        <f>IF(X86&lt;&gt;"NEMA","",IF(IFERROR(MATCH(W86,W$12:W85,0),0)&lt;&gt;0,"",W86))</f>
        <v/>
      </c>
      <c r="BR86" s="73" t="str">
        <f t="shared" si="165"/>
        <v/>
      </c>
      <c r="BS86" s="31" t="str">
        <f>IF(OR(BR86="",BR86&lt;&gt;"NEMA"),"",MAX(BS$12:BS85)+1)</f>
        <v/>
      </c>
      <c r="BT86" s="66" t="str">
        <f t="shared" si="166"/>
        <v/>
      </c>
      <c r="BU86" s="47" t="s">
        <v>0</v>
      </c>
      <c r="BV86" s="19" t="str">
        <f t="shared" si="167"/>
        <v/>
      </c>
      <c r="BW86" s="47" t="s">
        <v>0</v>
      </c>
      <c r="BX86" s="82" t="str">
        <f>IF(BK86&lt;&gt;"NEMA","",IF(IFERROR(MATCH(BJ86,BJ$12:BJ85,0),0)&lt;&gt;0,"",BJ86))</f>
        <v/>
      </c>
      <c r="BY86" s="47" t="s">
        <v>0</v>
      </c>
      <c r="BZ86" s="125"/>
      <c r="CA86" s="47" t="s">
        <v>0</v>
      </c>
      <c r="CB86" s="58" t="str">
        <f t="shared" si="168"/>
        <v/>
      </c>
      <c r="CC86" s="31" t="str">
        <f t="shared" si="169"/>
        <v/>
      </c>
      <c r="CD86" s="31" t="str">
        <f>IF(CC86="","",MAX(CD$12:CD85)+1)</f>
        <v/>
      </c>
      <c r="CE86" s="31" t="str">
        <f t="shared" si="125"/>
        <v/>
      </c>
      <c r="CF86" s="31" t="str">
        <f t="shared" si="170"/>
        <v/>
      </c>
      <c r="CG86" s="31" t="str">
        <f>IF(BZ86="","",MAX(CG$12:CG85)+1)</f>
        <v/>
      </c>
      <c r="CH86" s="31" t="str">
        <f t="shared" si="171"/>
        <v/>
      </c>
      <c r="CI86" s="66" t="str">
        <f t="shared" si="172"/>
        <v/>
      </c>
      <c r="CJ86" s="47" t="s">
        <v>0</v>
      </c>
      <c r="CK86" s="73" t="str">
        <f t="shared" si="126"/>
        <v/>
      </c>
      <c r="CL86" s="47"/>
      <c r="CM86" s="19" t="str">
        <f t="shared" si="173"/>
        <v/>
      </c>
      <c r="CN86" s="47" t="s">
        <v>0</v>
      </c>
      <c r="CO86" s="143" t="str">
        <f t="shared" si="174"/>
        <v>OK Kapela</v>
      </c>
      <c r="CP86" s="47" t="s">
        <v>0</v>
      </c>
      <c r="CQ86" s="58" t="str">
        <f t="shared" si="109"/>
        <v>91:02</v>
      </c>
      <c r="CR86" s="73" t="str">
        <f t="shared" si="110"/>
        <v>0</v>
      </c>
      <c r="CS86" s="229" t="str">
        <f t="shared" si="127"/>
        <v/>
      </c>
      <c r="CT86" s="230">
        <f t="shared" si="112"/>
        <v>5462</v>
      </c>
      <c r="CU86" s="163">
        <f t="shared" si="128"/>
        <v>1</v>
      </c>
      <c r="CV86" s="47" t="s">
        <v>0</v>
      </c>
      <c r="CW86" s="222" t="str">
        <f t="shared" si="175"/>
        <v xml:space="preserve">
</v>
      </c>
      <c r="CX86" s="223">
        <f t="shared" si="176"/>
        <v>6</v>
      </c>
      <c r="CY86" s="47" t="s">
        <v>0</v>
      </c>
      <c r="CZ86" s="47"/>
      <c r="DA86" s="47"/>
      <c r="DB86" s="47"/>
      <c r="DC86" s="47" t="s">
        <v>0</v>
      </c>
      <c r="DD86" s="53" t="str">
        <f t="shared" si="184"/>
        <v/>
      </c>
      <c r="DE86" t="s">
        <v>0</v>
      </c>
      <c r="DF86" s="128" t="str">
        <f t="shared" si="185"/>
        <v>M</v>
      </c>
      <c r="DG86" t="s">
        <v>0</v>
      </c>
      <c r="DH86" s="52" t="str">
        <f t="shared" si="186"/>
        <v/>
      </c>
      <c r="DI86" s="66" t="str">
        <f t="shared" si="187"/>
        <v/>
      </c>
      <c r="DJ86" t="s">
        <v>0</v>
      </c>
      <c r="DK86" s="19" t="str">
        <f t="shared" si="188"/>
        <v/>
      </c>
      <c r="DL86" s="47" t="s">
        <v>0</v>
      </c>
      <c r="DM86" s="19" t="str">
        <f t="shared" si="189"/>
        <v/>
      </c>
      <c r="DN86" s="47" t="s">
        <v>0</v>
      </c>
      <c r="DO86" s="52" t="str">
        <f t="shared" si="129"/>
        <v>Dario – Vodopija – OK Kapela – M21B</v>
      </c>
      <c r="DP86" s="53">
        <f t="shared" si="130"/>
        <v>326</v>
      </c>
      <c r="DQ86" s="47" t="s">
        <v>0</v>
      </c>
      <c r="DR86" s="52" t="str">
        <f t="shared" si="131"/>
        <v>Dario – Vodopija – OK Kapela</v>
      </c>
      <c r="DS86" s="53">
        <f t="shared" si="132"/>
        <v>326</v>
      </c>
      <c r="DT86" s="47" t="s">
        <v>0</v>
      </c>
      <c r="DU86" s="52" t="str">
        <f t="shared" si="133"/>
        <v>Dario – Vodopija</v>
      </c>
      <c r="DV86" s="53">
        <f t="shared" si="134"/>
        <v>326</v>
      </c>
      <c r="DW86" s="47" t="s">
        <v>0</v>
      </c>
      <c r="DX86" s="58">
        <f t="shared" si="177"/>
        <v>326</v>
      </c>
      <c r="DY86" s="53" cm="1">
        <f t="array" ref="DY86">IF(DX86&lt;&gt;"",INDEX(regNatjecatelj_id,DX86,0),IF(BD86&lt;&gt;"",BD86,""))</f>
        <v>1089</v>
      </c>
      <c r="DZ86" s="47" t="s">
        <v>0</v>
      </c>
      <c r="EA86" s="58" t="str">
        <f t="shared" si="135"/>
        <v>imepre</v>
      </c>
      <c r="EB86" s="73" t="str">
        <f t="shared" si="136"/>
        <v>klu</v>
      </c>
      <c r="EC86" s="73" t="str">
        <f t="shared" si="137"/>
        <v>kat</v>
      </c>
      <c r="ED86" s="73" t="str">
        <f t="shared" si="138"/>
        <v/>
      </c>
      <c r="EE86" s="66" t="str">
        <f t="shared" si="139"/>
        <v>imepre-klu-kat</v>
      </c>
      <c r="EF86" s="47" t="s">
        <v>0</v>
      </c>
      <c r="EG86" s="58">
        <f>IF(AL86="","",MAX(EG$12:EG85)+1)</f>
        <v>256</v>
      </c>
      <c r="EH86" s="73">
        <f t="shared" si="140"/>
        <v>28</v>
      </c>
      <c r="EI86" s="73">
        <f t="shared" si="178"/>
        <v>1089</v>
      </c>
      <c r="EJ86" s="73">
        <f t="shared" si="141"/>
        <v>5462</v>
      </c>
      <c r="EK86" s="73">
        <f t="shared" si="142"/>
        <v>1</v>
      </c>
      <c r="EL86" s="73">
        <f t="shared" si="179"/>
        <v>1</v>
      </c>
      <c r="EM86" s="73">
        <f t="shared" si="180"/>
        <v>1</v>
      </c>
      <c r="EN86" s="73" t="str">
        <f t="shared" si="143"/>
        <v>0</v>
      </c>
      <c r="EO86" s="73" t="str">
        <f t="shared" si="144"/>
        <v/>
      </c>
      <c r="EP86" s="73" t="str">
        <f t="shared" si="145"/>
        <v/>
      </c>
      <c r="EQ86" s="53" t="str">
        <f t="shared" si="146"/>
        <v/>
      </c>
      <c r="ER86" s="47" t="s">
        <v>0</v>
      </c>
      <c r="ES86" s="19" t="str">
        <f t="shared" si="181"/>
        <v>INSERT INTO rezultat(id,stazakategorija_id,imeprezime_id,vrijeme_sec,status_id,registracija,uparivanje_id,originalstatus_id,imeprezimealias_id,klubalias_id,kategorijaalias_id) VALUES (256,28,1089,5462,1,1,1,0,Null,Null,Null);</v>
      </c>
      <c r="ET86" s="47" t="s">
        <v>0</v>
      </c>
      <c r="EU86" s="19" t="str">
        <f t="shared" si="182"/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6" s="47" t="s">
        <v>0</v>
      </c>
      <c r="EW86" s="180" t="str">
        <f t="shared" si="147"/>
        <v xml:space="preserve">
INSERT INTO rezultat(id,stazakategorija_id,imeprezime_id,vrijeme_sec,status_id,registracija,uparivanje_id,originalstatus_id,imeprezimealias_id,klubalias_id,kategorijaalias_id) VALUES (256,28,1089,5462,1,1,1,0,Null,Null,Null);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6" s="47" t="s">
        <v>0</v>
      </c>
    </row>
    <row r="87" spans="1:154" x14ac:dyDescent="0.25">
      <c r="A87" t="s">
        <v>0</v>
      </c>
      <c r="B87" s="52" t="str">
        <f>IF(csv!F77="","",csv!T77)</f>
        <v>M21B</v>
      </c>
      <c r="C87" s="31" t="s">
        <v>0</v>
      </c>
      <c r="D87" s="31" t="str">
        <f>IF(csv!F77="","",csv!F77)</f>
        <v>Ivan</v>
      </c>
      <c r="E87" s="31" t="str">
        <f>IF(csv!E77="","",csv!E77)</f>
        <v>Šantek</v>
      </c>
      <c r="F87" s="31" t="s">
        <v>0</v>
      </c>
      <c r="G87" s="73" t="str">
        <f>IF(csv!M77="","",csv!M77)</f>
        <v>92:27</v>
      </c>
      <c r="H87" s="73" t="str">
        <f>IF(csv!N77="","",csv!N77)</f>
        <v>0</v>
      </c>
      <c r="I87" s="31" t="s">
        <v>0</v>
      </c>
      <c r="J87" s="31" t="str">
        <f>IF(csv!P77="","",csv!P77)</f>
        <v>OK Varaždin</v>
      </c>
      <c r="K87" s="31" t="str">
        <f>IF(csv!Q77="","",csv!Q77)</f>
        <v>OK Varaždin</v>
      </c>
      <c r="L87" s="31" t="s">
        <v>0</v>
      </c>
      <c r="M87" s="66" t="str">
        <f>IF(csv!R77="","",csv!R77)</f>
        <v>CRO</v>
      </c>
      <c r="N87" s="47" t="s">
        <v>0</v>
      </c>
      <c r="O87" s="246" t="str">
        <f t="shared" si="148"/>
        <v>ok</v>
      </c>
      <c r="P87" s="47"/>
      <c r="Q87" s="52" t="str">
        <f t="shared" si="149"/>
        <v>M21B</v>
      </c>
      <c r="R87" s="73">
        <f>IF(Q87="","",IF(COUNTIF(Q$12:Q86,Q87)=0,R86+1,R86))</f>
        <v>6</v>
      </c>
      <c r="S87" s="73">
        <f t="shared" si="150"/>
        <v>108</v>
      </c>
      <c r="T87" s="73">
        <f t="shared" si="113"/>
        <v>19</v>
      </c>
      <c r="U87" s="66" t="str">
        <f t="shared" si="114"/>
        <v>M21B – M16</v>
      </c>
      <c r="V87" s="47" t="s">
        <v>0</v>
      </c>
      <c r="W87" s="222" t="str">
        <f t="shared" si="115"/>
        <v>M21B</v>
      </c>
      <c r="X87" s="223">
        <f t="shared" si="116"/>
        <v>28</v>
      </c>
      <c r="Y87" s="47" t="s">
        <v>0</v>
      </c>
      <c r="Z87" s="52" t="str">
        <f t="shared" si="151"/>
        <v>CRO</v>
      </c>
      <c r="AA87" s="73">
        <f t="shared" si="117"/>
        <v>1</v>
      </c>
      <c r="AB87" s="31" t="str">
        <f t="shared" si="152"/>
        <v/>
      </c>
      <c r="AC87" s="66" t="str">
        <f>IF(AB87="","",MAX(AC$12:AC86)+1)</f>
        <v/>
      </c>
      <c r="AD87" s="47" t="s">
        <v>0</v>
      </c>
      <c r="AE87" s="125"/>
      <c r="AF87" s="47" t="s">
        <v>0</v>
      </c>
      <c r="AG87" s="19" t="str">
        <f t="shared" si="153"/>
        <v/>
      </c>
      <c r="AH87" s="47" t="s">
        <v>0</v>
      </c>
      <c r="AI87" s="143" t="str">
        <f t="shared" si="154"/>
        <v>CRO</v>
      </c>
      <c r="AJ87" s="47"/>
      <c r="AK87" s="52" t="str">
        <f t="shared" si="155"/>
        <v>Ivan</v>
      </c>
      <c r="AL87" s="31" t="str">
        <f t="shared" si="156"/>
        <v>Šantek</v>
      </c>
      <c r="AM87" s="73">
        <f t="shared" si="157"/>
        <v>1149</v>
      </c>
      <c r="AN87" s="73" t="str">
        <f t="shared" si="158"/>
        <v/>
      </c>
      <c r="AO87" s="31" t="str">
        <f t="shared" si="118"/>
        <v>Ivan</v>
      </c>
      <c r="AP87" s="66" t="str">
        <f t="shared" si="119"/>
        <v>Šantek</v>
      </c>
      <c r="AQ87" s="47" t="s">
        <v>0</v>
      </c>
      <c r="AR87" s="82" t="str">
        <f t="shared" si="159"/>
        <v/>
      </c>
      <c r="AS87" s="47" t="s">
        <v>0</v>
      </c>
      <c r="AT87" s="19" t="str">
        <f t="shared" si="160"/>
        <v/>
      </c>
      <c r="AU87" s="47" t="s">
        <v>0</v>
      </c>
      <c r="AV87" s="103"/>
      <c r="AW87" s="105"/>
      <c r="AX87" s="47" t="s">
        <v>0</v>
      </c>
      <c r="AY87" s="259" t="str">
        <f t="shared" si="183"/>
        <v/>
      </c>
      <c r="AZ87" s="47" t="s">
        <v>0</v>
      </c>
      <c r="BA87" s="52" t="str">
        <f t="shared" si="120"/>
        <v/>
      </c>
      <c r="BB87" s="73" t="str">
        <f>IF(AV87&amp;AW87="","",MAX(BB$12:BB86)+1)</f>
        <v/>
      </c>
      <c r="BC87" s="272" t="str">
        <f t="shared" si="121"/>
        <v/>
      </c>
      <c r="BD87" s="53" t="str">
        <f>IF(AND(AM87="NEMA",AN87="NEMA",OR(AV87&amp;AW87="",BC87="NEMA")),MAX(BD$12:BD86)+1,"")</f>
        <v/>
      </c>
      <c r="BE87" s="47" t="s">
        <v>0</v>
      </c>
      <c r="BF87" s="52" t="str">
        <f t="shared" si="161"/>
        <v>Ivan</v>
      </c>
      <c r="BG87" s="66" t="str">
        <f t="shared" si="162"/>
        <v>Šantek</v>
      </c>
      <c r="BH87" s="47" t="s">
        <v>0</v>
      </c>
      <c r="BI87" s="52" t="str">
        <f t="shared" si="122"/>
        <v>OK Varaždin</v>
      </c>
      <c r="BJ87" s="31" t="str">
        <f t="shared" si="123"/>
        <v>OK Varaždin</v>
      </c>
      <c r="BK87" s="73" t="str">
        <f t="shared" si="124"/>
        <v/>
      </c>
      <c r="BL87" s="31" t="str" cm="1">
        <f t="array" ref="BL87">IF(BK87="",""&amp;BJ87,IF(BK87="NEMA",BJ87,INDEX(regKlub_naziv,MATCH(INDEX(regKlub_alias_klubId,BK87),regKlub_id,0))))</f>
        <v>OK Varaždin</v>
      </c>
      <c r="BM87" s="31" t="str" cm="1">
        <f t="array" ref="BM87">IFERROR(""&amp;INDEX(regNatjecatelj_klub,DV87),"")</f>
        <v>OK Varaždin</v>
      </c>
      <c r="BN87" s="73" t="str">
        <f t="shared" si="163"/>
        <v/>
      </c>
      <c r="BO87" s="66" t="str">
        <f t="shared" si="164"/>
        <v>OK Varaždin</v>
      </c>
      <c r="BP87" s="47" t="s">
        <v>0</v>
      </c>
      <c r="BQ87" s="52" t="str">
        <f>IF(X87&lt;&gt;"NEMA","",IF(IFERROR(MATCH(W87,W$12:W86,0),0)&lt;&gt;0,"",W87))</f>
        <v/>
      </c>
      <c r="BR87" s="73" t="str">
        <f t="shared" si="165"/>
        <v/>
      </c>
      <c r="BS87" s="31" t="str">
        <f>IF(OR(BR87="",BR87&lt;&gt;"NEMA"),"",MAX(BS$12:BS86)+1)</f>
        <v/>
      </c>
      <c r="BT87" s="66" t="str">
        <f t="shared" si="166"/>
        <v/>
      </c>
      <c r="BU87" s="47" t="s">
        <v>0</v>
      </c>
      <c r="BV87" s="19" t="str">
        <f t="shared" si="167"/>
        <v/>
      </c>
      <c r="BW87" s="47" t="s">
        <v>0</v>
      </c>
      <c r="BX87" s="82" t="str">
        <f>IF(BK87&lt;&gt;"NEMA","",IF(IFERROR(MATCH(BJ87,BJ$12:BJ86,0),0)&lt;&gt;0,"",BJ87))</f>
        <v/>
      </c>
      <c r="BY87" s="47" t="s">
        <v>0</v>
      </c>
      <c r="BZ87" s="125"/>
      <c r="CA87" s="47" t="s">
        <v>0</v>
      </c>
      <c r="CB87" s="58" t="str">
        <f t="shared" si="168"/>
        <v/>
      </c>
      <c r="CC87" s="31" t="str">
        <f t="shared" si="169"/>
        <v/>
      </c>
      <c r="CD87" s="31" t="str">
        <f>IF(CC87="","",MAX(CD$12:CD86)+1)</f>
        <v/>
      </c>
      <c r="CE87" s="31" t="str">
        <f t="shared" si="125"/>
        <v/>
      </c>
      <c r="CF87" s="31" t="str">
        <f t="shared" si="170"/>
        <v/>
      </c>
      <c r="CG87" s="31" t="str">
        <f>IF(BZ87="","",MAX(CG$12:CG86)+1)</f>
        <v/>
      </c>
      <c r="CH87" s="31" t="str">
        <f t="shared" si="171"/>
        <v/>
      </c>
      <c r="CI87" s="66" t="str">
        <f t="shared" si="172"/>
        <v/>
      </c>
      <c r="CJ87" s="47" t="s">
        <v>0</v>
      </c>
      <c r="CK87" s="73" t="str">
        <f t="shared" si="126"/>
        <v/>
      </c>
      <c r="CL87" s="47"/>
      <c r="CM87" s="19" t="str">
        <f t="shared" si="173"/>
        <v/>
      </c>
      <c r="CN87" s="47" t="s">
        <v>0</v>
      </c>
      <c r="CO87" s="143" t="str">
        <f t="shared" si="174"/>
        <v>OK Varaždin</v>
      </c>
      <c r="CP87" s="47" t="s">
        <v>0</v>
      </c>
      <c r="CQ87" s="58" t="str">
        <f t="shared" si="109"/>
        <v>92:27</v>
      </c>
      <c r="CR87" s="73" t="str">
        <f t="shared" si="110"/>
        <v>0</v>
      </c>
      <c r="CS87" s="229" t="str">
        <f t="shared" si="127"/>
        <v/>
      </c>
      <c r="CT87" s="230">
        <f t="shared" si="112"/>
        <v>5547</v>
      </c>
      <c r="CU87" s="163">
        <f t="shared" si="128"/>
        <v>1</v>
      </c>
      <c r="CV87" s="47" t="s">
        <v>0</v>
      </c>
      <c r="CW87" s="222" t="str">
        <f t="shared" si="175"/>
        <v xml:space="preserve">
</v>
      </c>
      <c r="CX87" s="223">
        <f t="shared" si="176"/>
        <v>6</v>
      </c>
      <c r="CY87" s="47" t="s">
        <v>0</v>
      </c>
      <c r="CZ87" s="47"/>
      <c r="DA87" s="47"/>
      <c r="DB87" s="47"/>
      <c r="DC87" s="47" t="s">
        <v>0</v>
      </c>
      <c r="DD87" s="53" t="str">
        <f t="shared" si="184"/>
        <v/>
      </c>
      <c r="DE87" t="s">
        <v>0</v>
      </c>
      <c r="DF87" s="128" t="str">
        <f t="shared" si="185"/>
        <v>M</v>
      </c>
      <c r="DG87" t="s">
        <v>0</v>
      </c>
      <c r="DH87" s="52" t="str">
        <f t="shared" si="186"/>
        <v/>
      </c>
      <c r="DI87" s="66" t="str">
        <f t="shared" si="187"/>
        <v/>
      </c>
      <c r="DJ87" t="s">
        <v>0</v>
      </c>
      <c r="DK87" s="19" t="str">
        <f t="shared" si="188"/>
        <v/>
      </c>
      <c r="DL87" s="47" t="s">
        <v>0</v>
      </c>
      <c r="DM87" s="19" t="str">
        <f t="shared" si="189"/>
        <v/>
      </c>
      <c r="DN87" s="47" t="s">
        <v>0</v>
      </c>
      <c r="DO87" s="52" t="str">
        <f t="shared" si="129"/>
        <v>Ivan – Šantek – OK Varaždin – M21B</v>
      </c>
      <c r="DP87" s="53">
        <f t="shared" si="130"/>
        <v>587</v>
      </c>
      <c r="DQ87" s="47" t="s">
        <v>0</v>
      </c>
      <c r="DR87" s="52" t="str">
        <f t="shared" si="131"/>
        <v>Ivan – Šantek – OK Varaždin</v>
      </c>
      <c r="DS87" s="53">
        <f t="shared" si="132"/>
        <v>587</v>
      </c>
      <c r="DT87" s="47" t="s">
        <v>0</v>
      </c>
      <c r="DU87" s="52" t="str">
        <f t="shared" si="133"/>
        <v>Ivan – Šantek</v>
      </c>
      <c r="DV87" s="53">
        <f t="shared" si="134"/>
        <v>587</v>
      </c>
      <c r="DW87" s="47" t="s">
        <v>0</v>
      </c>
      <c r="DX87" s="58">
        <f t="shared" si="177"/>
        <v>587</v>
      </c>
      <c r="DY87" s="53" cm="1">
        <f t="array" ref="DY87">IF(DX87&lt;&gt;"",INDEX(regNatjecatelj_id,DX87,0),IF(BD87&lt;&gt;"",BD87,""))</f>
        <v>1149</v>
      </c>
      <c r="DZ87" s="47" t="s">
        <v>0</v>
      </c>
      <c r="EA87" s="58" t="str">
        <f t="shared" si="135"/>
        <v>imepre</v>
      </c>
      <c r="EB87" s="73" t="str">
        <f t="shared" si="136"/>
        <v>klu</v>
      </c>
      <c r="EC87" s="73" t="str">
        <f t="shared" si="137"/>
        <v>kat</v>
      </c>
      <c r="ED87" s="73" t="str">
        <f t="shared" si="138"/>
        <v/>
      </c>
      <c r="EE87" s="66" t="str">
        <f t="shared" si="139"/>
        <v>imepre-klu-kat</v>
      </c>
      <c r="EF87" s="47" t="s">
        <v>0</v>
      </c>
      <c r="EG87" s="58">
        <f>IF(AL87="","",MAX(EG$12:EG86)+1)</f>
        <v>257</v>
      </c>
      <c r="EH87" s="73">
        <f t="shared" si="140"/>
        <v>28</v>
      </c>
      <c r="EI87" s="73">
        <f t="shared" si="178"/>
        <v>1149</v>
      </c>
      <c r="EJ87" s="73">
        <f t="shared" si="141"/>
        <v>5547</v>
      </c>
      <c r="EK87" s="73">
        <f t="shared" si="142"/>
        <v>1</v>
      </c>
      <c r="EL87" s="73">
        <f t="shared" si="179"/>
        <v>1</v>
      </c>
      <c r="EM87" s="73">
        <f t="shared" si="180"/>
        <v>1</v>
      </c>
      <c r="EN87" s="73" t="str">
        <f t="shared" si="143"/>
        <v>0</v>
      </c>
      <c r="EO87" s="73" t="str">
        <f t="shared" si="144"/>
        <v/>
      </c>
      <c r="EP87" s="73" t="str">
        <f t="shared" si="145"/>
        <v/>
      </c>
      <c r="EQ87" s="53" t="str">
        <f t="shared" si="146"/>
        <v/>
      </c>
      <c r="ER87" s="47" t="s">
        <v>0</v>
      </c>
      <c r="ES87" s="19" t="str">
        <f t="shared" si="181"/>
        <v>INSERT INTO rezultat(id,stazakategorija_id,imeprezime_id,vrijeme_sec,status_id,registracija,uparivanje_id,originalstatus_id,imeprezimealias_id,klubalias_id,kategorijaalias_id) VALUES (257,28,1149,5547,1,1,1,0,Null,Null,Null);</v>
      </c>
      <c r="ET87" s="47" t="s">
        <v>0</v>
      </c>
      <c r="EU87" s="19" t="str">
        <f t="shared" si="182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7" s="47" t="s">
        <v>0</v>
      </c>
      <c r="EW87" s="180" t="str">
        <f t="shared" si="147"/>
        <v xml:space="preserve">
INSERT INTO rezultat(id,stazakategorija_id,imeprezime_id,vrijeme_sec,status_id,registracija,uparivanje_id,originalstatus_id,imeprezimealias_id,klubalias_id,kategorijaalias_id) VALUES (257,28,1149,5547,1,1,1,0,Null,Null,Null);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7" s="47" t="s">
        <v>0</v>
      </c>
    </row>
    <row r="88" spans="1:154" x14ac:dyDescent="0.25">
      <c r="A88" t="s">
        <v>0</v>
      </c>
      <c r="B88" s="52" t="str">
        <f>IF(csv!F78="","",csv!T78)</f>
        <v>M21B</v>
      </c>
      <c r="C88" s="31" t="s">
        <v>0</v>
      </c>
      <c r="D88" s="31" t="str">
        <f>IF(csv!F78="","",csv!F78)</f>
        <v>Domagoj</v>
      </c>
      <c r="E88" s="31" t="str">
        <f>IF(csv!E78="","",csv!E78)</f>
        <v>Kavečić</v>
      </c>
      <c r="F88" s="31" t="s">
        <v>0</v>
      </c>
      <c r="G88" s="73" t="str">
        <f>IF(csv!M78="","",csv!M78)</f>
        <v>93:45</v>
      </c>
      <c r="H88" s="73" t="str">
        <f>IF(csv!N78="","",csv!N78)</f>
        <v>0</v>
      </c>
      <c r="I88" s="31" t="s">
        <v>0</v>
      </c>
      <c r="J88" s="31" t="str">
        <f>IF(csv!P78="","",csv!P78)</f>
        <v>Vihor</v>
      </c>
      <c r="K88" s="31" t="str">
        <f>IF(csv!Q78="","",csv!Q78)</f>
        <v>OK Vihor</v>
      </c>
      <c r="L88" s="31" t="s">
        <v>0</v>
      </c>
      <c r="M88" s="66" t="str">
        <f>IF(csv!R78="","",csv!R78)</f>
        <v>CRO</v>
      </c>
      <c r="N88" s="47" t="s">
        <v>0</v>
      </c>
      <c r="O88" s="246" t="str">
        <f t="shared" si="148"/>
        <v>ok</v>
      </c>
      <c r="P88" s="47"/>
      <c r="Q88" s="52" t="str">
        <f t="shared" si="149"/>
        <v>M21B</v>
      </c>
      <c r="R88" s="73">
        <f>IF(Q88="","",IF(COUNTIF(Q$12:Q87,Q88)=0,R87+1,R87))</f>
        <v>6</v>
      </c>
      <c r="S88" s="73">
        <f t="shared" si="150"/>
        <v>108</v>
      </c>
      <c r="T88" s="73">
        <f t="shared" si="113"/>
        <v>19</v>
      </c>
      <c r="U88" s="66" t="str">
        <f t="shared" si="114"/>
        <v>M21B – M16</v>
      </c>
      <c r="V88" s="47" t="s">
        <v>0</v>
      </c>
      <c r="W88" s="222" t="str">
        <f t="shared" si="115"/>
        <v>M21B</v>
      </c>
      <c r="X88" s="223">
        <f t="shared" si="116"/>
        <v>28</v>
      </c>
      <c r="Y88" s="47" t="s">
        <v>0</v>
      </c>
      <c r="Z88" s="52" t="str">
        <f t="shared" si="151"/>
        <v>CRO</v>
      </c>
      <c r="AA88" s="73">
        <f t="shared" si="117"/>
        <v>1</v>
      </c>
      <c r="AB88" s="31" t="str">
        <f t="shared" si="152"/>
        <v/>
      </c>
      <c r="AC88" s="66" t="str">
        <f>IF(AB88="","",MAX(AC$12:AC87)+1)</f>
        <v/>
      </c>
      <c r="AD88" s="47" t="s">
        <v>0</v>
      </c>
      <c r="AE88" s="125"/>
      <c r="AF88" s="47" t="s">
        <v>0</v>
      </c>
      <c r="AG88" s="19" t="str">
        <f t="shared" si="153"/>
        <v/>
      </c>
      <c r="AH88" s="47" t="s">
        <v>0</v>
      </c>
      <c r="AI88" s="143" t="str">
        <f t="shared" si="154"/>
        <v>CRO</v>
      </c>
      <c r="AJ88" s="47"/>
      <c r="AK88" s="52" t="str">
        <f t="shared" si="155"/>
        <v>Domagoj</v>
      </c>
      <c r="AL88" s="31" t="str">
        <f t="shared" si="156"/>
        <v>Kavečić</v>
      </c>
      <c r="AM88" s="73">
        <f t="shared" si="157"/>
        <v>1921</v>
      </c>
      <c r="AN88" s="73" t="str">
        <f t="shared" si="158"/>
        <v/>
      </c>
      <c r="AO88" s="31" t="str">
        <f t="shared" si="118"/>
        <v>Domagoj</v>
      </c>
      <c r="AP88" s="66" t="str">
        <f t="shared" si="119"/>
        <v>Kavečić</v>
      </c>
      <c r="AQ88" s="47" t="s">
        <v>0</v>
      </c>
      <c r="AR88" s="82" t="str">
        <f t="shared" si="159"/>
        <v/>
      </c>
      <c r="AS88" s="47" t="s">
        <v>0</v>
      </c>
      <c r="AT88" s="19" t="str">
        <f t="shared" si="160"/>
        <v/>
      </c>
      <c r="AU88" s="47" t="s">
        <v>0</v>
      </c>
      <c r="AV88" s="103"/>
      <c r="AW88" s="105"/>
      <c r="AX88" s="47" t="s">
        <v>0</v>
      </c>
      <c r="AY88" s="259" t="str">
        <f t="shared" si="183"/>
        <v/>
      </c>
      <c r="AZ88" s="47" t="s">
        <v>0</v>
      </c>
      <c r="BA88" s="52" t="str">
        <f t="shared" si="120"/>
        <v/>
      </c>
      <c r="BB88" s="73" t="str">
        <f>IF(AV88&amp;AW88="","",MAX(BB$12:BB87)+1)</f>
        <v/>
      </c>
      <c r="BC88" s="272" t="str">
        <f t="shared" si="121"/>
        <v/>
      </c>
      <c r="BD88" s="53" t="str">
        <f>IF(AND(AM88="NEMA",AN88="NEMA",OR(AV88&amp;AW88="",BC88="NEMA")),MAX(BD$12:BD87)+1,"")</f>
        <v/>
      </c>
      <c r="BE88" s="47" t="s">
        <v>0</v>
      </c>
      <c r="BF88" s="52" t="str">
        <f t="shared" si="161"/>
        <v>Domagoj</v>
      </c>
      <c r="BG88" s="66" t="str">
        <f t="shared" si="162"/>
        <v>Kavečić</v>
      </c>
      <c r="BH88" s="47" t="s">
        <v>0</v>
      </c>
      <c r="BI88" s="52" t="str">
        <f t="shared" si="122"/>
        <v>Vihor</v>
      </c>
      <c r="BJ88" s="31" t="str">
        <f t="shared" si="123"/>
        <v>OK Vihor</v>
      </c>
      <c r="BK88" s="73" t="str">
        <f t="shared" si="124"/>
        <v/>
      </c>
      <c r="BL88" s="31" t="str" cm="1">
        <f t="array" ref="BL88">IF(BK88="",""&amp;BJ88,IF(BK88="NEMA",BJ88,INDEX(regKlub_naziv,MATCH(INDEX(regKlub_alias_klubId,BK88),regKlub_id,0))))</f>
        <v>OK Vihor</v>
      </c>
      <c r="BM88" s="31" t="str" cm="1">
        <f t="array" ref="BM88">IFERROR(""&amp;INDEX(regNatjecatelj_klub,DV88),"")</f>
        <v>OK Vihor</v>
      </c>
      <c r="BN88" s="73" t="str">
        <f t="shared" si="163"/>
        <v/>
      </c>
      <c r="BO88" s="66" t="str">
        <f t="shared" si="164"/>
        <v>OK Vihor</v>
      </c>
      <c r="BP88" s="47" t="s">
        <v>0</v>
      </c>
      <c r="BQ88" s="52" t="str">
        <f>IF(X88&lt;&gt;"NEMA","",IF(IFERROR(MATCH(W88,W$12:W87,0),0)&lt;&gt;0,"",W88))</f>
        <v/>
      </c>
      <c r="BR88" s="73" t="str">
        <f t="shared" si="165"/>
        <v/>
      </c>
      <c r="BS88" s="31" t="str">
        <f>IF(OR(BR88="",BR88&lt;&gt;"NEMA"),"",MAX(BS$12:BS87)+1)</f>
        <v/>
      </c>
      <c r="BT88" s="66" t="str">
        <f t="shared" si="166"/>
        <v/>
      </c>
      <c r="BU88" s="47" t="s">
        <v>0</v>
      </c>
      <c r="BV88" s="19" t="str">
        <f t="shared" si="167"/>
        <v/>
      </c>
      <c r="BW88" s="47" t="s">
        <v>0</v>
      </c>
      <c r="BX88" s="82" t="str">
        <f>IF(BK88&lt;&gt;"NEMA","",IF(IFERROR(MATCH(BJ88,BJ$12:BJ87,0),0)&lt;&gt;0,"",BJ88))</f>
        <v/>
      </c>
      <c r="BY88" s="47" t="s">
        <v>0</v>
      </c>
      <c r="BZ88" s="125"/>
      <c r="CA88" s="47" t="s">
        <v>0</v>
      </c>
      <c r="CB88" s="58" t="str">
        <f t="shared" si="168"/>
        <v/>
      </c>
      <c r="CC88" s="31" t="str">
        <f t="shared" si="169"/>
        <v/>
      </c>
      <c r="CD88" s="31" t="str">
        <f>IF(CC88="","",MAX(CD$12:CD87)+1)</f>
        <v/>
      </c>
      <c r="CE88" s="31" t="str">
        <f t="shared" si="125"/>
        <v/>
      </c>
      <c r="CF88" s="31" t="str">
        <f t="shared" si="170"/>
        <v/>
      </c>
      <c r="CG88" s="31" t="str">
        <f>IF(BZ88="","",MAX(CG$12:CG87)+1)</f>
        <v/>
      </c>
      <c r="CH88" s="31" t="str">
        <f t="shared" si="171"/>
        <v/>
      </c>
      <c r="CI88" s="66" t="str">
        <f t="shared" si="172"/>
        <v/>
      </c>
      <c r="CJ88" s="47" t="s">
        <v>0</v>
      </c>
      <c r="CK88" s="73" t="str">
        <f t="shared" si="126"/>
        <v/>
      </c>
      <c r="CL88" s="47"/>
      <c r="CM88" s="19" t="str">
        <f t="shared" si="173"/>
        <v/>
      </c>
      <c r="CN88" s="47" t="s">
        <v>0</v>
      </c>
      <c r="CO88" s="143" t="str">
        <f t="shared" si="174"/>
        <v>OK Vihor</v>
      </c>
      <c r="CP88" s="47" t="s">
        <v>0</v>
      </c>
      <c r="CQ88" s="58" t="str">
        <f t="shared" si="109"/>
        <v>93:45</v>
      </c>
      <c r="CR88" s="73" t="str">
        <f t="shared" si="110"/>
        <v>0</v>
      </c>
      <c r="CS88" s="229" t="str">
        <f t="shared" si="127"/>
        <v/>
      </c>
      <c r="CT88" s="230">
        <f t="shared" si="112"/>
        <v>5625</v>
      </c>
      <c r="CU88" s="163">
        <f t="shared" si="128"/>
        <v>1</v>
      </c>
      <c r="CV88" s="47" t="s">
        <v>0</v>
      </c>
      <c r="CW88" s="222" t="str">
        <f t="shared" si="175"/>
        <v xml:space="preserve">
</v>
      </c>
      <c r="CX88" s="223">
        <f t="shared" si="176"/>
        <v>6</v>
      </c>
      <c r="CY88" s="47" t="s">
        <v>0</v>
      </c>
      <c r="CZ88" s="47"/>
      <c r="DA88" s="47"/>
      <c r="DB88" s="47"/>
      <c r="DC88" s="47" t="s">
        <v>0</v>
      </c>
      <c r="DD88" s="53" t="str">
        <f t="shared" si="184"/>
        <v/>
      </c>
      <c r="DE88" t="s">
        <v>0</v>
      </c>
      <c r="DF88" s="128" t="str">
        <f t="shared" si="185"/>
        <v>M</v>
      </c>
      <c r="DG88" t="s">
        <v>0</v>
      </c>
      <c r="DH88" s="52" t="str">
        <f t="shared" si="186"/>
        <v/>
      </c>
      <c r="DI88" s="66" t="str">
        <f t="shared" si="187"/>
        <v/>
      </c>
      <c r="DJ88" t="s">
        <v>0</v>
      </c>
      <c r="DK88" s="19" t="str">
        <f t="shared" si="188"/>
        <v/>
      </c>
      <c r="DL88" s="47" t="s">
        <v>0</v>
      </c>
      <c r="DM88" s="19" t="str">
        <f t="shared" si="189"/>
        <v/>
      </c>
      <c r="DN88" s="47" t="s">
        <v>0</v>
      </c>
      <c r="DO88" s="52" t="str">
        <f t="shared" si="129"/>
        <v>Domagoj – Kavečić – OK Vihor – M21B</v>
      </c>
      <c r="DP88" s="53">
        <f t="shared" si="130"/>
        <v>734</v>
      </c>
      <c r="DQ88" s="47" t="s">
        <v>0</v>
      </c>
      <c r="DR88" s="52" t="str">
        <f t="shared" si="131"/>
        <v>Domagoj – Kavečić – OK Vihor</v>
      </c>
      <c r="DS88" s="53">
        <f t="shared" si="132"/>
        <v>734</v>
      </c>
      <c r="DT88" s="47" t="s">
        <v>0</v>
      </c>
      <c r="DU88" s="52" t="str">
        <f t="shared" si="133"/>
        <v>Domagoj – Kavečić</v>
      </c>
      <c r="DV88" s="53">
        <f t="shared" si="134"/>
        <v>734</v>
      </c>
      <c r="DW88" s="47" t="s">
        <v>0</v>
      </c>
      <c r="DX88" s="58">
        <f t="shared" si="177"/>
        <v>734</v>
      </c>
      <c r="DY88" s="53" cm="1">
        <f t="array" ref="DY88">IF(DX88&lt;&gt;"",INDEX(regNatjecatelj_id,DX88,0),IF(BD88&lt;&gt;"",BD88,""))</f>
        <v>1921</v>
      </c>
      <c r="DZ88" s="47" t="s">
        <v>0</v>
      </c>
      <c r="EA88" s="58" t="str">
        <f t="shared" si="135"/>
        <v>imepre</v>
      </c>
      <c r="EB88" s="73" t="str">
        <f t="shared" si="136"/>
        <v>klu</v>
      </c>
      <c r="EC88" s="73" t="str">
        <f t="shared" si="137"/>
        <v>kat</v>
      </c>
      <c r="ED88" s="73" t="str">
        <f t="shared" si="138"/>
        <v/>
      </c>
      <c r="EE88" s="66" t="str">
        <f t="shared" si="139"/>
        <v>imepre-klu-kat</v>
      </c>
      <c r="EF88" s="47" t="s">
        <v>0</v>
      </c>
      <c r="EG88" s="58">
        <f>IF(AL88="","",MAX(EG$12:EG87)+1)</f>
        <v>258</v>
      </c>
      <c r="EH88" s="73">
        <f t="shared" si="140"/>
        <v>28</v>
      </c>
      <c r="EI88" s="73">
        <f t="shared" si="178"/>
        <v>1921</v>
      </c>
      <c r="EJ88" s="73">
        <f t="shared" si="141"/>
        <v>5625</v>
      </c>
      <c r="EK88" s="73">
        <f t="shared" si="142"/>
        <v>1</v>
      </c>
      <c r="EL88" s="73">
        <f t="shared" si="179"/>
        <v>1</v>
      </c>
      <c r="EM88" s="73">
        <f t="shared" si="180"/>
        <v>1</v>
      </c>
      <c r="EN88" s="73" t="str">
        <f t="shared" si="143"/>
        <v>0</v>
      </c>
      <c r="EO88" s="73" t="str">
        <f t="shared" si="144"/>
        <v/>
      </c>
      <c r="EP88" s="73" t="str">
        <f t="shared" si="145"/>
        <v/>
      </c>
      <c r="EQ88" s="53" t="str">
        <f t="shared" si="146"/>
        <v/>
      </c>
      <c r="ER88" s="47" t="s">
        <v>0</v>
      </c>
      <c r="ES88" s="19" t="str">
        <f t="shared" si="181"/>
        <v>INSERT INTO rezultat(id,stazakategorija_id,imeprezime_id,vrijeme_sec,status_id,registracija,uparivanje_id,originalstatus_id,imeprezimealias_id,klubalias_id,kategorijaalias_id) VALUES (258,28,1921,5625,1,1,1,0,Null,Null,Null);</v>
      </c>
      <c r="ET88" s="47" t="s">
        <v>0</v>
      </c>
      <c r="EU88" s="19" t="str">
        <f t="shared" si="182"/>
        <v>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8" s="47" t="s">
        <v>0</v>
      </c>
      <c r="EW88" s="180" t="str">
        <f t="shared" si="147"/>
        <v xml:space="preserve">
INSERT INTO rezultat(id,stazakategorija_id,imeprezime_id,vrijeme_sec,status_id,registracija,uparivanje_id,originalstatus_id,imeprezimealias_id,klubalias_id,kategorijaalias_id) VALUES (258,28,1921,5625,1,1,1,0,Null,Null,Null);
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8" s="47" t="s">
        <v>0</v>
      </c>
    </row>
    <row r="89" spans="1:154" x14ac:dyDescent="0.25">
      <c r="A89" t="s">
        <v>0</v>
      </c>
      <c r="B89" s="52" t="str">
        <f>IF(csv!F79="","",csv!T79)</f>
        <v>M21B</v>
      </c>
      <c r="C89" s="31" t="s">
        <v>0</v>
      </c>
      <c r="D89" s="31" t="str">
        <f>IF(csv!F79="","",csv!F79)</f>
        <v>Karlo</v>
      </c>
      <c r="E89" s="31" t="str">
        <f>IF(csv!E79="","",csv!E79)</f>
        <v>Težak</v>
      </c>
      <c r="F89" s="31" t="s">
        <v>0</v>
      </c>
      <c r="G89" s="73" t="str">
        <f>IF(csv!M79="","",csv!M79)</f>
        <v>98:29</v>
      </c>
      <c r="H89" s="73" t="str">
        <f>IF(csv!N79="","",csv!N79)</f>
        <v>0</v>
      </c>
      <c r="I89" s="31" t="s">
        <v>0</v>
      </c>
      <c r="J89" s="31" t="str">
        <f>IF(csv!P79="","",csv!P79)</f>
        <v>Vihor</v>
      </c>
      <c r="K89" s="31" t="str">
        <f>IF(csv!Q79="","",csv!Q79)</f>
        <v>OK Vihor</v>
      </c>
      <c r="L89" s="31" t="s">
        <v>0</v>
      </c>
      <c r="M89" s="66" t="str">
        <f>IF(csv!R79="","",csv!R79)</f>
        <v>CRO</v>
      </c>
      <c r="N89" s="47" t="s">
        <v>0</v>
      </c>
      <c r="O89" s="246" t="str">
        <f t="shared" si="148"/>
        <v>ok</v>
      </c>
      <c r="P89" s="47"/>
      <c r="Q89" s="52" t="str">
        <f t="shared" si="149"/>
        <v>M21B</v>
      </c>
      <c r="R89" s="73">
        <f>IF(Q89="","",IF(COUNTIF(Q$12:Q88,Q89)=0,R88+1,R88))</f>
        <v>6</v>
      </c>
      <c r="S89" s="73">
        <f t="shared" si="150"/>
        <v>108</v>
      </c>
      <c r="T89" s="73">
        <f t="shared" si="113"/>
        <v>19</v>
      </c>
      <c r="U89" s="66" t="str">
        <f t="shared" si="114"/>
        <v>M21B – M16</v>
      </c>
      <c r="V89" s="47" t="s">
        <v>0</v>
      </c>
      <c r="W89" s="222" t="str">
        <f t="shared" si="115"/>
        <v>M21B</v>
      </c>
      <c r="X89" s="223">
        <f t="shared" si="116"/>
        <v>28</v>
      </c>
      <c r="Y89" s="47" t="s">
        <v>0</v>
      </c>
      <c r="Z89" s="52" t="str">
        <f t="shared" si="151"/>
        <v>CRO</v>
      </c>
      <c r="AA89" s="73">
        <f t="shared" si="117"/>
        <v>1</v>
      </c>
      <c r="AB89" s="31" t="str">
        <f t="shared" si="152"/>
        <v/>
      </c>
      <c r="AC89" s="66" t="str">
        <f>IF(AB89="","",MAX(AC$12:AC88)+1)</f>
        <v/>
      </c>
      <c r="AD89" s="47" t="s">
        <v>0</v>
      </c>
      <c r="AE89" s="125"/>
      <c r="AF89" s="47" t="s">
        <v>0</v>
      </c>
      <c r="AG89" s="19" t="str">
        <f t="shared" si="153"/>
        <v/>
      </c>
      <c r="AH89" s="47" t="s">
        <v>0</v>
      </c>
      <c r="AI89" s="143" t="str">
        <f t="shared" si="154"/>
        <v>CRO</v>
      </c>
      <c r="AJ89" s="47"/>
      <c r="AK89" s="52" t="str">
        <f t="shared" si="155"/>
        <v>Karlo</v>
      </c>
      <c r="AL89" s="31" t="str">
        <f t="shared" si="156"/>
        <v>Težak</v>
      </c>
      <c r="AM89" s="73">
        <f t="shared" si="157"/>
        <v>1114</v>
      </c>
      <c r="AN89" s="73" t="str">
        <f t="shared" si="158"/>
        <v/>
      </c>
      <c r="AO89" s="31" t="str">
        <f t="shared" si="118"/>
        <v>Karlo</v>
      </c>
      <c r="AP89" s="66" t="str">
        <f t="shared" si="119"/>
        <v>Težak</v>
      </c>
      <c r="AQ89" s="47" t="s">
        <v>0</v>
      </c>
      <c r="AR89" s="82" t="str">
        <f t="shared" si="159"/>
        <v/>
      </c>
      <c r="AS89" s="47" t="s">
        <v>0</v>
      </c>
      <c r="AT89" s="19" t="str">
        <f t="shared" si="160"/>
        <v/>
      </c>
      <c r="AU89" s="47" t="s">
        <v>0</v>
      </c>
      <c r="AV89" s="103"/>
      <c r="AW89" s="105"/>
      <c r="AX89" s="47" t="s">
        <v>0</v>
      </c>
      <c r="AY89" s="259" t="str">
        <f t="shared" si="183"/>
        <v/>
      </c>
      <c r="AZ89" s="47" t="s">
        <v>0</v>
      </c>
      <c r="BA89" s="52" t="str">
        <f t="shared" si="120"/>
        <v/>
      </c>
      <c r="BB89" s="73" t="str">
        <f>IF(AV89&amp;AW89="","",MAX(BB$12:BB88)+1)</f>
        <v/>
      </c>
      <c r="BC89" s="272" t="str">
        <f t="shared" si="121"/>
        <v/>
      </c>
      <c r="BD89" s="53" t="str">
        <f>IF(AND(AM89="NEMA",AN89="NEMA",OR(AV89&amp;AW89="",BC89="NEMA")),MAX(BD$12:BD88)+1,"")</f>
        <v/>
      </c>
      <c r="BE89" s="47" t="s">
        <v>0</v>
      </c>
      <c r="BF89" s="52" t="str">
        <f t="shared" si="161"/>
        <v>Karlo</v>
      </c>
      <c r="BG89" s="66" t="str">
        <f t="shared" si="162"/>
        <v>Težak</v>
      </c>
      <c r="BH89" s="47" t="s">
        <v>0</v>
      </c>
      <c r="BI89" s="52" t="str">
        <f t="shared" si="122"/>
        <v>Vihor</v>
      </c>
      <c r="BJ89" s="31" t="str">
        <f t="shared" si="123"/>
        <v>OK Vihor</v>
      </c>
      <c r="BK89" s="73" t="str">
        <f t="shared" si="124"/>
        <v/>
      </c>
      <c r="BL89" s="31" t="str" cm="1">
        <f t="array" ref="BL89">IF(BK89="",""&amp;BJ89,IF(BK89="NEMA",BJ89,INDEX(regKlub_naziv,MATCH(INDEX(regKlub_alias_klubId,BK89),regKlub_id,0))))</f>
        <v>OK Vihor</v>
      </c>
      <c r="BM89" s="31" t="str" cm="1">
        <f t="array" ref="BM89">IFERROR(""&amp;INDEX(regNatjecatelj_klub,DV89),"")</f>
        <v>OK Vihor</v>
      </c>
      <c r="BN89" s="73" t="str">
        <f t="shared" si="163"/>
        <v/>
      </c>
      <c r="BO89" s="66" t="str">
        <f t="shared" si="164"/>
        <v>OK Vihor</v>
      </c>
      <c r="BP89" s="47" t="s">
        <v>0</v>
      </c>
      <c r="BQ89" s="52" t="str">
        <f>IF(X89&lt;&gt;"NEMA","",IF(IFERROR(MATCH(W89,W$12:W88,0),0)&lt;&gt;0,"",W89))</f>
        <v/>
      </c>
      <c r="BR89" s="73" t="str">
        <f t="shared" si="165"/>
        <v/>
      </c>
      <c r="BS89" s="31" t="str">
        <f>IF(OR(BR89="",BR89&lt;&gt;"NEMA"),"",MAX(BS$12:BS88)+1)</f>
        <v/>
      </c>
      <c r="BT89" s="66" t="str">
        <f t="shared" si="166"/>
        <v/>
      </c>
      <c r="BU89" s="47" t="s">
        <v>0</v>
      </c>
      <c r="BV89" s="19" t="str">
        <f t="shared" si="167"/>
        <v/>
      </c>
      <c r="BW89" s="47" t="s">
        <v>0</v>
      </c>
      <c r="BX89" s="82" t="str">
        <f>IF(BK89&lt;&gt;"NEMA","",IF(IFERROR(MATCH(BJ89,BJ$12:BJ88,0),0)&lt;&gt;0,"",BJ89))</f>
        <v/>
      </c>
      <c r="BY89" s="47" t="s">
        <v>0</v>
      </c>
      <c r="BZ89" s="125"/>
      <c r="CA89" s="47" t="s">
        <v>0</v>
      </c>
      <c r="CB89" s="58" t="str">
        <f t="shared" si="168"/>
        <v/>
      </c>
      <c r="CC89" s="31" t="str">
        <f t="shared" si="169"/>
        <v/>
      </c>
      <c r="CD89" s="31" t="str">
        <f>IF(CC89="","",MAX(CD$12:CD88)+1)</f>
        <v/>
      </c>
      <c r="CE89" s="31" t="str">
        <f t="shared" si="125"/>
        <v/>
      </c>
      <c r="CF89" s="31" t="str">
        <f t="shared" si="170"/>
        <v/>
      </c>
      <c r="CG89" s="31" t="str">
        <f>IF(BZ89="","",MAX(CG$12:CG88)+1)</f>
        <v/>
      </c>
      <c r="CH89" s="31" t="str">
        <f t="shared" si="171"/>
        <v/>
      </c>
      <c r="CI89" s="66" t="str">
        <f t="shared" si="172"/>
        <v/>
      </c>
      <c r="CJ89" s="47" t="s">
        <v>0</v>
      </c>
      <c r="CK89" s="73" t="str">
        <f t="shared" si="126"/>
        <v/>
      </c>
      <c r="CL89" s="47"/>
      <c r="CM89" s="19" t="str">
        <f t="shared" si="173"/>
        <v/>
      </c>
      <c r="CN89" s="47" t="s">
        <v>0</v>
      </c>
      <c r="CO89" s="143" t="str">
        <f t="shared" si="174"/>
        <v>OK Vihor</v>
      </c>
      <c r="CP89" s="47" t="s">
        <v>0</v>
      </c>
      <c r="CQ89" s="58" t="str">
        <f t="shared" si="109"/>
        <v>98:29</v>
      </c>
      <c r="CR89" s="73" t="str">
        <f t="shared" si="110"/>
        <v>0</v>
      </c>
      <c r="CS89" s="229" t="str">
        <f t="shared" si="127"/>
        <v/>
      </c>
      <c r="CT89" s="230">
        <f t="shared" si="112"/>
        <v>5909</v>
      </c>
      <c r="CU89" s="163">
        <f t="shared" si="128"/>
        <v>1</v>
      </c>
      <c r="CV89" s="47" t="s">
        <v>0</v>
      </c>
      <c r="CW89" s="222" t="str">
        <f t="shared" si="175"/>
        <v xml:space="preserve">
</v>
      </c>
      <c r="CX89" s="223">
        <f t="shared" si="176"/>
        <v>6</v>
      </c>
      <c r="CY89" s="47" t="s">
        <v>0</v>
      </c>
      <c r="CZ89" s="47"/>
      <c r="DA89" s="47"/>
      <c r="DB89" s="47"/>
      <c r="DC89" s="47" t="s">
        <v>0</v>
      </c>
      <c r="DD89" s="53" t="str">
        <f t="shared" si="184"/>
        <v/>
      </c>
      <c r="DE89" t="s">
        <v>0</v>
      </c>
      <c r="DF89" s="128" t="str">
        <f t="shared" si="185"/>
        <v>M</v>
      </c>
      <c r="DG89" t="s">
        <v>0</v>
      </c>
      <c r="DH89" s="52" t="str">
        <f t="shared" si="186"/>
        <v/>
      </c>
      <c r="DI89" s="66" t="str">
        <f t="shared" si="187"/>
        <v/>
      </c>
      <c r="DJ89" t="s">
        <v>0</v>
      </c>
      <c r="DK89" s="19" t="str">
        <f t="shared" si="188"/>
        <v/>
      </c>
      <c r="DL89" s="47" t="s">
        <v>0</v>
      </c>
      <c r="DM89" s="19" t="str">
        <f t="shared" si="189"/>
        <v/>
      </c>
      <c r="DN89" s="47" t="s">
        <v>0</v>
      </c>
      <c r="DO89" s="52" t="str">
        <f t="shared" si="129"/>
        <v>Karlo – Težak – OK Vihor – M21B</v>
      </c>
      <c r="DP89" s="53">
        <f t="shared" si="130"/>
        <v>921</v>
      </c>
      <c r="DQ89" s="47" t="s">
        <v>0</v>
      </c>
      <c r="DR89" s="52" t="str">
        <f t="shared" si="131"/>
        <v>Karlo – Težak – OK Vihor</v>
      </c>
      <c r="DS89" s="53">
        <f t="shared" si="132"/>
        <v>921</v>
      </c>
      <c r="DT89" s="47" t="s">
        <v>0</v>
      </c>
      <c r="DU89" s="52" t="str">
        <f t="shared" si="133"/>
        <v>Karlo – Težak</v>
      </c>
      <c r="DV89" s="53">
        <f t="shared" si="134"/>
        <v>921</v>
      </c>
      <c r="DW89" s="47" t="s">
        <v>0</v>
      </c>
      <c r="DX89" s="58">
        <f t="shared" si="177"/>
        <v>921</v>
      </c>
      <c r="DY89" s="53" cm="1">
        <f t="array" ref="DY89">IF(DX89&lt;&gt;"",INDEX(regNatjecatelj_id,DX89,0),IF(BD89&lt;&gt;"",BD89,""))</f>
        <v>1114</v>
      </c>
      <c r="DZ89" s="47" t="s">
        <v>0</v>
      </c>
      <c r="EA89" s="58" t="str">
        <f t="shared" si="135"/>
        <v>imepre</v>
      </c>
      <c r="EB89" s="73" t="str">
        <f t="shared" si="136"/>
        <v>klu</v>
      </c>
      <c r="EC89" s="73" t="str">
        <f t="shared" si="137"/>
        <v>kat</v>
      </c>
      <c r="ED89" s="73" t="str">
        <f t="shared" si="138"/>
        <v/>
      </c>
      <c r="EE89" s="66" t="str">
        <f t="shared" si="139"/>
        <v>imepre-klu-kat</v>
      </c>
      <c r="EF89" s="47" t="s">
        <v>0</v>
      </c>
      <c r="EG89" s="58">
        <f>IF(AL89="","",MAX(EG$12:EG88)+1)</f>
        <v>259</v>
      </c>
      <c r="EH89" s="73">
        <f t="shared" si="140"/>
        <v>28</v>
      </c>
      <c r="EI89" s="73">
        <f t="shared" si="178"/>
        <v>1114</v>
      </c>
      <c r="EJ89" s="73">
        <f t="shared" si="141"/>
        <v>5909</v>
      </c>
      <c r="EK89" s="73">
        <f t="shared" si="142"/>
        <v>1</v>
      </c>
      <c r="EL89" s="73">
        <f t="shared" si="179"/>
        <v>1</v>
      </c>
      <c r="EM89" s="73">
        <f t="shared" si="180"/>
        <v>1</v>
      </c>
      <c r="EN89" s="73" t="str">
        <f t="shared" si="143"/>
        <v>0</v>
      </c>
      <c r="EO89" s="73" t="str">
        <f t="shared" si="144"/>
        <v/>
      </c>
      <c r="EP89" s="73" t="str">
        <f t="shared" si="145"/>
        <v/>
      </c>
      <c r="EQ89" s="53" t="str">
        <f t="shared" si="146"/>
        <v/>
      </c>
      <c r="ER89" s="47" t="s">
        <v>0</v>
      </c>
      <c r="ES89" s="19" t="str">
        <f t="shared" si="181"/>
        <v>INSERT INTO rezultat(id,stazakategorija_id,imeprezime_id,vrijeme_sec,status_id,registracija,uparivanje_id,originalstatus_id,imeprezimealias_id,klubalias_id,kategorijaalias_id) VALUES (259,28,1114,5909,1,1,1,0,Null,Null,Null);</v>
      </c>
      <c r="ET89" s="47" t="s">
        <v>0</v>
      </c>
      <c r="EU89" s="19" t="str">
        <f t="shared" si="182"/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9" s="47" t="s">
        <v>0</v>
      </c>
      <c r="EW89" s="180" t="str">
        <f t="shared" si="147"/>
        <v xml:space="preserve">
INSERT INTO rezultat(id,stazakategorija_id,imeprezime_id,vrijeme_sec,status_id,registracija,uparivanje_id,originalstatus_id,imeprezimealias_id,klubalias_id,kategorijaalias_id) VALUES (259,28,1114,5909,1,1,1,0,Null,Null,Null);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9" s="47" t="s">
        <v>0</v>
      </c>
    </row>
    <row r="90" spans="1:154" x14ac:dyDescent="0.25">
      <c r="A90" t="s">
        <v>0</v>
      </c>
      <c r="B90" s="52" t="str">
        <f>IF(csv!F80="","",csv!T80)</f>
        <v>M21B</v>
      </c>
      <c r="C90" s="31" t="s">
        <v>0</v>
      </c>
      <c r="D90" s="31" t="str">
        <f>IF(csv!F80="","",csv!F80)</f>
        <v>Vjekoslav</v>
      </c>
      <c r="E90" s="31" t="str">
        <f>IF(csv!E80="","",csv!E80)</f>
        <v>Klarić</v>
      </c>
      <c r="F90" s="31" t="s">
        <v>0</v>
      </c>
      <c r="G90" s="73" t="str">
        <f>IF(csv!M80="","",csv!M80)</f>
        <v>99:32</v>
      </c>
      <c r="H90" s="73" t="str">
        <f>IF(csv!N80="","",csv!N80)</f>
        <v>0</v>
      </c>
      <c r="I90" s="31" t="s">
        <v>0</v>
      </c>
      <c r="J90" s="31" t="str">
        <f>IF(csv!P80="","",csv!P80)</f>
        <v>KAP</v>
      </c>
      <c r="K90" s="31" t="str">
        <f>IF(csv!Q80="","",csv!Q80)</f>
        <v>OK Kapela</v>
      </c>
      <c r="L90" s="31" t="s">
        <v>0</v>
      </c>
      <c r="M90" s="66" t="str">
        <f>IF(csv!R80="","",csv!R80)</f>
        <v>CRO</v>
      </c>
      <c r="N90" s="47" t="s">
        <v>0</v>
      </c>
      <c r="O90" s="246" t="str">
        <f t="shared" si="148"/>
        <v>ok</v>
      </c>
      <c r="P90" s="47"/>
      <c r="Q90" s="52" t="str">
        <f t="shared" si="149"/>
        <v>M21B</v>
      </c>
      <c r="R90" s="73">
        <f>IF(Q90="","",IF(COUNTIF(Q$12:Q89,Q90)=0,R89+1,R89))</f>
        <v>6</v>
      </c>
      <c r="S90" s="73">
        <f t="shared" si="150"/>
        <v>108</v>
      </c>
      <c r="T90" s="73">
        <f t="shared" si="113"/>
        <v>19</v>
      </c>
      <c r="U90" s="66" t="str">
        <f t="shared" si="114"/>
        <v>M21B – M16</v>
      </c>
      <c r="V90" s="47" t="s">
        <v>0</v>
      </c>
      <c r="W90" s="222" t="str">
        <f t="shared" si="115"/>
        <v>M21B</v>
      </c>
      <c r="X90" s="223">
        <f t="shared" si="116"/>
        <v>28</v>
      </c>
      <c r="Y90" s="47" t="s">
        <v>0</v>
      </c>
      <c r="Z90" s="52" t="str">
        <f t="shared" si="151"/>
        <v>CRO</v>
      </c>
      <c r="AA90" s="73">
        <f t="shared" si="117"/>
        <v>1</v>
      </c>
      <c r="AB90" s="31" t="str">
        <f t="shared" si="152"/>
        <v/>
      </c>
      <c r="AC90" s="66" t="str">
        <f>IF(AB90="","",MAX(AC$12:AC89)+1)</f>
        <v/>
      </c>
      <c r="AD90" s="47" t="s">
        <v>0</v>
      </c>
      <c r="AE90" s="125"/>
      <c r="AF90" s="47" t="s">
        <v>0</v>
      </c>
      <c r="AG90" s="19" t="str">
        <f t="shared" si="153"/>
        <v/>
      </c>
      <c r="AH90" s="47" t="s">
        <v>0</v>
      </c>
      <c r="AI90" s="143" t="str">
        <f t="shared" si="154"/>
        <v>CRO</v>
      </c>
      <c r="AJ90" s="47"/>
      <c r="AK90" s="52" t="str">
        <f t="shared" si="155"/>
        <v>Vjekoslav</v>
      </c>
      <c r="AL90" s="31" t="str">
        <f t="shared" si="156"/>
        <v>Klarić</v>
      </c>
      <c r="AM90" s="73">
        <f t="shared" si="157"/>
        <v>1871</v>
      </c>
      <c r="AN90" s="73" t="str">
        <f t="shared" si="158"/>
        <v/>
      </c>
      <c r="AO90" s="31" t="str">
        <f t="shared" si="118"/>
        <v>Vjekoslav</v>
      </c>
      <c r="AP90" s="66" t="str">
        <f t="shared" si="119"/>
        <v>Klarić</v>
      </c>
      <c r="AQ90" s="47" t="s">
        <v>0</v>
      </c>
      <c r="AR90" s="82" t="str">
        <f t="shared" si="159"/>
        <v/>
      </c>
      <c r="AS90" s="47" t="s">
        <v>0</v>
      </c>
      <c r="AT90" s="19" t="str">
        <f t="shared" si="160"/>
        <v/>
      </c>
      <c r="AU90" s="47" t="s">
        <v>0</v>
      </c>
      <c r="AV90" s="103"/>
      <c r="AW90" s="105"/>
      <c r="AX90" s="47" t="s">
        <v>0</v>
      </c>
      <c r="AY90" s="259" t="str">
        <f t="shared" si="183"/>
        <v/>
      </c>
      <c r="AZ90" s="47" t="s">
        <v>0</v>
      </c>
      <c r="BA90" s="52" t="str">
        <f t="shared" si="120"/>
        <v/>
      </c>
      <c r="BB90" s="73" t="str">
        <f>IF(AV90&amp;AW90="","",MAX(BB$12:BB89)+1)</f>
        <v/>
      </c>
      <c r="BC90" s="272" t="str">
        <f t="shared" si="121"/>
        <v/>
      </c>
      <c r="BD90" s="53" t="str">
        <f>IF(AND(AM90="NEMA",AN90="NEMA",OR(AV90&amp;AW90="",BC90="NEMA")),MAX(BD$12:BD89)+1,"")</f>
        <v/>
      </c>
      <c r="BE90" s="47" t="s">
        <v>0</v>
      </c>
      <c r="BF90" s="52" t="str">
        <f t="shared" si="161"/>
        <v>Vjekoslav</v>
      </c>
      <c r="BG90" s="66" t="str">
        <f t="shared" si="162"/>
        <v>Klarić</v>
      </c>
      <c r="BH90" s="47" t="s">
        <v>0</v>
      </c>
      <c r="BI90" s="52" t="str">
        <f t="shared" si="122"/>
        <v>KAP</v>
      </c>
      <c r="BJ90" s="31" t="str">
        <f t="shared" si="123"/>
        <v>OK Kapela</v>
      </c>
      <c r="BK90" s="73" t="str">
        <f t="shared" si="124"/>
        <v/>
      </c>
      <c r="BL90" s="31" t="str" cm="1">
        <f t="array" ref="BL90">IF(BK90="",""&amp;BJ90,IF(BK90="NEMA",BJ90,INDEX(regKlub_naziv,MATCH(INDEX(regKlub_alias_klubId,BK90),regKlub_id,0))))</f>
        <v>OK Kapela</v>
      </c>
      <c r="BM90" s="31" t="str" cm="1">
        <f t="array" ref="BM90">IFERROR(""&amp;INDEX(regNatjecatelj_klub,DV90),"")</f>
        <v>OK Kapela</v>
      </c>
      <c r="BN90" s="73" t="str">
        <f t="shared" si="163"/>
        <v/>
      </c>
      <c r="BO90" s="66" t="str">
        <f t="shared" si="164"/>
        <v>OK Kapela</v>
      </c>
      <c r="BP90" s="47" t="s">
        <v>0</v>
      </c>
      <c r="BQ90" s="52" t="str">
        <f>IF(X90&lt;&gt;"NEMA","",IF(IFERROR(MATCH(W90,W$12:W89,0),0)&lt;&gt;0,"",W90))</f>
        <v/>
      </c>
      <c r="BR90" s="73" t="str">
        <f t="shared" si="165"/>
        <v/>
      </c>
      <c r="BS90" s="31" t="str">
        <f>IF(OR(BR90="",BR90&lt;&gt;"NEMA"),"",MAX(BS$12:BS89)+1)</f>
        <v/>
      </c>
      <c r="BT90" s="66" t="str">
        <f t="shared" si="166"/>
        <v/>
      </c>
      <c r="BU90" s="47" t="s">
        <v>0</v>
      </c>
      <c r="BV90" s="19" t="str">
        <f t="shared" si="167"/>
        <v/>
      </c>
      <c r="BW90" s="47" t="s">
        <v>0</v>
      </c>
      <c r="BX90" s="82" t="str">
        <f>IF(BK90&lt;&gt;"NEMA","",IF(IFERROR(MATCH(BJ90,BJ$12:BJ89,0),0)&lt;&gt;0,"",BJ90))</f>
        <v/>
      </c>
      <c r="BY90" s="47" t="s">
        <v>0</v>
      </c>
      <c r="BZ90" s="125"/>
      <c r="CA90" s="47" t="s">
        <v>0</v>
      </c>
      <c r="CB90" s="58" t="str">
        <f t="shared" si="168"/>
        <v/>
      </c>
      <c r="CC90" s="31" t="str">
        <f t="shared" si="169"/>
        <v/>
      </c>
      <c r="CD90" s="31" t="str">
        <f>IF(CC90="","",MAX(CD$12:CD89)+1)</f>
        <v/>
      </c>
      <c r="CE90" s="31" t="str">
        <f t="shared" si="125"/>
        <v/>
      </c>
      <c r="CF90" s="31" t="str">
        <f t="shared" si="170"/>
        <v/>
      </c>
      <c r="CG90" s="31" t="str">
        <f>IF(BZ90="","",MAX(CG$12:CG89)+1)</f>
        <v/>
      </c>
      <c r="CH90" s="31" t="str">
        <f t="shared" si="171"/>
        <v/>
      </c>
      <c r="CI90" s="66" t="str">
        <f t="shared" si="172"/>
        <v/>
      </c>
      <c r="CJ90" s="47" t="s">
        <v>0</v>
      </c>
      <c r="CK90" s="73" t="str">
        <f t="shared" si="126"/>
        <v/>
      </c>
      <c r="CL90" s="47"/>
      <c r="CM90" s="19" t="str">
        <f t="shared" si="173"/>
        <v/>
      </c>
      <c r="CN90" s="47" t="s">
        <v>0</v>
      </c>
      <c r="CO90" s="143" t="str">
        <f t="shared" si="174"/>
        <v>OK Kapela</v>
      </c>
      <c r="CP90" s="47" t="s">
        <v>0</v>
      </c>
      <c r="CQ90" s="58" t="str">
        <f t="shared" si="109"/>
        <v>99:32</v>
      </c>
      <c r="CR90" s="73" t="str">
        <f t="shared" si="110"/>
        <v>0</v>
      </c>
      <c r="CS90" s="229" t="str">
        <f t="shared" si="127"/>
        <v/>
      </c>
      <c r="CT90" s="230">
        <f t="shared" si="112"/>
        <v>5972</v>
      </c>
      <c r="CU90" s="163">
        <f t="shared" si="128"/>
        <v>1</v>
      </c>
      <c r="CV90" s="47" t="s">
        <v>0</v>
      </c>
      <c r="CW90" s="222" t="str">
        <f t="shared" si="175"/>
        <v xml:space="preserve">
</v>
      </c>
      <c r="CX90" s="223">
        <f t="shared" si="176"/>
        <v>6</v>
      </c>
      <c r="CY90" s="47" t="s">
        <v>0</v>
      </c>
      <c r="CZ90" s="47"/>
      <c r="DA90" s="47"/>
      <c r="DB90" s="47"/>
      <c r="DC90" s="47" t="s">
        <v>0</v>
      </c>
      <c r="DD90" s="53" t="str">
        <f t="shared" si="184"/>
        <v/>
      </c>
      <c r="DE90" t="s">
        <v>0</v>
      </c>
      <c r="DF90" s="128" t="str">
        <f t="shared" si="185"/>
        <v>M</v>
      </c>
      <c r="DG90" t="s">
        <v>0</v>
      </c>
      <c r="DH90" s="52" t="str">
        <f t="shared" si="186"/>
        <v/>
      </c>
      <c r="DI90" s="66" t="str">
        <f t="shared" si="187"/>
        <v/>
      </c>
      <c r="DJ90" t="s">
        <v>0</v>
      </c>
      <c r="DK90" s="19" t="str">
        <f t="shared" si="188"/>
        <v/>
      </c>
      <c r="DL90" s="47" t="s">
        <v>0</v>
      </c>
      <c r="DM90" s="19" t="str">
        <f t="shared" si="189"/>
        <v/>
      </c>
      <c r="DN90" s="47" t="s">
        <v>0</v>
      </c>
      <c r="DO90" s="52" t="str">
        <f t="shared" si="129"/>
        <v>Vjekoslav – Klarić – OK Kapela – M21B</v>
      </c>
      <c r="DP90" s="53">
        <f t="shared" si="130"/>
        <v>266</v>
      </c>
      <c r="DQ90" s="47" t="s">
        <v>0</v>
      </c>
      <c r="DR90" s="52" t="str">
        <f t="shared" si="131"/>
        <v>Vjekoslav – Klarić – OK Kapela</v>
      </c>
      <c r="DS90" s="53">
        <f t="shared" si="132"/>
        <v>266</v>
      </c>
      <c r="DT90" s="47" t="s">
        <v>0</v>
      </c>
      <c r="DU90" s="52" t="str">
        <f t="shared" si="133"/>
        <v>Vjekoslav – Klarić</v>
      </c>
      <c r="DV90" s="53">
        <f t="shared" si="134"/>
        <v>266</v>
      </c>
      <c r="DW90" s="47" t="s">
        <v>0</v>
      </c>
      <c r="DX90" s="58">
        <f t="shared" si="177"/>
        <v>266</v>
      </c>
      <c r="DY90" s="53" cm="1">
        <f t="array" ref="DY90">IF(DX90&lt;&gt;"",INDEX(regNatjecatelj_id,DX90,0),IF(BD90&lt;&gt;"",BD90,""))</f>
        <v>1871</v>
      </c>
      <c r="DZ90" s="47" t="s">
        <v>0</v>
      </c>
      <c r="EA90" s="58" t="str">
        <f t="shared" si="135"/>
        <v>imepre</v>
      </c>
      <c r="EB90" s="73" t="str">
        <f t="shared" si="136"/>
        <v>klu</v>
      </c>
      <c r="EC90" s="73" t="str">
        <f t="shared" si="137"/>
        <v>kat</v>
      </c>
      <c r="ED90" s="73" t="str">
        <f t="shared" si="138"/>
        <v/>
      </c>
      <c r="EE90" s="66" t="str">
        <f t="shared" si="139"/>
        <v>imepre-klu-kat</v>
      </c>
      <c r="EF90" s="47" t="s">
        <v>0</v>
      </c>
      <c r="EG90" s="58">
        <f>IF(AL90="","",MAX(EG$12:EG89)+1)</f>
        <v>260</v>
      </c>
      <c r="EH90" s="73">
        <f t="shared" si="140"/>
        <v>28</v>
      </c>
      <c r="EI90" s="73">
        <f t="shared" si="178"/>
        <v>1871</v>
      </c>
      <c r="EJ90" s="73">
        <f t="shared" si="141"/>
        <v>5972</v>
      </c>
      <c r="EK90" s="73">
        <f t="shared" si="142"/>
        <v>1</v>
      </c>
      <c r="EL90" s="73">
        <f t="shared" si="179"/>
        <v>1</v>
      </c>
      <c r="EM90" s="73">
        <f t="shared" si="180"/>
        <v>1</v>
      </c>
      <c r="EN90" s="73" t="str">
        <f t="shared" si="143"/>
        <v>0</v>
      </c>
      <c r="EO90" s="73" t="str">
        <f t="shared" si="144"/>
        <v/>
      </c>
      <c r="EP90" s="73" t="str">
        <f t="shared" si="145"/>
        <v/>
      </c>
      <c r="EQ90" s="53" t="str">
        <f t="shared" si="146"/>
        <v/>
      </c>
      <c r="ER90" s="47" t="s">
        <v>0</v>
      </c>
      <c r="ES90" s="19" t="str">
        <f t="shared" si="181"/>
        <v>INSERT INTO rezultat(id,stazakategorija_id,imeprezime_id,vrijeme_sec,status_id,registracija,uparivanje_id,originalstatus_id,imeprezimealias_id,klubalias_id,kategorijaalias_id) VALUES (260,28,1871,5972,1,1,1,0,Null,Null,Null);</v>
      </c>
      <c r="ET90" s="47" t="s">
        <v>0</v>
      </c>
      <c r="EU90" s="19" t="str">
        <f t="shared" si="182"/>
        <v>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0" s="47" t="s">
        <v>0</v>
      </c>
      <c r="EW90" s="180" t="str">
        <f t="shared" si="147"/>
        <v xml:space="preserve">
INSERT INTO rezultat(id,stazakategorija_id,imeprezime_id,vrijeme_sec,status_id,registracija,uparivanje_id,originalstatus_id,imeprezimealias_id,klubalias_id,kategorijaalias_id) VALUES (260,28,1871,5972,1,1,1,0,Null,Null,Null);
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0" s="47" t="s">
        <v>0</v>
      </c>
    </row>
    <row r="91" spans="1:154" x14ac:dyDescent="0.25">
      <c r="A91" t="s">
        <v>0</v>
      </c>
      <c r="B91" s="52" t="str">
        <f>IF(csv!F81="","",csv!T81)</f>
        <v>M21B</v>
      </c>
      <c r="C91" s="31" t="s">
        <v>0</v>
      </c>
      <c r="D91" s="31" t="str">
        <f>IF(csv!F81="","",csv!F81)</f>
        <v>Dario</v>
      </c>
      <c r="E91" s="31" t="str">
        <f>IF(csv!E81="","",csv!E81)</f>
        <v>Malović</v>
      </c>
      <c r="F91" s="31" t="s">
        <v>0</v>
      </c>
      <c r="G91" s="73" t="str">
        <f>IF(csv!M81="","",csv!M81)</f>
        <v>99:52</v>
      </c>
      <c r="H91" s="73" t="str">
        <f>IF(csv!N81="","",csv!N81)</f>
        <v>0</v>
      </c>
      <c r="I91" s="31" t="s">
        <v>0</v>
      </c>
      <c r="J91" s="31" t="str">
        <f>IF(csv!P81="","",csv!P81)</f>
        <v>Vihor</v>
      </c>
      <c r="K91" s="31" t="str">
        <f>IF(csv!Q81="","",csv!Q81)</f>
        <v>OK Vihor</v>
      </c>
      <c r="L91" s="31" t="s">
        <v>0</v>
      </c>
      <c r="M91" s="66" t="str">
        <f>IF(csv!R81="","",csv!R81)</f>
        <v>CRO</v>
      </c>
      <c r="N91" s="47" t="s">
        <v>0</v>
      </c>
      <c r="O91" s="246" t="str">
        <f t="shared" si="148"/>
        <v>ok</v>
      </c>
      <c r="P91" s="47"/>
      <c r="Q91" s="52" t="str">
        <f t="shared" si="149"/>
        <v>M21B</v>
      </c>
      <c r="R91" s="73">
        <f>IF(Q91="","",IF(COUNTIF(Q$12:Q90,Q91)=0,R90+1,R90))</f>
        <v>6</v>
      </c>
      <c r="S91" s="73">
        <f t="shared" si="150"/>
        <v>108</v>
      </c>
      <c r="T91" s="73">
        <f t="shared" si="113"/>
        <v>19</v>
      </c>
      <c r="U91" s="66" t="str">
        <f t="shared" si="114"/>
        <v>M21B – M16</v>
      </c>
      <c r="V91" s="47" t="s">
        <v>0</v>
      </c>
      <c r="W91" s="222" t="str">
        <f t="shared" si="115"/>
        <v>M21B</v>
      </c>
      <c r="X91" s="223">
        <f t="shared" si="116"/>
        <v>28</v>
      </c>
      <c r="Y91" s="47" t="s">
        <v>0</v>
      </c>
      <c r="Z91" s="52" t="str">
        <f t="shared" si="151"/>
        <v>CRO</v>
      </c>
      <c r="AA91" s="73">
        <f t="shared" si="117"/>
        <v>1</v>
      </c>
      <c r="AB91" s="31" t="str">
        <f t="shared" si="152"/>
        <v/>
      </c>
      <c r="AC91" s="66" t="str">
        <f>IF(AB91="","",MAX(AC$12:AC90)+1)</f>
        <v/>
      </c>
      <c r="AD91" s="47" t="s">
        <v>0</v>
      </c>
      <c r="AE91" s="125"/>
      <c r="AF91" s="47" t="s">
        <v>0</v>
      </c>
      <c r="AG91" s="19" t="str">
        <f t="shared" si="153"/>
        <v/>
      </c>
      <c r="AH91" s="47" t="s">
        <v>0</v>
      </c>
      <c r="AI91" s="143" t="str">
        <f t="shared" si="154"/>
        <v>CRO</v>
      </c>
      <c r="AJ91" s="47"/>
      <c r="AK91" s="52" t="str">
        <f t="shared" si="155"/>
        <v>Dario</v>
      </c>
      <c r="AL91" s="31" t="str">
        <f t="shared" si="156"/>
        <v>Malović</v>
      </c>
      <c r="AM91" s="73">
        <f t="shared" si="157"/>
        <v>1900</v>
      </c>
      <c r="AN91" s="73" t="str">
        <f t="shared" si="158"/>
        <v/>
      </c>
      <c r="AO91" s="31" t="str">
        <f t="shared" si="118"/>
        <v>Dario</v>
      </c>
      <c r="AP91" s="66" t="str">
        <f t="shared" si="119"/>
        <v>Malović</v>
      </c>
      <c r="AQ91" s="47" t="s">
        <v>0</v>
      </c>
      <c r="AR91" s="82" t="str">
        <f t="shared" si="159"/>
        <v/>
      </c>
      <c r="AS91" s="47" t="s">
        <v>0</v>
      </c>
      <c r="AT91" s="19" t="str">
        <f t="shared" si="160"/>
        <v/>
      </c>
      <c r="AU91" s="47" t="s">
        <v>0</v>
      </c>
      <c r="AV91" s="103"/>
      <c r="AW91" s="105"/>
      <c r="AX91" s="47" t="s">
        <v>0</v>
      </c>
      <c r="AY91" s="259" t="str">
        <f t="shared" si="183"/>
        <v/>
      </c>
      <c r="AZ91" s="47" t="s">
        <v>0</v>
      </c>
      <c r="BA91" s="52" t="str">
        <f t="shared" si="120"/>
        <v/>
      </c>
      <c r="BB91" s="73" t="str">
        <f>IF(AV91&amp;AW91="","",MAX(BB$12:BB90)+1)</f>
        <v/>
      </c>
      <c r="BC91" s="272" t="str">
        <f t="shared" si="121"/>
        <v/>
      </c>
      <c r="BD91" s="53" t="str">
        <f>IF(AND(AM91="NEMA",AN91="NEMA",OR(AV91&amp;AW91="",BC91="NEMA")),MAX(BD$12:BD90)+1,"")</f>
        <v/>
      </c>
      <c r="BE91" s="47" t="s">
        <v>0</v>
      </c>
      <c r="BF91" s="52" t="str">
        <f t="shared" si="161"/>
        <v>Dario</v>
      </c>
      <c r="BG91" s="66" t="str">
        <f t="shared" si="162"/>
        <v>Malović</v>
      </c>
      <c r="BH91" s="47" t="s">
        <v>0</v>
      </c>
      <c r="BI91" s="52" t="str">
        <f t="shared" si="122"/>
        <v>Vihor</v>
      </c>
      <c r="BJ91" s="31" t="str">
        <f t="shared" si="123"/>
        <v>OK Vihor</v>
      </c>
      <c r="BK91" s="73" t="str">
        <f t="shared" si="124"/>
        <v/>
      </c>
      <c r="BL91" s="31" t="str" cm="1">
        <f t="array" ref="BL91">IF(BK91="",""&amp;BJ91,IF(BK91="NEMA",BJ91,INDEX(regKlub_naziv,MATCH(INDEX(regKlub_alias_klubId,BK91),regKlub_id,0))))</f>
        <v>OK Vihor</v>
      </c>
      <c r="BM91" s="31" t="str" cm="1">
        <f t="array" ref="BM91">IFERROR(""&amp;INDEX(regNatjecatelj_klub,DV91),"")</f>
        <v>OK Vihor</v>
      </c>
      <c r="BN91" s="73" t="str">
        <f t="shared" si="163"/>
        <v/>
      </c>
      <c r="BO91" s="66" t="str">
        <f t="shared" si="164"/>
        <v>OK Vihor</v>
      </c>
      <c r="BP91" s="47" t="s">
        <v>0</v>
      </c>
      <c r="BQ91" s="52" t="str">
        <f>IF(X91&lt;&gt;"NEMA","",IF(IFERROR(MATCH(W91,W$12:W90,0),0)&lt;&gt;0,"",W91))</f>
        <v/>
      </c>
      <c r="BR91" s="73" t="str">
        <f t="shared" si="165"/>
        <v/>
      </c>
      <c r="BS91" s="31" t="str">
        <f>IF(OR(BR91="",BR91&lt;&gt;"NEMA"),"",MAX(BS$12:BS90)+1)</f>
        <v/>
      </c>
      <c r="BT91" s="66" t="str">
        <f t="shared" si="166"/>
        <v/>
      </c>
      <c r="BU91" s="47" t="s">
        <v>0</v>
      </c>
      <c r="BV91" s="19" t="str">
        <f t="shared" si="167"/>
        <v/>
      </c>
      <c r="BW91" s="47" t="s">
        <v>0</v>
      </c>
      <c r="BX91" s="82" t="str">
        <f>IF(BK91&lt;&gt;"NEMA","",IF(IFERROR(MATCH(BJ91,BJ$12:BJ90,0),0)&lt;&gt;0,"",BJ91))</f>
        <v/>
      </c>
      <c r="BY91" s="47" t="s">
        <v>0</v>
      </c>
      <c r="BZ91" s="125"/>
      <c r="CA91" s="47" t="s">
        <v>0</v>
      </c>
      <c r="CB91" s="58" t="str">
        <f t="shared" si="168"/>
        <v/>
      </c>
      <c r="CC91" s="31" t="str">
        <f t="shared" si="169"/>
        <v/>
      </c>
      <c r="CD91" s="31" t="str">
        <f>IF(CC91="","",MAX(CD$12:CD90)+1)</f>
        <v/>
      </c>
      <c r="CE91" s="31" t="str">
        <f t="shared" si="125"/>
        <v/>
      </c>
      <c r="CF91" s="31" t="str">
        <f t="shared" si="170"/>
        <v/>
      </c>
      <c r="CG91" s="31" t="str">
        <f>IF(BZ91="","",MAX(CG$12:CG90)+1)</f>
        <v/>
      </c>
      <c r="CH91" s="31" t="str">
        <f t="shared" si="171"/>
        <v/>
      </c>
      <c r="CI91" s="66" t="str">
        <f t="shared" si="172"/>
        <v/>
      </c>
      <c r="CJ91" s="47" t="s">
        <v>0</v>
      </c>
      <c r="CK91" s="73" t="str">
        <f t="shared" si="126"/>
        <v/>
      </c>
      <c r="CL91" s="47"/>
      <c r="CM91" s="19" t="str">
        <f t="shared" si="173"/>
        <v/>
      </c>
      <c r="CN91" s="47" t="s">
        <v>0</v>
      </c>
      <c r="CO91" s="143" t="str">
        <f t="shared" si="174"/>
        <v>OK Vihor</v>
      </c>
      <c r="CP91" s="47" t="s">
        <v>0</v>
      </c>
      <c r="CQ91" s="58" t="str">
        <f t="shared" si="109"/>
        <v>99:52</v>
      </c>
      <c r="CR91" s="73" t="str">
        <f t="shared" si="110"/>
        <v>0</v>
      </c>
      <c r="CS91" s="229" t="str">
        <f t="shared" si="127"/>
        <v/>
      </c>
      <c r="CT91" s="230">
        <f t="shared" si="112"/>
        <v>5992</v>
      </c>
      <c r="CU91" s="163">
        <f t="shared" si="128"/>
        <v>1</v>
      </c>
      <c r="CV91" s="47" t="s">
        <v>0</v>
      </c>
      <c r="CW91" s="222" t="str">
        <f t="shared" si="175"/>
        <v xml:space="preserve">
</v>
      </c>
      <c r="CX91" s="223">
        <f t="shared" si="176"/>
        <v>6</v>
      </c>
      <c r="CY91" s="47" t="s">
        <v>0</v>
      </c>
      <c r="CZ91" s="47"/>
      <c r="DA91" s="47"/>
      <c r="DB91" s="47"/>
      <c r="DC91" s="47" t="s">
        <v>0</v>
      </c>
      <c r="DD91" s="53" t="str">
        <f t="shared" si="184"/>
        <v/>
      </c>
      <c r="DE91" t="s">
        <v>0</v>
      </c>
      <c r="DF91" s="128" t="str">
        <f t="shared" si="185"/>
        <v>M</v>
      </c>
      <c r="DG91" t="s">
        <v>0</v>
      </c>
      <c r="DH91" s="52" t="str">
        <f t="shared" si="186"/>
        <v/>
      </c>
      <c r="DI91" s="66" t="str">
        <f t="shared" si="187"/>
        <v/>
      </c>
      <c r="DJ91" t="s">
        <v>0</v>
      </c>
      <c r="DK91" s="19" t="str">
        <f t="shared" si="188"/>
        <v/>
      </c>
      <c r="DL91" s="47" t="s">
        <v>0</v>
      </c>
      <c r="DM91" s="19" t="str">
        <f t="shared" si="189"/>
        <v/>
      </c>
      <c r="DN91" s="47" t="s">
        <v>0</v>
      </c>
      <c r="DO91" s="52" t="str">
        <f t="shared" si="129"/>
        <v>Dario – Malović – OK Vihor – M21B</v>
      </c>
      <c r="DP91" s="53">
        <f t="shared" si="130"/>
        <v>781</v>
      </c>
      <c r="DQ91" s="47" t="s">
        <v>0</v>
      </c>
      <c r="DR91" s="52" t="str">
        <f t="shared" si="131"/>
        <v>Dario – Malović – OK Vihor</v>
      </c>
      <c r="DS91" s="53">
        <f t="shared" si="132"/>
        <v>781</v>
      </c>
      <c r="DT91" s="47" t="s">
        <v>0</v>
      </c>
      <c r="DU91" s="52" t="str">
        <f t="shared" si="133"/>
        <v>Dario – Malović</v>
      </c>
      <c r="DV91" s="53">
        <f t="shared" si="134"/>
        <v>781</v>
      </c>
      <c r="DW91" s="47" t="s">
        <v>0</v>
      </c>
      <c r="DX91" s="58">
        <f t="shared" si="177"/>
        <v>781</v>
      </c>
      <c r="DY91" s="53" cm="1">
        <f t="array" ref="DY91">IF(DX91&lt;&gt;"",INDEX(regNatjecatelj_id,DX91,0),IF(BD91&lt;&gt;"",BD91,""))</f>
        <v>1900</v>
      </c>
      <c r="DZ91" s="47" t="s">
        <v>0</v>
      </c>
      <c r="EA91" s="58" t="str">
        <f t="shared" si="135"/>
        <v>imepre</v>
      </c>
      <c r="EB91" s="73" t="str">
        <f t="shared" si="136"/>
        <v>klu</v>
      </c>
      <c r="EC91" s="73" t="str">
        <f t="shared" si="137"/>
        <v>kat</v>
      </c>
      <c r="ED91" s="73" t="str">
        <f t="shared" si="138"/>
        <v/>
      </c>
      <c r="EE91" s="66" t="str">
        <f t="shared" si="139"/>
        <v>imepre-klu-kat</v>
      </c>
      <c r="EF91" s="47" t="s">
        <v>0</v>
      </c>
      <c r="EG91" s="58">
        <f>IF(AL91="","",MAX(EG$12:EG90)+1)</f>
        <v>261</v>
      </c>
      <c r="EH91" s="73">
        <f t="shared" si="140"/>
        <v>28</v>
      </c>
      <c r="EI91" s="73">
        <f t="shared" si="178"/>
        <v>1900</v>
      </c>
      <c r="EJ91" s="73">
        <f t="shared" si="141"/>
        <v>5992</v>
      </c>
      <c r="EK91" s="73">
        <f t="shared" si="142"/>
        <v>1</v>
      </c>
      <c r="EL91" s="73">
        <f t="shared" si="179"/>
        <v>1</v>
      </c>
      <c r="EM91" s="73">
        <f t="shared" si="180"/>
        <v>1</v>
      </c>
      <c r="EN91" s="73" t="str">
        <f t="shared" si="143"/>
        <v>0</v>
      </c>
      <c r="EO91" s="73" t="str">
        <f t="shared" si="144"/>
        <v/>
      </c>
      <c r="EP91" s="73" t="str">
        <f t="shared" si="145"/>
        <v/>
      </c>
      <c r="EQ91" s="53" t="str">
        <f t="shared" si="146"/>
        <v/>
      </c>
      <c r="ER91" s="47" t="s">
        <v>0</v>
      </c>
      <c r="ES91" s="19" t="str">
        <f t="shared" si="181"/>
        <v>INSERT INTO rezultat(id,stazakategorija_id,imeprezime_id,vrijeme_sec,status_id,registracija,uparivanje_id,originalstatus_id,imeprezimealias_id,klubalias_id,kategorijaalias_id) VALUES (261,28,1900,5992,1,1,1,0,Null,Null,Null);</v>
      </c>
      <c r="ET91" s="47" t="s">
        <v>0</v>
      </c>
      <c r="EU91" s="19" t="str">
        <f t="shared" si="182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1" s="47" t="s">
        <v>0</v>
      </c>
      <c r="EW91" s="180" t="str">
        <f t="shared" si="147"/>
        <v xml:space="preserve">
INSERT INTO rezultat(id,stazakategorija_id,imeprezime_id,vrijeme_sec,status_id,registracija,uparivanje_id,originalstatus_id,imeprezimealias_id,klubalias_id,kategorijaalias_id) VALUES (261,28,1900,5992,1,1,1,0,Null,Null,Null);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1" s="47" t="s">
        <v>0</v>
      </c>
    </row>
    <row r="92" spans="1:154" x14ac:dyDescent="0.25">
      <c r="A92" t="s">
        <v>0</v>
      </c>
      <c r="B92" s="52" t="str">
        <f>IF(csv!F82="","",csv!T82)</f>
        <v>M21B</v>
      </c>
      <c r="C92" s="31" t="s">
        <v>0</v>
      </c>
      <c r="D92" s="31" t="str">
        <f>IF(csv!F82="","",csv!F82)</f>
        <v>Dino</v>
      </c>
      <c r="E92" s="31" t="str">
        <f>IF(csv!E82="","",csv!E82)</f>
        <v>Martinović</v>
      </c>
      <c r="F92" s="31" t="s">
        <v>0</v>
      </c>
      <c r="G92" s="73" t="str">
        <f>IF(csv!M82="","",csv!M82)</f>
        <v>106:29</v>
      </c>
      <c r="H92" s="73" t="str">
        <f>IF(csv!N82="","",csv!N82)</f>
        <v>0</v>
      </c>
      <c r="I92" s="31" t="s">
        <v>0</v>
      </c>
      <c r="J92" s="31" t="str">
        <f>IF(csv!P82="","",csv!P82)</f>
        <v>Vihor</v>
      </c>
      <c r="K92" s="31" t="str">
        <f>IF(csv!Q82="","",csv!Q82)</f>
        <v>OK Vihor</v>
      </c>
      <c r="L92" s="31" t="s">
        <v>0</v>
      </c>
      <c r="M92" s="66" t="str">
        <f>IF(csv!R82="","",csv!R82)</f>
        <v>CRO</v>
      </c>
      <c r="N92" s="47" t="s">
        <v>0</v>
      </c>
      <c r="O92" s="246" t="str">
        <f t="shared" si="148"/>
        <v>ok</v>
      </c>
      <c r="P92" s="47"/>
      <c r="Q92" s="52" t="str">
        <f t="shared" si="149"/>
        <v>M21B</v>
      </c>
      <c r="R92" s="73">
        <f>IF(Q92="","",IF(COUNTIF(Q$12:Q91,Q92)=0,R91+1,R91))</f>
        <v>6</v>
      </c>
      <c r="S92" s="73">
        <f t="shared" si="150"/>
        <v>108</v>
      </c>
      <c r="T92" s="73">
        <f t="shared" si="113"/>
        <v>19</v>
      </c>
      <c r="U92" s="66" t="str">
        <f t="shared" si="114"/>
        <v>M21B – M16</v>
      </c>
      <c r="V92" s="47" t="s">
        <v>0</v>
      </c>
      <c r="W92" s="222" t="str">
        <f t="shared" si="115"/>
        <v>M21B</v>
      </c>
      <c r="X92" s="223">
        <f t="shared" si="116"/>
        <v>28</v>
      </c>
      <c r="Y92" s="47" t="s">
        <v>0</v>
      </c>
      <c r="Z92" s="52" t="str">
        <f t="shared" si="151"/>
        <v>CRO</v>
      </c>
      <c r="AA92" s="73">
        <f t="shared" si="117"/>
        <v>1</v>
      </c>
      <c r="AB92" s="31" t="str">
        <f t="shared" si="152"/>
        <v/>
      </c>
      <c r="AC92" s="66" t="str">
        <f>IF(AB92="","",MAX(AC$12:AC91)+1)</f>
        <v/>
      </c>
      <c r="AD92" s="47" t="s">
        <v>0</v>
      </c>
      <c r="AE92" s="125"/>
      <c r="AF92" s="47" t="s">
        <v>0</v>
      </c>
      <c r="AG92" s="19" t="str">
        <f t="shared" si="153"/>
        <v/>
      </c>
      <c r="AH92" s="47" t="s">
        <v>0</v>
      </c>
      <c r="AI92" s="143" t="str">
        <f t="shared" si="154"/>
        <v>CRO</v>
      </c>
      <c r="AJ92" s="47"/>
      <c r="AK92" s="52" t="str">
        <f t="shared" si="155"/>
        <v>Dino</v>
      </c>
      <c r="AL92" s="31" t="str">
        <f t="shared" si="156"/>
        <v>Martinović</v>
      </c>
      <c r="AM92" s="73">
        <f t="shared" si="157"/>
        <v>1942</v>
      </c>
      <c r="AN92" s="73" t="str">
        <f t="shared" si="158"/>
        <v/>
      </c>
      <c r="AO92" s="31" t="str">
        <f t="shared" si="118"/>
        <v>Dino</v>
      </c>
      <c r="AP92" s="66" t="str">
        <f t="shared" si="119"/>
        <v>Martinović</v>
      </c>
      <c r="AQ92" s="47" t="s">
        <v>0</v>
      </c>
      <c r="AR92" s="82" t="str">
        <f t="shared" si="159"/>
        <v/>
      </c>
      <c r="AS92" s="47" t="s">
        <v>0</v>
      </c>
      <c r="AT92" s="19" t="str">
        <f t="shared" si="160"/>
        <v/>
      </c>
      <c r="AU92" s="47" t="s">
        <v>0</v>
      </c>
      <c r="AV92" s="103"/>
      <c r="AW92" s="105"/>
      <c r="AX92" s="47" t="s">
        <v>0</v>
      </c>
      <c r="AY92" s="259" t="str">
        <f t="shared" si="183"/>
        <v/>
      </c>
      <c r="AZ92" s="47" t="s">
        <v>0</v>
      </c>
      <c r="BA92" s="52" t="str">
        <f t="shared" si="120"/>
        <v/>
      </c>
      <c r="BB92" s="73" t="str">
        <f>IF(AV92&amp;AW92="","",MAX(BB$12:BB91)+1)</f>
        <v/>
      </c>
      <c r="BC92" s="272" t="str">
        <f t="shared" si="121"/>
        <v/>
      </c>
      <c r="BD92" s="53" t="str">
        <f>IF(AND(AM92="NEMA",AN92="NEMA",OR(AV92&amp;AW92="",BC92="NEMA")),MAX(BD$12:BD91)+1,"")</f>
        <v/>
      </c>
      <c r="BE92" s="47" t="s">
        <v>0</v>
      </c>
      <c r="BF92" s="52" t="str">
        <f t="shared" si="161"/>
        <v>Dino</v>
      </c>
      <c r="BG92" s="66" t="str">
        <f t="shared" si="162"/>
        <v>Martinović</v>
      </c>
      <c r="BH92" s="47" t="s">
        <v>0</v>
      </c>
      <c r="BI92" s="52" t="str">
        <f t="shared" si="122"/>
        <v>Vihor</v>
      </c>
      <c r="BJ92" s="31" t="str">
        <f t="shared" si="123"/>
        <v>OK Vihor</v>
      </c>
      <c r="BK92" s="73" t="str">
        <f t="shared" si="124"/>
        <v/>
      </c>
      <c r="BL92" s="31" t="str" cm="1">
        <f t="array" ref="BL92">IF(BK92="",""&amp;BJ92,IF(BK92="NEMA",BJ92,INDEX(regKlub_naziv,MATCH(INDEX(regKlub_alias_klubId,BK92),regKlub_id,0))))</f>
        <v>OK Vihor</v>
      </c>
      <c r="BM92" s="31" t="str" cm="1">
        <f t="array" ref="BM92">IFERROR(""&amp;INDEX(regNatjecatelj_klub,DV92),"")</f>
        <v>OK Vihor</v>
      </c>
      <c r="BN92" s="73" t="str">
        <f t="shared" si="163"/>
        <v/>
      </c>
      <c r="BO92" s="66" t="str">
        <f t="shared" si="164"/>
        <v>OK Vihor</v>
      </c>
      <c r="BP92" s="47" t="s">
        <v>0</v>
      </c>
      <c r="BQ92" s="52" t="str">
        <f>IF(X92&lt;&gt;"NEMA","",IF(IFERROR(MATCH(W92,W$12:W91,0),0)&lt;&gt;0,"",W92))</f>
        <v/>
      </c>
      <c r="BR92" s="73" t="str">
        <f t="shared" si="165"/>
        <v/>
      </c>
      <c r="BS92" s="31" t="str">
        <f>IF(OR(BR92="",BR92&lt;&gt;"NEMA"),"",MAX(BS$12:BS91)+1)</f>
        <v/>
      </c>
      <c r="BT92" s="66" t="str">
        <f t="shared" si="166"/>
        <v/>
      </c>
      <c r="BU92" s="47" t="s">
        <v>0</v>
      </c>
      <c r="BV92" s="19" t="str">
        <f t="shared" si="167"/>
        <v/>
      </c>
      <c r="BW92" s="47" t="s">
        <v>0</v>
      </c>
      <c r="BX92" s="82" t="str">
        <f>IF(BK92&lt;&gt;"NEMA","",IF(IFERROR(MATCH(BJ92,BJ$12:BJ91,0),0)&lt;&gt;0,"",BJ92))</f>
        <v/>
      </c>
      <c r="BY92" s="47" t="s">
        <v>0</v>
      </c>
      <c r="BZ92" s="125"/>
      <c r="CA92" s="47" t="s">
        <v>0</v>
      </c>
      <c r="CB92" s="58" t="str">
        <f t="shared" si="168"/>
        <v/>
      </c>
      <c r="CC92" s="31" t="str">
        <f t="shared" si="169"/>
        <v/>
      </c>
      <c r="CD92" s="31" t="str">
        <f>IF(CC92="","",MAX(CD$12:CD91)+1)</f>
        <v/>
      </c>
      <c r="CE92" s="31" t="str">
        <f t="shared" si="125"/>
        <v/>
      </c>
      <c r="CF92" s="31" t="str">
        <f t="shared" si="170"/>
        <v/>
      </c>
      <c r="CG92" s="31" t="str">
        <f>IF(BZ92="","",MAX(CG$12:CG91)+1)</f>
        <v/>
      </c>
      <c r="CH92" s="31" t="str">
        <f t="shared" si="171"/>
        <v/>
      </c>
      <c r="CI92" s="66" t="str">
        <f t="shared" si="172"/>
        <v/>
      </c>
      <c r="CJ92" s="47" t="s">
        <v>0</v>
      </c>
      <c r="CK92" s="73" t="str">
        <f t="shared" si="126"/>
        <v/>
      </c>
      <c r="CL92" s="47"/>
      <c r="CM92" s="19" t="str">
        <f t="shared" si="173"/>
        <v/>
      </c>
      <c r="CN92" s="47" t="s">
        <v>0</v>
      </c>
      <c r="CO92" s="143" t="str">
        <f t="shared" si="174"/>
        <v>OK Vihor</v>
      </c>
      <c r="CP92" s="47" t="s">
        <v>0</v>
      </c>
      <c r="CQ92" s="58" t="str">
        <f t="shared" si="109"/>
        <v>106:29</v>
      </c>
      <c r="CR92" s="73" t="str">
        <f t="shared" si="110"/>
        <v>0</v>
      </c>
      <c r="CS92" s="229" t="str">
        <f t="shared" si="127"/>
        <v/>
      </c>
      <c r="CT92" s="230">
        <f t="shared" si="112"/>
        <v>6389</v>
      </c>
      <c r="CU92" s="163">
        <f t="shared" si="128"/>
        <v>1</v>
      </c>
      <c r="CV92" s="47" t="s">
        <v>0</v>
      </c>
      <c r="CW92" s="222" t="str">
        <f t="shared" si="175"/>
        <v xml:space="preserve">
</v>
      </c>
      <c r="CX92" s="223">
        <f t="shared" si="176"/>
        <v>6</v>
      </c>
      <c r="CY92" s="47" t="s">
        <v>0</v>
      </c>
      <c r="CZ92" s="47"/>
      <c r="DA92" s="47"/>
      <c r="DB92" s="47"/>
      <c r="DC92" s="47" t="s">
        <v>0</v>
      </c>
      <c r="DD92" s="53" t="str">
        <f t="shared" si="184"/>
        <v/>
      </c>
      <c r="DE92" t="s">
        <v>0</v>
      </c>
      <c r="DF92" s="128" t="str">
        <f t="shared" si="185"/>
        <v>M</v>
      </c>
      <c r="DG92" t="s">
        <v>0</v>
      </c>
      <c r="DH92" s="52" t="str">
        <f t="shared" si="186"/>
        <v/>
      </c>
      <c r="DI92" s="66" t="str">
        <f t="shared" si="187"/>
        <v/>
      </c>
      <c r="DJ92" t="s">
        <v>0</v>
      </c>
      <c r="DK92" s="19" t="str">
        <f t="shared" si="188"/>
        <v/>
      </c>
      <c r="DL92" s="47" t="s">
        <v>0</v>
      </c>
      <c r="DM92" s="19" t="str">
        <f t="shared" si="189"/>
        <v/>
      </c>
      <c r="DN92" s="47" t="s">
        <v>0</v>
      </c>
      <c r="DO92" s="52" t="str">
        <f t="shared" si="129"/>
        <v>Dino – Martinović – OK Vihor – M21B</v>
      </c>
      <c r="DP92" s="53">
        <f t="shared" si="130"/>
        <v>794</v>
      </c>
      <c r="DQ92" s="47" t="s">
        <v>0</v>
      </c>
      <c r="DR92" s="52" t="str">
        <f t="shared" si="131"/>
        <v>Dino – Martinović – OK Vihor</v>
      </c>
      <c r="DS92" s="53">
        <f t="shared" si="132"/>
        <v>794</v>
      </c>
      <c r="DT92" s="47" t="s">
        <v>0</v>
      </c>
      <c r="DU92" s="52" t="str">
        <f t="shared" si="133"/>
        <v>Dino – Martinović</v>
      </c>
      <c r="DV92" s="53">
        <f t="shared" si="134"/>
        <v>794</v>
      </c>
      <c r="DW92" s="47" t="s">
        <v>0</v>
      </c>
      <c r="DX92" s="58">
        <f t="shared" si="177"/>
        <v>794</v>
      </c>
      <c r="DY92" s="53" cm="1">
        <f t="array" ref="DY92">IF(DX92&lt;&gt;"",INDEX(regNatjecatelj_id,DX92,0),IF(BD92&lt;&gt;"",BD92,""))</f>
        <v>1942</v>
      </c>
      <c r="DZ92" s="47" t="s">
        <v>0</v>
      </c>
      <c r="EA92" s="58" t="str">
        <f t="shared" si="135"/>
        <v>imepre</v>
      </c>
      <c r="EB92" s="73" t="str">
        <f t="shared" si="136"/>
        <v>klu</v>
      </c>
      <c r="EC92" s="73" t="str">
        <f t="shared" si="137"/>
        <v>kat</v>
      </c>
      <c r="ED92" s="73" t="str">
        <f t="shared" si="138"/>
        <v/>
      </c>
      <c r="EE92" s="66" t="str">
        <f t="shared" si="139"/>
        <v>imepre-klu-kat</v>
      </c>
      <c r="EF92" s="47" t="s">
        <v>0</v>
      </c>
      <c r="EG92" s="58">
        <f>IF(AL92="","",MAX(EG$12:EG91)+1)</f>
        <v>262</v>
      </c>
      <c r="EH92" s="73">
        <f t="shared" si="140"/>
        <v>28</v>
      </c>
      <c r="EI92" s="73">
        <f t="shared" si="178"/>
        <v>1942</v>
      </c>
      <c r="EJ92" s="73">
        <f t="shared" si="141"/>
        <v>6389</v>
      </c>
      <c r="EK92" s="73">
        <f t="shared" si="142"/>
        <v>1</v>
      </c>
      <c r="EL92" s="73">
        <f t="shared" si="179"/>
        <v>1</v>
      </c>
      <c r="EM92" s="73">
        <f t="shared" si="180"/>
        <v>1</v>
      </c>
      <c r="EN92" s="73" t="str">
        <f t="shared" si="143"/>
        <v>0</v>
      </c>
      <c r="EO92" s="73" t="str">
        <f t="shared" si="144"/>
        <v/>
      </c>
      <c r="EP92" s="73" t="str">
        <f t="shared" si="145"/>
        <v/>
      </c>
      <c r="EQ92" s="53" t="str">
        <f t="shared" si="146"/>
        <v/>
      </c>
      <c r="ER92" s="47" t="s">
        <v>0</v>
      </c>
      <c r="ES92" s="19" t="str">
        <f t="shared" si="181"/>
        <v>INSERT INTO rezultat(id,stazakategorija_id,imeprezime_id,vrijeme_sec,status_id,registracija,uparivanje_id,originalstatus_id,imeprezimealias_id,klubalias_id,kategorijaalias_id) VALUES (262,28,1942,6389,1,1,1,0,Null,Null,Null);</v>
      </c>
      <c r="ET92" s="47" t="s">
        <v>0</v>
      </c>
      <c r="EU92" s="19" t="str">
        <f t="shared" si="182"/>
        <v>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2" s="47" t="s">
        <v>0</v>
      </c>
      <c r="EW92" s="180" t="str">
        <f t="shared" si="147"/>
        <v xml:space="preserve">
INSERT INTO rezultat(id,stazakategorija_id,imeprezime_id,vrijeme_sec,status_id,registracija,uparivanje_id,originalstatus_id,imeprezimealias_id,klubalias_id,kategorijaalias_id) VALUES (262,28,1942,6389,1,1,1,0,Null,Null,Null);
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2" s="47" t="s">
        <v>0</v>
      </c>
    </row>
    <row r="93" spans="1:154" x14ac:dyDescent="0.25">
      <c r="A93" t="s">
        <v>0</v>
      </c>
      <c r="B93" s="52" t="str">
        <f>IF(csv!F83="","",csv!T83)</f>
        <v>M21B</v>
      </c>
      <c r="C93" s="31" t="s">
        <v>0</v>
      </c>
      <c r="D93" s="31" t="str">
        <f>IF(csv!F83="","",csv!F83)</f>
        <v>Jurica</v>
      </c>
      <c r="E93" s="31" t="str">
        <f>IF(csv!E83="","",csv!E83)</f>
        <v>Cimperšak Žigrović</v>
      </c>
      <c r="F93" s="31" t="s">
        <v>0</v>
      </c>
      <c r="G93" s="73" t="str">
        <f>IF(csv!M83="","",csv!M83)</f>
        <v>107:35</v>
      </c>
      <c r="H93" s="73" t="str">
        <f>IF(csv!N83="","",csv!N83)</f>
        <v>0</v>
      </c>
      <c r="I93" s="31" t="s">
        <v>0</v>
      </c>
      <c r="J93" s="31" t="str">
        <f>IF(csv!P83="","",csv!P83)</f>
        <v>Vihor</v>
      </c>
      <c r="K93" s="31" t="str">
        <f>IF(csv!Q83="","",csv!Q83)</f>
        <v>OK Vihor</v>
      </c>
      <c r="L93" s="31" t="s">
        <v>0</v>
      </c>
      <c r="M93" s="66" t="str">
        <f>IF(csv!R83="","",csv!R83)</f>
        <v>CRO</v>
      </c>
      <c r="N93" s="47" t="s">
        <v>0</v>
      </c>
      <c r="O93" s="246" t="str">
        <f t="shared" si="148"/>
        <v>ok</v>
      </c>
      <c r="P93" s="47"/>
      <c r="Q93" s="52" t="str">
        <f t="shared" si="149"/>
        <v>M21B</v>
      </c>
      <c r="R93" s="73">
        <f>IF(Q93="","",IF(COUNTIF(Q$12:Q92,Q93)=0,R92+1,R92))</f>
        <v>6</v>
      </c>
      <c r="S93" s="73">
        <f t="shared" si="150"/>
        <v>108</v>
      </c>
      <c r="T93" s="73">
        <f t="shared" si="113"/>
        <v>19</v>
      </c>
      <c r="U93" s="66" t="str">
        <f t="shared" si="114"/>
        <v>M21B – M16</v>
      </c>
      <c r="V93" s="47" t="s">
        <v>0</v>
      </c>
      <c r="W93" s="222" t="str">
        <f t="shared" si="115"/>
        <v>M21B</v>
      </c>
      <c r="X93" s="223">
        <f t="shared" si="116"/>
        <v>28</v>
      </c>
      <c r="Y93" s="47" t="s">
        <v>0</v>
      </c>
      <c r="Z93" s="52" t="str">
        <f t="shared" si="151"/>
        <v>CRO</v>
      </c>
      <c r="AA93" s="73">
        <f t="shared" si="117"/>
        <v>1</v>
      </c>
      <c r="AB93" s="31" t="str">
        <f t="shared" si="152"/>
        <v/>
      </c>
      <c r="AC93" s="66" t="str">
        <f>IF(AB93="","",MAX(AC$12:AC92)+1)</f>
        <v/>
      </c>
      <c r="AD93" s="47" t="s">
        <v>0</v>
      </c>
      <c r="AE93" s="125"/>
      <c r="AF93" s="47" t="s">
        <v>0</v>
      </c>
      <c r="AG93" s="19" t="str">
        <f t="shared" si="153"/>
        <v/>
      </c>
      <c r="AH93" s="47" t="s">
        <v>0</v>
      </c>
      <c r="AI93" s="143" t="str">
        <f t="shared" si="154"/>
        <v>CRO</v>
      </c>
      <c r="AJ93" s="47"/>
      <c r="AK93" s="52" t="str">
        <f t="shared" si="155"/>
        <v>Jurica</v>
      </c>
      <c r="AL93" s="31" t="str">
        <f t="shared" si="156"/>
        <v>Cimperšak Žigrović</v>
      </c>
      <c r="AM93" s="73">
        <f t="shared" si="157"/>
        <v>1915</v>
      </c>
      <c r="AN93" s="73" t="str">
        <f t="shared" si="158"/>
        <v/>
      </c>
      <c r="AO93" s="31" t="str">
        <f t="shared" si="118"/>
        <v>Jurica</v>
      </c>
      <c r="AP93" s="66" t="str">
        <f t="shared" si="119"/>
        <v>Cimperšak Žigrović</v>
      </c>
      <c r="AQ93" s="47" t="s">
        <v>0</v>
      </c>
      <c r="AR93" s="82" t="str">
        <f t="shared" si="159"/>
        <v/>
      </c>
      <c r="AS93" s="47" t="s">
        <v>0</v>
      </c>
      <c r="AT93" s="19" t="str">
        <f t="shared" si="160"/>
        <v/>
      </c>
      <c r="AU93" s="47" t="s">
        <v>0</v>
      </c>
      <c r="AV93" s="103"/>
      <c r="AW93" s="105"/>
      <c r="AX93" s="47" t="s">
        <v>0</v>
      </c>
      <c r="AY93" s="259" t="str">
        <f t="shared" si="183"/>
        <v/>
      </c>
      <c r="AZ93" s="47" t="s">
        <v>0</v>
      </c>
      <c r="BA93" s="52" t="str">
        <f t="shared" si="120"/>
        <v/>
      </c>
      <c r="BB93" s="73" t="str">
        <f>IF(AV93&amp;AW93="","",MAX(BB$12:BB92)+1)</f>
        <v/>
      </c>
      <c r="BC93" s="272" t="str">
        <f t="shared" si="121"/>
        <v/>
      </c>
      <c r="BD93" s="53" t="str">
        <f>IF(AND(AM93="NEMA",AN93="NEMA",OR(AV93&amp;AW93="",BC93="NEMA")),MAX(BD$12:BD92)+1,"")</f>
        <v/>
      </c>
      <c r="BE93" s="47" t="s">
        <v>0</v>
      </c>
      <c r="BF93" s="52" t="str">
        <f t="shared" si="161"/>
        <v>Jurica</v>
      </c>
      <c r="BG93" s="66" t="str">
        <f t="shared" si="162"/>
        <v>Cimperšak Žigrović</v>
      </c>
      <c r="BH93" s="47" t="s">
        <v>0</v>
      </c>
      <c r="BI93" s="52" t="str">
        <f t="shared" si="122"/>
        <v>Vihor</v>
      </c>
      <c r="BJ93" s="31" t="str">
        <f t="shared" si="123"/>
        <v>OK Vihor</v>
      </c>
      <c r="BK93" s="73" t="str">
        <f t="shared" si="124"/>
        <v/>
      </c>
      <c r="BL93" s="31" t="str" cm="1">
        <f t="array" ref="BL93">IF(BK93="",""&amp;BJ93,IF(BK93="NEMA",BJ93,INDEX(regKlub_naziv,MATCH(INDEX(regKlub_alias_klubId,BK93),regKlub_id,0))))</f>
        <v>OK Vihor</v>
      </c>
      <c r="BM93" s="31" t="str" cm="1">
        <f t="array" ref="BM93">IFERROR(""&amp;INDEX(regNatjecatelj_klub,DV93),"")</f>
        <v>OK Vihor</v>
      </c>
      <c r="BN93" s="73" t="str">
        <f t="shared" si="163"/>
        <v/>
      </c>
      <c r="BO93" s="66" t="str">
        <f t="shared" si="164"/>
        <v>OK Vihor</v>
      </c>
      <c r="BP93" s="47" t="s">
        <v>0</v>
      </c>
      <c r="BQ93" s="52" t="str">
        <f>IF(X93&lt;&gt;"NEMA","",IF(IFERROR(MATCH(W93,W$12:W92,0),0)&lt;&gt;0,"",W93))</f>
        <v/>
      </c>
      <c r="BR93" s="73" t="str">
        <f t="shared" si="165"/>
        <v/>
      </c>
      <c r="BS93" s="31" t="str">
        <f>IF(OR(BR93="",BR93&lt;&gt;"NEMA"),"",MAX(BS$12:BS92)+1)</f>
        <v/>
      </c>
      <c r="BT93" s="66" t="str">
        <f t="shared" si="166"/>
        <v/>
      </c>
      <c r="BU93" s="47" t="s">
        <v>0</v>
      </c>
      <c r="BV93" s="19" t="str">
        <f t="shared" si="167"/>
        <v/>
      </c>
      <c r="BW93" s="47" t="s">
        <v>0</v>
      </c>
      <c r="BX93" s="82" t="str">
        <f>IF(BK93&lt;&gt;"NEMA","",IF(IFERROR(MATCH(BJ93,BJ$12:BJ92,0),0)&lt;&gt;0,"",BJ93))</f>
        <v/>
      </c>
      <c r="BY93" s="47" t="s">
        <v>0</v>
      </c>
      <c r="BZ93" s="125"/>
      <c r="CA93" s="47" t="s">
        <v>0</v>
      </c>
      <c r="CB93" s="58" t="str">
        <f t="shared" si="168"/>
        <v/>
      </c>
      <c r="CC93" s="31" t="str">
        <f t="shared" si="169"/>
        <v/>
      </c>
      <c r="CD93" s="31" t="str">
        <f>IF(CC93="","",MAX(CD$12:CD92)+1)</f>
        <v/>
      </c>
      <c r="CE93" s="31" t="str">
        <f t="shared" si="125"/>
        <v/>
      </c>
      <c r="CF93" s="31" t="str">
        <f t="shared" si="170"/>
        <v/>
      </c>
      <c r="CG93" s="31" t="str">
        <f>IF(BZ93="","",MAX(CG$12:CG92)+1)</f>
        <v/>
      </c>
      <c r="CH93" s="31" t="str">
        <f t="shared" si="171"/>
        <v/>
      </c>
      <c r="CI93" s="66" t="str">
        <f t="shared" si="172"/>
        <v/>
      </c>
      <c r="CJ93" s="47" t="s">
        <v>0</v>
      </c>
      <c r="CK93" s="73" t="str">
        <f t="shared" si="126"/>
        <v/>
      </c>
      <c r="CL93" s="47"/>
      <c r="CM93" s="19" t="str">
        <f t="shared" si="173"/>
        <v/>
      </c>
      <c r="CN93" s="47" t="s">
        <v>0</v>
      </c>
      <c r="CO93" s="143" t="str">
        <f t="shared" si="174"/>
        <v>OK Vihor</v>
      </c>
      <c r="CP93" s="47" t="s">
        <v>0</v>
      </c>
      <c r="CQ93" s="58" t="str">
        <f t="shared" si="109"/>
        <v>107:35</v>
      </c>
      <c r="CR93" s="73" t="str">
        <f t="shared" si="110"/>
        <v>0</v>
      </c>
      <c r="CS93" s="229" t="str">
        <f t="shared" si="127"/>
        <v/>
      </c>
      <c r="CT93" s="230">
        <f t="shared" si="112"/>
        <v>6455</v>
      </c>
      <c r="CU93" s="163">
        <f t="shared" si="128"/>
        <v>1</v>
      </c>
      <c r="CV93" s="47" t="s">
        <v>0</v>
      </c>
      <c r="CW93" s="222" t="str">
        <f t="shared" si="175"/>
        <v xml:space="preserve">
</v>
      </c>
      <c r="CX93" s="223">
        <f t="shared" si="176"/>
        <v>6</v>
      </c>
      <c r="CY93" s="47" t="s">
        <v>0</v>
      </c>
      <c r="CZ93" s="47"/>
      <c r="DA93" s="47"/>
      <c r="DB93" s="47"/>
      <c r="DC93" s="47" t="s">
        <v>0</v>
      </c>
      <c r="DD93" s="53" t="str">
        <f t="shared" si="184"/>
        <v/>
      </c>
      <c r="DE93" t="s">
        <v>0</v>
      </c>
      <c r="DF93" s="128" t="str">
        <f t="shared" si="185"/>
        <v>M</v>
      </c>
      <c r="DG93" t="s">
        <v>0</v>
      </c>
      <c r="DH93" s="52" t="str">
        <f t="shared" si="186"/>
        <v/>
      </c>
      <c r="DI93" s="66" t="str">
        <f t="shared" si="187"/>
        <v/>
      </c>
      <c r="DJ93" t="s">
        <v>0</v>
      </c>
      <c r="DK93" s="19" t="str">
        <f t="shared" si="188"/>
        <v/>
      </c>
      <c r="DL93" s="47" t="s">
        <v>0</v>
      </c>
      <c r="DM93" s="19" t="str">
        <f t="shared" si="189"/>
        <v/>
      </c>
      <c r="DN93" s="47" t="s">
        <v>0</v>
      </c>
      <c r="DO93" s="52" t="str">
        <f t="shared" si="129"/>
        <v>Jurica – Cimperšak Žigrović – OK Vihor – M21B</v>
      </c>
      <c r="DP93" s="53">
        <f t="shared" si="130"/>
        <v>648</v>
      </c>
      <c r="DQ93" s="47" t="s">
        <v>0</v>
      </c>
      <c r="DR93" s="52" t="str">
        <f t="shared" si="131"/>
        <v>Jurica – Cimperšak Žigrović – OK Vihor</v>
      </c>
      <c r="DS93" s="53">
        <f t="shared" si="132"/>
        <v>648</v>
      </c>
      <c r="DT93" s="47" t="s">
        <v>0</v>
      </c>
      <c r="DU93" s="52" t="str">
        <f t="shared" si="133"/>
        <v>Jurica – Cimperšak Žigrović</v>
      </c>
      <c r="DV93" s="53">
        <f t="shared" si="134"/>
        <v>648</v>
      </c>
      <c r="DW93" s="47" t="s">
        <v>0</v>
      </c>
      <c r="DX93" s="58">
        <f t="shared" si="177"/>
        <v>648</v>
      </c>
      <c r="DY93" s="53" cm="1">
        <f t="array" ref="DY93">IF(DX93&lt;&gt;"",INDEX(regNatjecatelj_id,DX93,0),IF(BD93&lt;&gt;"",BD93,""))</f>
        <v>1915</v>
      </c>
      <c r="DZ93" s="47" t="s">
        <v>0</v>
      </c>
      <c r="EA93" s="58" t="str">
        <f t="shared" si="135"/>
        <v>imepre</v>
      </c>
      <c r="EB93" s="73" t="str">
        <f t="shared" si="136"/>
        <v>klu</v>
      </c>
      <c r="EC93" s="73" t="str">
        <f t="shared" si="137"/>
        <v>kat</v>
      </c>
      <c r="ED93" s="73" t="str">
        <f t="shared" si="138"/>
        <v/>
      </c>
      <c r="EE93" s="66" t="str">
        <f t="shared" si="139"/>
        <v>imepre-klu-kat</v>
      </c>
      <c r="EF93" s="47" t="s">
        <v>0</v>
      </c>
      <c r="EG93" s="58">
        <f>IF(AL93="","",MAX(EG$12:EG92)+1)</f>
        <v>263</v>
      </c>
      <c r="EH93" s="73">
        <f t="shared" si="140"/>
        <v>28</v>
      </c>
      <c r="EI93" s="73">
        <f t="shared" si="178"/>
        <v>1915</v>
      </c>
      <c r="EJ93" s="73">
        <f t="shared" si="141"/>
        <v>6455</v>
      </c>
      <c r="EK93" s="73">
        <f t="shared" si="142"/>
        <v>1</v>
      </c>
      <c r="EL93" s="73">
        <f t="shared" si="179"/>
        <v>1</v>
      </c>
      <c r="EM93" s="73">
        <f t="shared" si="180"/>
        <v>1</v>
      </c>
      <c r="EN93" s="73" t="str">
        <f t="shared" si="143"/>
        <v>0</v>
      </c>
      <c r="EO93" s="73" t="str">
        <f t="shared" si="144"/>
        <v/>
      </c>
      <c r="EP93" s="73" t="str">
        <f t="shared" si="145"/>
        <v/>
      </c>
      <c r="EQ93" s="53" t="str">
        <f t="shared" si="146"/>
        <v/>
      </c>
      <c r="ER93" s="47" t="s">
        <v>0</v>
      </c>
      <c r="ES93" s="19" t="str">
        <f t="shared" si="181"/>
        <v>INSERT INTO rezultat(id,stazakategorija_id,imeprezime_id,vrijeme_sec,status_id,registracija,uparivanje_id,originalstatus_id,imeprezimealias_id,klubalias_id,kategorijaalias_id) VALUES (263,28,1915,6455,1,1,1,0,Null,Null,Null);</v>
      </c>
      <c r="ET93" s="47" t="s">
        <v>0</v>
      </c>
      <c r="EU93" s="19" t="str">
        <f t="shared" si="182"/>
        <v>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3" s="47" t="s">
        <v>0</v>
      </c>
      <c r="EW93" s="180" t="str">
        <f t="shared" si="147"/>
        <v xml:space="preserve">
INSERT INTO rezultat(id,stazakategorija_id,imeprezime_id,vrijeme_sec,status_id,registracija,uparivanje_id,originalstatus_id,imeprezimealias_id,klubalias_id,kategorijaalias_id) VALUES (263,28,1915,6455,1,1,1,0,Null,Null,Null);
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3" s="47" t="s">
        <v>0</v>
      </c>
    </row>
    <row r="94" spans="1:154" x14ac:dyDescent="0.25">
      <c r="A94" t="s">
        <v>0</v>
      </c>
      <c r="B94" s="52" t="str">
        <f>IF(csv!F84="","",csv!T84)</f>
        <v>M21B</v>
      </c>
      <c r="C94" s="31" t="s">
        <v>0</v>
      </c>
      <c r="D94" s="31" t="str">
        <f>IF(csv!F84="","",csv!F84)</f>
        <v>Franjo</v>
      </c>
      <c r="E94" s="31" t="str">
        <f>IF(csv!E84="","",csv!E84)</f>
        <v>Lozančić</v>
      </c>
      <c r="F94" s="31" t="s">
        <v>0</v>
      </c>
      <c r="G94" s="73" t="str">
        <f>IF(csv!M84="","",csv!M84)</f>
        <v>107:41</v>
      </c>
      <c r="H94" s="73" t="str">
        <f>IF(csv!N84="","",csv!N84)</f>
        <v>0</v>
      </c>
      <c r="I94" s="31" t="s">
        <v>0</v>
      </c>
      <c r="J94" s="31" t="str">
        <f>IF(csv!P84="","",csv!P84)</f>
        <v>Vihor</v>
      </c>
      <c r="K94" s="31" t="str">
        <f>IF(csv!Q84="","",csv!Q84)</f>
        <v>OK Vihor</v>
      </c>
      <c r="L94" s="31" t="s">
        <v>0</v>
      </c>
      <c r="M94" s="66" t="str">
        <f>IF(csv!R84="","",csv!R84)</f>
        <v>CRO</v>
      </c>
      <c r="N94" s="47" t="s">
        <v>0</v>
      </c>
      <c r="O94" s="246" t="str">
        <f t="shared" si="148"/>
        <v>ok</v>
      </c>
      <c r="P94" s="47"/>
      <c r="Q94" s="52" t="str">
        <f t="shared" si="149"/>
        <v>M21B</v>
      </c>
      <c r="R94" s="73">
        <f>IF(Q94="","",IF(COUNTIF(Q$12:Q93,Q94)=0,R93+1,R93))</f>
        <v>6</v>
      </c>
      <c r="S94" s="73">
        <f t="shared" si="150"/>
        <v>108</v>
      </c>
      <c r="T94" s="73">
        <f t="shared" si="113"/>
        <v>19</v>
      </c>
      <c r="U94" s="66" t="str">
        <f t="shared" si="114"/>
        <v>M21B – M16</v>
      </c>
      <c r="V94" s="47" t="s">
        <v>0</v>
      </c>
      <c r="W94" s="222" t="str">
        <f t="shared" si="115"/>
        <v>M21B</v>
      </c>
      <c r="X94" s="223">
        <f t="shared" si="116"/>
        <v>28</v>
      </c>
      <c r="Y94" s="47" t="s">
        <v>0</v>
      </c>
      <c r="Z94" s="52" t="str">
        <f t="shared" si="151"/>
        <v>CRO</v>
      </c>
      <c r="AA94" s="73">
        <f t="shared" si="117"/>
        <v>1</v>
      </c>
      <c r="AB94" s="31" t="str">
        <f t="shared" si="152"/>
        <v/>
      </c>
      <c r="AC94" s="66" t="str">
        <f>IF(AB94="","",MAX(AC$12:AC93)+1)</f>
        <v/>
      </c>
      <c r="AD94" s="47" t="s">
        <v>0</v>
      </c>
      <c r="AE94" s="125"/>
      <c r="AF94" s="47" t="s">
        <v>0</v>
      </c>
      <c r="AG94" s="19" t="str">
        <f t="shared" si="153"/>
        <v/>
      </c>
      <c r="AH94" s="47" t="s">
        <v>0</v>
      </c>
      <c r="AI94" s="143" t="str">
        <f t="shared" si="154"/>
        <v>CRO</v>
      </c>
      <c r="AJ94" s="47"/>
      <c r="AK94" s="52" t="str">
        <f t="shared" si="155"/>
        <v>Franjo</v>
      </c>
      <c r="AL94" s="31" t="str">
        <f t="shared" si="156"/>
        <v>Lozančić</v>
      </c>
      <c r="AM94" s="73">
        <f t="shared" si="157"/>
        <v>1897</v>
      </c>
      <c r="AN94" s="73" t="str">
        <f t="shared" si="158"/>
        <v/>
      </c>
      <c r="AO94" s="31" t="str">
        <f t="shared" si="118"/>
        <v>Franjo</v>
      </c>
      <c r="AP94" s="66" t="str">
        <f t="shared" si="119"/>
        <v>Lozančić</v>
      </c>
      <c r="AQ94" s="47" t="s">
        <v>0</v>
      </c>
      <c r="AR94" s="82" t="str">
        <f t="shared" si="159"/>
        <v/>
      </c>
      <c r="AS94" s="47" t="s">
        <v>0</v>
      </c>
      <c r="AT94" s="19" t="str">
        <f t="shared" si="160"/>
        <v/>
      </c>
      <c r="AU94" s="47" t="s">
        <v>0</v>
      </c>
      <c r="AV94" s="103"/>
      <c r="AW94" s="105"/>
      <c r="AX94" s="47" t="s">
        <v>0</v>
      </c>
      <c r="AY94" s="259" t="str">
        <f t="shared" si="183"/>
        <v/>
      </c>
      <c r="AZ94" s="47" t="s">
        <v>0</v>
      </c>
      <c r="BA94" s="52" t="str">
        <f t="shared" si="120"/>
        <v/>
      </c>
      <c r="BB94" s="73" t="str">
        <f>IF(AV94&amp;AW94="","",MAX(BB$12:BB93)+1)</f>
        <v/>
      </c>
      <c r="BC94" s="272" t="str">
        <f t="shared" si="121"/>
        <v/>
      </c>
      <c r="BD94" s="53" t="str">
        <f>IF(AND(AM94="NEMA",AN94="NEMA",OR(AV94&amp;AW94="",BC94="NEMA")),MAX(BD$12:BD93)+1,"")</f>
        <v/>
      </c>
      <c r="BE94" s="47" t="s">
        <v>0</v>
      </c>
      <c r="BF94" s="52" t="str">
        <f t="shared" si="161"/>
        <v>Franjo</v>
      </c>
      <c r="BG94" s="66" t="str">
        <f t="shared" si="162"/>
        <v>Lozančić</v>
      </c>
      <c r="BH94" s="47" t="s">
        <v>0</v>
      </c>
      <c r="BI94" s="52" t="str">
        <f t="shared" si="122"/>
        <v>Vihor</v>
      </c>
      <c r="BJ94" s="31" t="str">
        <f t="shared" si="123"/>
        <v>OK Vihor</v>
      </c>
      <c r="BK94" s="73" t="str">
        <f t="shared" si="124"/>
        <v/>
      </c>
      <c r="BL94" s="31" t="str" cm="1">
        <f t="array" ref="BL94">IF(BK94="",""&amp;BJ94,IF(BK94="NEMA",BJ94,INDEX(regKlub_naziv,MATCH(INDEX(regKlub_alias_klubId,BK94),regKlub_id,0))))</f>
        <v>OK Vihor</v>
      </c>
      <c r="BM94" s="31" t="str" cm="1">
        <f t="array" ref="BM94">IFERROR(""&amp;INDEX(regNatjecatelj_klub,DV94),"")</f>
        <v>OK Vihor</v>
      </c>
      <c r="BN94" s="73" t="str">
        <f t="shared" si="163"/>
        <v/>
      </c>
      <c r="BO94" s="66" t="str">
        <f t="shared" si="164"/>
        <v>OK Vihor</v>
      </c>
      <c r="BP94" s="47" t="s">
        <v>0</v>
      </c>
      <c r="BQ94" s="52" t="str">
        <f>IF(X94&lt;&gt;"NEMA","",IF(IFERROR(MATCH(W94,W$12:W93,0),0)&lt;&gt;0,"",W94))</f>
        <v/>
      </c>
      <c r="BR94" s="73" t="str">
        <f t="shared" si="165"/>
        <v/>
      </c>
      <c r="BS94" s="31" t="str">
        <f>IF(OR(BR94="",BR94&lt;&gt;"NEMA"),"",MAX(BS$12:BS93)+1)</f>
        <v/>
      </c>
      <c r="BT94" s="66" t="str">
        <f t="shared" si="166"/>
        <v/>
      </c>
      <c r="BU94" s="47" t="s">
        <v>0</v>
      </c>
      <c r="BV94" s="19" t="str">
        <f t="shared" si="167"/>
        <v/>
      </c>
      <c r="BW94" s="47" t="s">
        <v>0</v>
      </c>
      <c r="BX94" s="82" t="str">
        <f>IF(BK94&lt;&gt;"NEMA","",IF(IFERROR(MATCH(BJ94,BJ$12:BJ93,0),0)&lt;&gt;0,"",BJ94))</f>
        <v/>
      </c>
      <c r="BY94" s="47" t="s">
        <v>0</v>
      </c>
      <c r="BZ94" s="125"/>
      <c r="CA94" s="47" t="s">
        <v>0</v>
      </c>
      <c r="CB94" s="58" t="str">
        <f t="shared" si="168"/>
        <v/>
      </c>
      <c r="CC94" s="31" t="str">
        <f t="shared" si="169"/>
        <v/>
      </c>
      <c r="CD94" s="31" t="str">
        <f>IF(CC94="","",MAX(CD$12:CD93)+1)</f>
        <v/>
      </c>
      <c r="CE94" s="31" t="str">
        <f t="shared" si="125"/>
        <v/>
      </c>
      <c r="CF94" s="31" t="str">
        <f t="shared" si="170"/>
        <v/>
      </c>
      <c r="CG94" s="31" t="str">
        <f>IF(BZ94="","",MAX(CG$12:CG93)+1)</f>
        <v/>
      </c>
      <c r="CH94" s="31" t="str">
        <f t="shared" si="171"/>
        <v/>
      </c>
      <c r="CI94" s="66" t="str">
        <f t="shared" si="172"/>
        <v/>
      </c>
      <c r="CJ94" s="47" t="s">
        <v>0</v>
      </c>
      <c r="CK94" s="73" t="str">
        <f t="shared" si="126"/>
        <v/>
      </c>
      <c r="CL94" s="47"/>
      <c r="CM94" s="19" t="str">
        <f t="shared" si="173"/>
        <v/>
      </c>
      <c r="CN94" s="47" t="s">
        <v>0</v>
      </c>
      <c r="CO94" s="143" t="str">
        <f t="shared" si="174"/>
        <v>OK Vihor</v>
      </c>
      <c r="CP94" s="47" t="s">
        <v>0</v>
      </c>
      <c r="CQ94" s="58" t="str">
        <f t="shared" si="109"/>
        <v>107:41</v>
      </c>
      <c r="CR94" s="73" t="str">
        <f t="shared" si="110"/>
        <v>0</v>
      </c>
      <c r="CS94" s="229" t="str">
        <f t="shared" si="127"/>
        <v/>
      </c>
      <c r="CT94" s="230">
        <f t="shared" si="112"/>
        <v>6461</v>
      </c>
      <c r="CU94" s="163">
        <f t="shared" si="128"/>
        <v>1</v>
      </c>
      <c r="CV94" s="47" t="s">
        <v>0</v>
      </c>
      <c r="CW94" s="222" t="str">
        <f t="shared" si="175"/>
        <v xml:space="preserve">
</v>
      </c>
      <c r="CX94" s="223">
        <f t="shared" si="176"/>
        <v>6</v>
      </c>
      <c r="CY94" s="47" t="s">
        <v>0</v>
      </c>
      <c r="CZ94" s="47"/>
      <c r="DA94" s="47"/>
      <c r="DB94" s="47"/>
      <c r="DC94" s="47" t="s">
        <v>0</v>
      </c>
      <c r="DD94" s="53" t="str">
        <f t="shared" si="184"/>
        <v/>
      </c>
      <c r="DE94" t="s">
        <v>0</v>
      </c>
      <c r="DF94" s="128" t="str">
        <f t="shared" si="185"/>
        <v>M</v>
      </c>
      <c r="DG94" t="s">
        <v>0</v>
      </c>
      <c r="DH94" s="52" t="str">
        <f t="shared" si="186"/>
        <v/>
      </c>
      <c r="DI94" s="66" t="str">
        <f t="shared" si="187"/>
        <v/>
      </c>
      <c r="DJ94" t="s">
        <v>0</v>
      </c>
      <c r="DK94" s="19" t="str">
        <f t="shared" si="188"/>
        <v/>
      </c>
      <c r="DL94" s="47" t="s">
        <v>0</v>
      </c>
      <c r="DM94" s="19" t="str">
        <f t="shared" si="189"/>
        <v/>
      </c>
      <c r="DN94" s="47" t="s">
        <v>0</v>
      </c>
      <c r="DO94" s="52" t="str">
        <f t="shared" si="129"/>
        <v>Franjo – Lozančić – OK Vihor – M21B</v>
      </c>
      <c r="DP94" s="53">
        <f t="shared" si="130"/>
        <v>777</v>
      </c>
      <c r="DQ94" s="47" t="s">
        <v>0</v>
      </c>
      <c r="DR94" s="52" t="str">
        <f t="shared" si="131"/>
        <v>Franjo – Lozančić – OK Vihor</v>
      </c>
      <c r="DS94" s="53">
        <f t="shared" si="132"/>
        <v>777</v>
      </c>
      <c r="DT94" s="47" t="s">
        <v>0</v>
      </c>
      <c r="DU94" s="52" t="str">
        <f t="shared" si="133"/>
        <v>Franjo – Lozančić</v>
      </c>
      <c r="DV94" s="53">
        <f t="shared" si="134"/>
        <v>777</v>
      </c>
      <c r="DW94" s="47" t="s">
        <v>0</v>
      </c>
      <c r="DX94" s="58">
        <f t="shared" si="177"/>
        <v>777</v>
      </c>
      <c r="DY94" s="53" cm="1">
        <f t="array" ref="DY94">IF(DX94&lt;&gt;"",INDEX(regNatjecatelj_id,DX94,0),IF(BD94&lt;&gt;"",BD94,""))</f>
        <v>1897</v>
      </c>
      <c r="DZ94" s="47" t="s">
        <v>0</v>
      </c>
      <c r="EA94" s="58" t="str">
        <f t="shared" si="135"/>
        <v>imepre</v>
      </c>
      <c r="EB94" s="73" t="str">
        <f t="shared" si="136"/>
        <v>klu</v>
      </c>
      <c r="EC94" s="73" t="str">
        <f t="shared" si="137"/>
        <v>kat</v>
      </c>
      <c r="ED94" s="73" t="str">
        <f t="shared" si="138"/>
        <v/>
      </c>
      <c r="EE94" s="66" t="str">
        <f t="shared" si="139"/>
        <v>imepre-klu-kat</v>
      </c>
      <c r="EF94" s="47" t="s">
        <v>0</v>
      </c>
      <c r="EG94" s="58">
        <f>IF(AL94="","",MAX(EG$12:EG93)+1)</f>
        <v>264</v>
      </c>
      <c r="EH94" s="73">
        <f t="shared" si="140"/>
        <v>28</v>
      </c>
      <c r="EI94" s="73">
        <f t="shared" si="178"/>
        <v>1897</v>
      </c>
      <c r="EJ94" s="73">
        <f t="shared" si="141"/>
        <v>6461</v>
      </c>
      <c r="EK94" s="73">
        <f t="shared" si="142"/>
        <v>1</v>
      </c>
      <c r="EL94" s="73">
        <f t="shared" si="179"/>
        <v>1</v>
      </c>
      <c r="EM94" s="73">
        <f t="shared" si="180"/>
        <v>1</v>
      </c>
      <c r="EN94" s="73" t="str">
        <f t="shared" si="143"/>
        <v>0</v>
      </c>
      <c r="EO94" s="73" t="str">
        <f t="shared" si="144"/>
        <v/>
      </c>
      <c r="EP94" s="73" t="str">
        <f t="shared" si="145"/>
        <v/>
      </c>
      <c r="EQ94" s="53" t="str">
        <f t="shared" si="146"/>
        <v/>
      </c>
      <c r="ER94" s="47" t="s">
        <v>0</v>
      </c>
      <c r="ES94" s="19" t="str">
        <f t="shared" si="181"/>
        <v>INSERT INTO rezultat(id,stazakategorija_id,imeprezime_id,vrijeme_sec,status_id,registracija,uparivanje_id,originalstatus_id,imeprezimealias_id,klubalias_id,kategorijaalias_id) VALUES (264,28,1897,6461,1,1,1,0,Null,Null,Null);</v>
      </c>
      <c r="ET94" s="47" t="s">
        <v>0</v>
      </c>
      <c r="EU94" s="19" t="str">
        <f t="shared" si="182"/>
        <v>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4" s="47" t="s">
        <v>0</v>
      </c>
      <c r="EW94" s="180" t="str">
        <f t="shared" si="147"/>
        <v xml:space="preserve">
INSERT INTO rezultat(id,stazakategorija_id,imeprezime_id,vrijeme_sec,status_id,registracija,uparivanje_id,originalstatus_id,imeprezimealias_id,klubalias_id,kategorijaalias_id) VALUES (264,28,1897,6461,1,1,1,0,Null,Null,Null);
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4" s="47" t="s">
        <v>0</v>
      </c>
    </row>
    <row r="95" spans="1:154" x14ac:dyDescent="0.25">
      <c r="A95" t="s">
        <v>0</v>
      </c>
      <c r="B95" s="52" t="str">
        <f>IF(csv!F85="","",csv!T85)</f>
        <v>M21B</v>
      </c>
      <c r="C95" s="31" t="s">
        <v>0</v>
      </c>
      <c r="D95" s="31" t="str">
        <f>IF(csv!F85="","",csv!F85)</f>
        <v>Emil</v>
      </c>
      <c r="E95" s="31" t="str">
        <f>IF(csv!E85="","",csv!E85)</f>
        <v>Trčak</v>
      </c>
      <c r="F95" s="31" t="s">
        <v>0</v>
      </c>
      <c r="G95" s="73" t="str">
        <f>IF(csv!M85="","",csv!M85)</f>
        <v>111:44</v>
      </c>
      <c r="H95" s="73" t="str">
        <f>IF(csv!N85="","",csv!N85)</f>
        <v>0</v>
      </c>
      <c r="I95" s="31" t="s">
        <v>0</v>
      </c>
      <c r="J95" s="31" t="str">
        <f>IF(csv!P85="","",csv!P85)</f>
        <v>Vihor</v>
      </c>
      <c r="K95" s="31" t="str">
        <f>IF(csv!Q85="","",csv!Q85)</f>
        <v>OK Vihor</v>
      </c>
      <c r="L95" s="31" t="s">
        <v>0</v>
      </c>
      <c r="M95" s="66" t="str">
        <f>IF(csv!R85="","",csv!R85)</f>
        <v>CRO</v>
      </c>
      <c r="N95" s="47" t="s">
        <v>0</v>
      </c>
      <c r="O95" s="246" t="str">
        <f t="shared" si="148"/>
        <v>ok</v>
      </c>
      <c r="P95" s="47"/>
      <c r="Q95" s="52" t="str">
        <f t="shared" si="149"/>
        <v>M21B</v>
      </c>
      <c r="R95" s="73">
        <f>IF(Q95="","",IF(COUNTIF(Q$12:Q94,Q95)=0,R94+1,R94))</f>
        <v>6</v>
      </c>
      <c r="S95" s="73">
        <f t="shared" si="150"/>
        <v>108</v>
      </c>
      <c r="T95" s="73">
        <f t="shared" si="113"/>
        <v>19</v>
      </c>
      <c r="U95" s="66" t="str">
        <f t="shared" si="114"/>
        <v>M21B – M16</v>
      </c>
      <c r="V95" s="47" t="s">
        <v>0</v>
      </c>
      <c r="W95" s="222" t="str">
        <f t="shared" si="115"/>
        <v>M21B</v>
      </c>
      <c r="X95" s="223">
        <f t="shared" si="116"/>
        <v>28</v>
      </c>
      <c r="Y95" s="47" t="s">
        <v>0</v>
      </c>
      <c r="Z95" s="52" t="str">
        <f t="shared" si="151"/>
        <v>CRO</v>
      </c>
      <c r="AA95" s="73">
        <f t="shared" si="117"/>
        <v>1</v>
      </c>
      <c r="AB95" s="31" t="str">
        <f t="shared" si="152"/>
        <v/>
      </c>
      <c r="AC95" s="66" t="str">
        <f>IF(AB95="","",MAX(AC$12:AC94)+1)</f>
        <v/>
      </c>
      <c r="AD95" s="47" t="s">
        <v>0</v>
      </c>
      <c r="AE95" s="125"/>
      <c r="AF95" s="47" t="s">
        <v>0</v>
      </c>
      <c r="AG95" s="19" t="str">
        <f t="shared" si="153"/>
        <v/>
      </c>
      <c r="AH95" s="47" t="s">
        <v>0</v>
      </c>
      <c r="AI95" s="143" t="str">
        <f t="shared" si="154"/>
        <v>CRO</v>
      </c>
      <c r="AJ95" s="47"/>
      <c r="AK95" s="52" t="str">
        <f t="shared" si="155"/>
        <v>Emil</v>
      </c>
      <c r="AL95" s="31" t="str">
        <f t="shared" si="156"/>
        <v>Trčak</v>
      </c>
      <c r="AM95" s="73">
        <f t="shared" si="157"/>
        <v>1929</v>
      </c>
      <c r="AN95" s="73" t="str">
        <f t="shared" si="158"/>
        <v/>
      </c>
      <c r="AO95" s="31" t="str">
        <f t="shared" si="118"/>
        <v>Emil</v>
      </c>
      <c r="AP95" s="66" t="str">
        <f t="shared" si="119"/>
        <v>Trčak</v>
      </c>
      <c r="AQ95" s="47" t="s">
        <v>0</v>
      </c>
      <c r="AR95" s="82" t="str">
        <f t="shared" si="159"/>
        <v/>
      </c>
      <c r="AS95" s="47" t="s">
        <v>0</v>
      </c>
      <c r="AT95" s="19" t="str">
        <f t="shared" si="160"/>
        <v/>
      </c>
      <c r="AU95" s="47" t="s">
        <v>0</v>
      </c>
      <c r="AV95" s="103"/>
      <c r="AW95" s="105"/>
      <c r="AX95" s="47" t="s">
        <v>0</v>
      </c>
      <c r="AY95" s="259" t="str">
        <f t="shared" si="183"/>
        <v/>
      </c>
      <c r="AZ95" s="47" t="s">
        <v>0</v>
      </c>
      <c r="BA95" s="52" t="str">
        <f t="shared" si="120"/>
        <v/>
      </c>
      <c r="BB95" s="73" t="str">
        <f>IF(AV95&amp;AW95="","",MAX(BB$12:BB94)+1)</f>
        <v/>
      </c>
      <c r="BC95" s="272" t="str">
        <f t="shared" si="121"/>
        <v/>
      </c>
      <c r="BD95" s="53" t="str">
        <f>IF(AND(AM95="NEMA",AN95="NEMA",OR(AV95&amp;AW95="",BC95="NEMA")),MAX(BD$12:BD94)+1,"")</f>
        <v/>
      </c>
      <c r="BE95" s="47" t="s">
        <v>0</v>
      </c>
      <c r="BF95" s="52" t="str">
        <f t="shared" si="161"/>
        <v>Emil</v>
      </c>
      <c r="BG95" s="66" t="str">
        <f t="shared" si="162"/>
        <v>Trčak</v>
      </c>
      <c r="BH95" s="47" t="s">
        <v>0</v>
      </c>
      <c r="BI95" s="52" t="str">
        <f t="shared" si="122"/>
        <v>Vihor</v>
      </c>
      <c r="BJ95" s="31" t="str">
        <f t="shared" si="123"/>
        <v>OK Vihor</v>
      </c>
      <c r="BK95" s="73" t="str">
        <f t="shared" si="124"/>
        <v/>
      </c>
      <c r="BL95" s="31" t="str" cm="1">
        <f t="array" ref="BL95">IF(BK95="",""&amp;BJ95,IF(BK95="NEMA",BJ95,INDEX(regKlub_naziv,MATCH(INDEX(regKlub_alias_klubId,BK95),regKlub_id,0))))</f>
        <v>OK Vihor</v>
      </c>
      <c r="BM95" s="31" t="str" cm="1">
        <f t="array" ref="BM95">IFERROR(""&amp;INDEX(regNatjecatelj_klub,DV95),"")</f>
        <v>OK Vihor</v>
      </c>
      <c r="BN95" s="73" t="str">
        <f t="shared" si="163"/>
        <v/>
      </c>
      <c r="BO95" s="66" t="str">
        <f t="shared" si="164"/>
        <v>OK Vihor</v>
      </c>
      <c r="BP95" s="47" t="s">
        <v>0</v>
      </c>
      <c r="BQ95" s="52" t="str">
        <f>IF(X95&lt;&gt;"NEMA","",IF(IFERROR(MATCH(W95,W$12:W94,0),0)&lt;&gt;0,"",W95))</f>
        <v/>
      </c>
      <c r="BR95" s="73" t="str">
        <f t="shared" si="165"/>
        <v/>
      </c>
      <c r="BS95" s="31" t="str">
        <f>IF(OR(BR95="",BR95&lt;&gt;"NEMA"),"",MAX(BS$12:BS94)+1)</f>
        <v/>
      </c>
      <c r="BT95" s="66" t="str">
        <f t="shared" si="166"/>
        <v/>
      </c>
      <c r="BU95" s="47" t="s">
        <v>0</v>
      </c>
      <c r="BV95" s="19" t="str">
        <f t="shared" si="167"/>
        <v/>
      </c>
      <c r="BW95" s="47" t="s">
        <v>0</v>
      </c>
      <c r="BX95" s="82" t="str">
        <f>IF(BK95&lt;&gt;"NEMA","",IF(IFERROR(MATCH(BJ95,BJ$12:BJ94,0),0)&lt;&gt;0,"",BJ95))</f>
        <v/>
      </c>
      <c r="BY95" s="47" t="s">
        <v>0</v>
      </c>
      <c r="BZ95" s="125"/>
      <c r="CA95" s="47" t="s">
        <v>0</v>
      </c>
      <c r="CB95" s="58" t="str">
        <f t="shared" si="168"/>
        <v/>
      </c>
      <c r="CC95" s="31" t="str">
        <f t="shared" si="169"/>
        <v/>
      </c>
      <c r="CD95" s="31" t="str">
        <f>IF(CC95="","",MAX(CD$12:CD94)+1)</f>
        <v/>
      </c>
      <c r="CE95" s="31" t="str">
        <f t="shared" si="125"/>
        <v/>
      </c>
      <c r="CF95" s="31" t="str">
        <f t="shared" si="170"/>
        <v/>
      </c>
      <c r="CG95" s="31" t="str">
        <f>IF(BZ95="","",MAX(CG$12:CG94)+1)</f>
        <v/>
      </c>
      <c r="CH95" s="31" t="str">
        <f t="shared" si="171"/>
        <v/>
      </c>
      <c r="CI95" s="66" t="str">
        <f t="shared" si="172"/>
        <v/>
      </c>
      <c r="CJ95" s="47" t="s">
        <v>0</v>
      </c>
      <c r="CK95" s="73" t="str">
        <f t="shared" si="126"/>
        <v/>
      </c>
      <c r="CL95" s="47"/>
      <c r="CM95" s="19" t="str">
        <f t="shared" si="173"/>
        <v/>
      </c>
      <c r="CN95" s="47" t="s">
        <v>0</v>
      </c>
      <c r="CO95" s="143" t="str">
        <f t="shared" si="174"/>
        <v>OK Vihor</v>
      </c>
      <c r="CP95" s="47" t="s">
        <v>0</v>
      </c>
      <c r="CQ95" s="58" t="str">
        <f t="shared" si="109"/>
        <v>111:44</v>
      </c>
      <c r="CR95" s="73" t="str">
        <f t="shared" si="110"/>
        <v>0</v>
      </c>
      <c r="CS95" s="229" t="str">
        <f t="shared" si="127"/>
        <v/>
      </c>
      <c r="CT95" s="230">
        <f t="shared" si="112"/>
        <v>6704</v>
      </c>
      <c r="CU95" s="163">
        <f t="shared" si="128"/>
        <v>1</v>
      </c>
      <c r="CV95" s="47" t="s">
        <v>0</v>
      </c>
      <c r="CW95" s="222" t="str">
        <f t="shared" si="175"/>
        <v xml:space="preserve">
</v>
      </c>
      <c r="CX95" s="223">
        <f t="shared" si="176"/>
        <v>6</v>
      </c>
      <c r="CY95" s="47" t="s">
        <v>0</v>
      </c>
      <c r="CZ95" s="47"/>
      <c r="DA95" s="47"/>
      <c r="DB95" s="47"/>
      <c r="DC95" s="47" t="s">
        <v>0</v>
      </c>
      <c r="DD95" s="53" t="str">
        <f t="shared" si="184"/>
        <v/>
      </c>
      <c r="DE95" t="s">
        <v>0</v>
      </c>
      <c r="DF95" s="128" t="str">
        <f t="shared" si="185"/>
        <v>M</v>
      </c>
      <c r="DG95" t="s">
        <v>0</v>
      </c>
      <c r="DH95" s="52" t="str">
        <f t="shared" si="186"/>
        <v/>
      </c>
      <c r="DI95" s="66" t="str">
        <f t="shared" si="187"/>
        <v/>
      </c>
      <c r="DJ95" t="s">
        <v>0</v>
      </c>
      <c r="DK95" s="19" t="str">
        <f t="shared" si="188"/>
        <v/>
      </c>
      <c r="DL95" s="47" t="s">
        <v>0</v>
      </c>
      <c r="DM95" s="19" t="str">
        <f t="shared" si="189"/>
        <v/>
      </c>
      <c r="DN95" s="47" t="s">
        <v>0</v>
      </c>
      <c r="DO95" s="52" t="str">
        <f t="shared" si="129"/>
        <v>Emil – Trčak – OK Vihor – M21B</v>
      </c>
      <c r="DP95" s="53">
        <f t="shared" si="130"/>
        <v>925</v>
      </c>
      <c r="DQ95" s="47" t="s">
        <v>0</v>
      </c>
      <c r="DR95" s="52" t="str">
        <f t="shared" si="131"/>
        <v>Emil – Trčak – OK Vihor</v>
      </c>
      <c r="DS95" s="53">
        <f t="shared" si="132"/>
        <v>925</v>
      </c>
      <c r="DT95" s="47" t="s">
        <v>0</v>
      </c>
      <c r="DU95" s="52" t="str">
        <f t="shared" si="133"/>
        <v>Emil – Trčak</v>
      </c>
      <c r="DV95" s="53">
        <f t="shared" si="134"/>
        <v>925</v>
      </c>
      <c r="DW95" s="47" t="s">
        <v>0</v>
      </c>
      <c r="DX95" s="58">
        <f t="shared" si="177"/>
        <v>925</v>
      </c>
      <c r="DY95" s="53" cm="1">
        <f t="array" ref="DY95">IF(DX95&lt;&gt;"",INDEX(regNatjecatelj_id,DX95,0),IF(BD95&lt;&gt;"",BD95,""))</f>
        <v>1929</v>
      </c>
      <c r="DZ95" s="47" t="s">
        <v>0</v>
      </c>
      <c r="EA95" s="58" t="str">
        <f t="shared" si="135"/>
        <v>imepre</v>
      </c>
      <c r="EB95" s="73" t="str">
        <f t="shared" si="136"/>
        <v>klu</v>
      </c>
      <c r="EC95" s="73" t="str">
        <f t="shared" si="137"/>
        <v>kat</v>
      </c>
      <c r="ED95" s="73" t="str">
        <f t="shared" si="138"/>
        <v/>
      </c>
      <c r="EE95" s="66" t="str">
        <f t="shared" si="139"/>
        <v>imepre-klu-kat</v>
      </c>
      <c r="EF95" s="47" t="s">
        <v>0</v>
      </c>
      <c r="EG95" s="58">
        <f>IF(AL95="","",MAX(EG$12:EG94)+1)</f>
        <v>265</v>
      </c>
      <c r="EH95" s="73">
        <f t="shared" si="140"/>
        <v>28</v>
      </c>
      <c r="EI95" s="73">
        <f t="shared" si="178"/>
        <v>1929</v>
      </c>
      <c r="EJ95" s="73">
        <f t="shared" si="141"/>
        <v>6704</v>
      </c>
      <c r="EK95" s="73">
        <f t="shared" si="142"/>
        <v>1</v>
      </c>
      <c r="EL95" s="73">
        <f t="shared" si="179"/>
        <v>1</v>
      </c>
      <c r="EM95" s="73">
        <f t="shared" si="180"/>
        <v>1</v>
      </c>
      <c r="EN95" s="73" t="str">
        <f t="shared" si="143"/>
        <v>0</v>
      </c>
      <c r="EO95" s="73" t="str">
        <f t="shared" si="144"/>
        <v/>
      </c>
      <c r="EP95" s="73" t="str">
        <f t="shared" si="145"/>
        <v/>
      </c>
      <c r="EQ95" s="53" t="str">
        <f t="shared" si="146"/>
        <v/>
      </c>
      <c r="ER95" s="47" t="s">
        <v>0</v>
      </c>
      <c r="ES95" s="19" t="str">
        <f t="shared" si="181"/>
        <v>INSERT INTO rezultat(id,stazakategorija_id,imeprezime_id,vrijeme_sec,status_id,registracija,uparivanje_id,originalstatus_id,imeprezimealias_id,klubalias_id,kategorijaalias_id) VALUES (265,28,1929,6704,1,1,1,0,Null,Null,Null);</v>
      </c>
      <c r="ET95" s="47" t="s">
        <v>0</v>
      </c>
      <c r="EU95" s="19" t="str">
        <f t="shared" si="182"/>
        <v>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5" s="47" t="s">
        <v>0</v>
      </c>
      <c r="EW95" s="180" t="str">
        <f t="shared" si="147"/>
        <v xml:space="preserve">
INSERT INTO rezultat(id,stazakategorija_id,imeprezime_id,vrijeme_sec,status_id,registracija,uparivanje_id,originalstatus_id,imeprezimealias_id,klubalias_id,kategorijaalias_id) VALUES (265,28,1929,6704,1,1,1,0,Null,Null,Null);
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5" s="47" t="s">
        <v>0</v>
      </c>
    </row>
    <row r="96" spans="1:154" x14ac:dyDescent="0.25">
      <c r="A96" t="s">
        <v>0</v>
      </c>
      <c r="B96" s="52" t="str">
        <f>IF(csv!F86="","",csv!T86)</f>
        <v>M21B</v>
      </c>
      <c r="C96" s="31" t="s">
        <v>0</v>
      </c>
      <c r="D96" s="31" t="str">
        <f>IF(csv!F86="","",csv!F86)</f>
        <v>Hrvoje</v>
      </c>
      <c r="E96" s="31" t="str">
        <f>IF(csv!E86="","",csv!E86)</f>
        <v>Jandras</v>
      </c>
      <c r="F96" s="31" t="s">
        <v>0</v>
      </c>
      <c r="G96" s="73" t="str">
        <f>IF(csv!M86="","",csv!M86)</f>
        <v>122:34</v>
      </c>
      <c r="H96" s="73" t="str">
        <f>IF(csv!N86="","",csv!N86)</f>
        <v>0</v>
      </c>
      <c r="I96" s="31" t="s">
        <v>0</v>
      </c>
      <c r="J96" s="31" t="str">
        <f>IF(csv!P86="","",csv!P86)</f>
        <v>Vihor</v>
      </c>
      <c r="K96" s="31" t="str">
        <f>IF(csv!Q86="","",csv!Q86)</f>
        <v>OK Vihor</v>
      </c>
      <c r="L96" s="31" t="s">
        <v>0</v>
      </c>
      <c r="M96" s="66" t="str">
        <f>IF(csv!R86="","",csv!R86)</f>
        <v>CRO</v>
      </c>
      <c r="N96" s="47" t="s">
        <v>0</v>
      </c>
      <c r="O96" s="246" t="str">
        <f t="shared" si="148"/>
        <v>ok</v>
      </c>
      <c r="P96" s="47"/>
      <c r="Q96" s="52" t="str">
        <f t="shared" si="149"/>
        <v>M21B</v>
      </c>
      <c r="R96" s="73">
        <f>IF(Q96="","",IF(COUNTIF(Q$12:Q95,Q96)=0,R95+1,R95))</f>
        <v>6</v>
      </c>
      <c r="S96" s="73">
        <f t="shared" si="150"/>
        <v>108</v>
      </c>
      <c r="T96" s="73">
        <f t="shared" si="113"/>
        <v>19</v>
      </c>
      <c r="U96" s="66" t="str">
        <f t="shared" si="114"/>
        <v>M21B – M16</v>
      </c>
      <c r="V96" s="47" t="s">
        <v>0</v>
      </c>
      <c r="W96" s="222" t="str">
        <f t="shared" si="115"/>
        <v>M21B</v>
      </c>
      <c r="X96" s="223">
        <f t="shared" si="116"/>
        <v>28</v>
      </c>
      <c r="Y96" s="47" t="s">
        <v>0</v>
      </c>
      <c r="Z96" s="52" t="str">
        <f t="shared" si="151"/>
        <v>CRO</v>
      </c>
      <c r="AA96" s="73">
        <f t="shared" si="117"/>
        <v>1</v>
      </c>
      <c r="AB96" s="31" t="str">
        <f t="shared" si="152"/>
        <v/>
      </c>
      <c r="AC96" s="66" t="str">
        <f>IF(AB96="","",MAX(AC$12:AC95)+1)</f>
        <v/>
      </c>
      <c r="AD96" s="47" t="s">
        <v>0</v>
      </c>
      <c r="AE96" s="125"/>
      <c r="AF96" s="47" t="s">
        <v>0</v>
      </c>
      <c r="AG96" s="19" t="str">
        <f t="shared" si="153"/>
        <v/>
      </c>
      <c r="AH96" s="47" t="s">
        <v>0</v>
      </c>
      <c r="AI96" s="143" t="str">
        <f t="shared" si="154"/>
        <v>CRO</v>
      </c>
      <c r="AJ96" s="47"/>
      <c r="AK96" s="52" t="str">
        <f t="shared" si="155"/>
        <v>Hrvoje</v>
      </c>
      <c r="AL96" s="31" t="str">
        <f t="shared" si="156"/>
        <v>Jandras</v>
      </c>
      <c r="AM96" s="73">
        <f t="shared" si="157"/>
        <v>1890</v>
      </c>
      <c r="AN96" s="73" t="str">
        <f t="shared" si="158"/>
        <v/>
      </c>
      <c r="AO96" s="31" t="str">
        <f t="shared" si="118"/>
        <v>Hrvoje</v>
      </c>
      <c r="AP96" s="66" t="str">
        <f t="shared" si="119"/>
        <v>Jandras</v>
      </c>
      <c r="AQ96" s="47" t="s">
        <v>0</v>
      </c>
      <c r="AR96" s="82" t="str">
        <f t="shared" si="159"/>
        <v/>
      </c>
      <c r="AS96" s="47" t="s">
        <v>0</v>
      </c>
      <c r="AT96" s="19" t="str">
        <f t="shared" si="160"/>
        <v/>
      </c>
      <c r="AU96" s="47" t="s">
        <v>0</v>
      </c>
      <c r="AV96" s="103"/>
      <c r="AW96" s="105"/>
      <c r="AX96" s="47" t="s">
        <v>0</v>
      </c>
      <c r="AY96" s="259" t="str">
        <f t="shared" si="183"/>
        <v/>
      </c>
      <c r="AZ96" s="47" t="s">
        <v>0</v>
      </c>
      <c r="BA96" s="52" t="str">
        <f t="shared" si="120"/>
        <v/>
      </c>
      <c r="BB96" s="73" t="str">
        <f>IF(AV96&amp;AW96="","",MAX(BB$12:BB95)+1)</f>
        <v/>
      </c>
      <c r="BC96" s="272" t="str">
        <f t="shared" si="121"/>
        <v/>
      </c>
      <c r="BD96" s="53" t="str">
        <f>IF(AND(AM96="NEMA",AN96="NEMA",OR(AV96&amp;AW96="",BC96="NEMA")),MAX(BD$12:BD95)+1,"")</f>
        <v/>
      </c>
      <c r="BE96" s="47" t="s">
        <v>0</v>
      </c>
      <c r="BF96" s="52" t="str">
        <f t="shared" si="161"/>
        <v>Hrvoje</v>
      </c>
      <c r="BG96" s="66" t="str">
        <f t="shared" si="162"/>
        <v>Jandras</v>
      </c>
      <c r="BH96" s="47" t="s">
        <v>0</v>
      </c>
      <c r="BI96" s="52" t="str">
        <f t="shared" si="122"/>
        <v>Vihor</v>
      </c>
      <c r="BJ96" s="31" t="str">
        <f t="shared" si="123"/>
        <v>OK Vihor</v>
      </c>
      <c r="BK96" s="73" t="str">
        <f t="shared" si="124"/>
        <v/>
      </c>
      <c r="BL96" s="31" t="str" cm="1">
        <f t="array" ref="BL96">IF(BK96="",""&amp;BJ96,IF(BK96="NEMA",BJ96,INDEX(regKlub_naziv,MATCH(INDEX(regKlub_alias_klubId,BK96),regKlub_id,0))))</f>
        <v>OK Vihor</v>
      </c>
      <c r="BM96" s="31" t="str" cm="1">
        <f t="array" ref="BM96">IFERROR(""&amp;INDEX(regNatjecatelj_klub,DV96),"")</f>
        <v>OK Vihor</v>
      </c>
      <c r="BN96" s="73" t="str">
        <f t="shared" si="163"/>
        <v/>
      </c>
      <c r="BO96" s="66" t="str">
        <f t="shared" si="164"/>
        <v>OK Vihor</v>
      </c>
      <c r="BP96" s="47" t="s">
        <v>0</v>
      </c>
      <c r="BQ96" s="52" t="str">
        <f>IF(X96&lt;&gt;"NEMA","",IF(IFERROR(MATCH(W96,W$12:W95,0),0)&lt;&gt;0,"",W96))</f>
        <v/>
      </c>
      <c r="BR96" s="73" t="str">
        <f t="shared" si="165"/>
        <v/>
      </c>
      <c r="BS96" s="31" t="str">
        <f>IF(OR(BR96="",BR96&lt;&gt;"NEMA"),"",MAX(BS$12:BS95)+1)</f>
        <v/>
      </c>
      <c r="BT96" s="66" t="str">
        <f t="shared" si="166"/>
        <v/>
      </c>
      <c r="BU96" s="47" t="s">
        <v>0</v>
      </c>
      <c r="BV96" s="19" t="str">
        <f t="shared" si="167"/>
        <v/>
      </c>
      <c r="BW96" s="47" t="s">
        <v>0</v>
      </c>
      <c r="BX96" s="82" t="str">
        <f>IF(BK96&lt;&gt;"NEMA","",IF(IFERROR(MATCH(BJ96,BJ$12:BJ95,0),0)&lt;&gt;0,"",BJ96))</f>
        <v/>
      </c>
      <c r="BY96" s="47" t="s">
        <v>0</v>
      </c>
      <c r="BZ96" s="125"/>
      <c r="CA96" s="47" t="s">
        <v>0</v>
      </c>
      <c r="CB96" s="58" t="str">
        <f t="shared" si="168"/>
        <v/>
      </c>
      <c r="CC96" s="31" t="str">
        <f t="shared" si="169"/>
        <v/>
      </c>
      <c r="CD96" s="31" t="str">
        <f>IF(CC96="","",MAX(CD$12:CD95)+1)</f>
        <v/>
      </c>
      <c r="CE96" s="31" t="str">
        <f t="shared" si="125"/>
        <v/>
      </c>
      <c r="CF96" s="31" t="str">
        <f t="shared" si="170"/>
        <v/>
      </c>
      <c r="CG96" s="31" t="str">
        <f>IF(BZ96="","",MAX(CG$12:CG95)+1)</f>
        <v/>
      </c>
      <c r="CH96" s="31" t="str">
        <f t="shared" si="171"/>
        <v/>
      </c>
      <c r="CI96" s="66" t="str">
        <f t="shared" si="172"/>
        <v/>
      </c>
      <c r="CJ96" s="47" t="s">
        <v>0</v>
      </c>
      <c r="CK96" s="73" t="str">
        <f t="shared" si="126"/>
        <v/>
      </c>
      <c r="CL96" s="47"/>
      <c r="CM96" s="19" t="str">
        <f t="shared" si="173"/>
        <v/>
      </c>
      <c r="CN96" s="47" t="s">
        <v>0</v>
      </c>
      <c r="CO96" s="143" t="str">
        <f t="shared" si="174"/>
        <v>OK Vihor</v>
      </c>
      <c r="CP96" s="47" t="s">
        <v>0</v>
      </c>
      <c r="CQ96" s="58" t="str">
        <f t="shared" si="109"/>
        <v>122:34</v>
      </c>
      <c r="CR96" s="73" t="str">
        <f t="shared" si="110"/>
        <v>0</v>
      </c>
      <c r="CS96" s="229" t="str">
        <f t="shared" si="127"/>
        <v/>
      </c>
      <c r="CT96" s="230">
        <f t="shared" si="112"/>
        <v>7354</v>
      </c>
      <c r="CU96" s="163">
        <f t="shared" si="128"/>
        <v>1</v>
      </c>
      <c r="CV96" s="47" t="s">
        <v>0</v>
      </c>
      <c r="CW96" s="222" t="str">
        <f t="shared" si="175"/>
        <v xml:space="preserve">
</v>
      </c>
      <c r="CX96" s="223">
        <f t="shared" si="176"/>
        <v>6</v>
      </c>
      <c r="CY96" s="47" t="s">
        <v>0</v>
      </c>
      <c r="CZ96" s="47"/>
      <c r="DA96" s="47"/>
      <c r="DB96" s="47"/>
      <c r="DC96" s="47" t="s">
        <v>0</v>
      </c>
      <c r="DD96" s="53" t="str">
        <f t="shared" si="184"/>
        <v/>
      </c>
      <c r="DE96" t="s">
        <v>0</v>
      </c>
      <c r="DF96" s="128" t="str">
        <f t="shared" si="185"/>
        <v>M</v>
      </c>
      <c r="DG96" t="s">
        <v>0</v>
      </c>
      <c r="DH96" s="52" t="str">
        <f t="shared" si="186"/>
        <v/>
      </c>
      <c r="DI96" s="66" t="str">
        <f t="shared" si="187"/>
        <v/>
      </c>
      <c r="DJ96" t="s">
        <v>0</v>
      </c>
      <c r="DK96" s="19" t="str">
        <f t="shared" si="188"/>
        <v/>
      </c>
      <c r="DL96" s="47" t="s">
        <v>0</v>
      </c>
      <c r="DM96" s="19" t="str">
        <f t="shared" si="189"/>
        <v/>
      </c>
      <c r="DN96" s="47" t="s">
        <v>0</v>
      </c>
      <c r="DO96" s="52" t="str">
        <f t="shared" si="129"/>
        <v>Hrvoje – Jandras – OK Vihor – M21B</v>
      </c>
      <c r="DP96" s="53">
        <f t="shared" si="130"/>
        <v>711</v>
      </c>
      <c r="DQ96" s="47" t="s">
        <v>0</v>
      </c>
      <c r="DR96" s="52" t="str">
        <f t="shared" si="131"/>
        <v>Hrvoje – Jandras – OK Vihor</v>
      </c>
      <c r="DS96" s="53">
        <f t="shared" si="132"/>
        <v>711</v>
      </c>
      <c r="DT96" s="47" t="s">
        <v>0</v>
      </c>
      <c r="DU96" s="52" t="str">
        <f t="shared" si="133"/>
        <v>Hrvoje – Jandras</v>
      </c>
      <c r="DV96" s="53">
        <f t="shared" si="134"/>
        <v>711</v>
      </c>
      <c r="DW96" s="47" t="s">
        <v>0</v>
      </c>
      <c r="DX96" s="58">
        <f t="shared" si="177"/>
        <v>711</v>
      </c>
      <c r="DY96" s="53" cm="1">
        <f t="array" ref="DY96">IF(DX96&lt;&gt;"",INDEX(regNatjecatelj_id,DX96,0),IF(BD96&lt;&gt;"",BD96,""))</f>
        <v>1890</v>
      </c>
      <c r="DZ96" s="47" t="s">
        <v>0</v>
      </c>
      <c r="EA96" s="58" t="str">
        <f t="shared" si="135"/>
        <v>imepre</v>
      </c>
      <c r="EB96" s="73" t="str">
        <f t="shared" si="136"/>
        <v>klu</v>
      </c>
      <c r="EC96" s="73" t="str">
        <f t="shared" si="137"/>
        <v>kat</v>
      </c>
      <c r="ED96" s="73" t="str">
        <f t="shared" si="138"/>
        <v/>
      </c>
      <c r="EE96" s="66" t="str">
        <f t="shared" si="139"/>
        <v>imepre-klu-kat</v>
      </c>
      <c r="EF96" s="47" t="s">
        <v>0</v>
      </c>
      <c r="EG96" s="58">
        <f>IF(AL96="","",MAX(EG$12:EG95)+1)</f>
        <v>266</v>
      </c>
      <c r="EH96" s="73">
        <f t="shared" si="140"/>
        <v>28</v>
      </c>
      <c r="EI96" s="73">
        <f t="shared" si="178"/>
        <v>1890</v>
      </c>
      <c r="EJ96" s="73">
        <f t="shared" si="141"/>
        <v>7354</v>
      </c>
      <c r="EK96" s="73">
        <f t="shared" si="142"/>
        <v>1</v>
      </c>
      <c r="EL96" s="73">
        <f t="shared" si="179"/>
        <v>1</v>
      </c>
      <c r="EM96" s="73">
        <f t="shared" si="180"/>
        <v>1</v>
      </c>
      <c r="EN96" s="73" t="str">
        <f t="shared" si="143"/>
        <v>0</v>
      </c>
      <c r="EO96" s="73" t="str">
        <f t="shared" si="144"/>
        <v/>
      </c>
      <c r="EP96" s="73" t="str">
        <f t="shared" si="145"/>
        <v/>
      </c>
      <c r="EQ96" s="53" t="str">
        <f t="shared" si="146"/>
        <v/>
      </c>
      <c r="ER96" s="47" t="s">
        <v>0</v>
      </c>
      <c r="ES96" s="19" t="str">
        <f t="shared" si="181"/>
        <v>INSERT INTO rezultat(id,stazakategorija_id,imeprezime_id,vrijeme_sec,status_id,registracija,uparivanje_id,originalstatus_id,imeprezimealias_id,klubalias_id,kategorijaalias_id) VALUES (266,28,1890,7354,1,1,1,0,Null,Null,Null);</v>
      </c>
      <c r="ET96" s="47" t="s">
        <v>0</v>
      </c>
      <c r="EU96" s="19" t="str">
        <f t="shared" si="182"/>
        <v>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6" s="47" t="s">
        <v>0</v>
      </c>
      <c r="EW96" s="180" t="str">
        <f t="shared" si="147"/>
        <v xml:space="preserve">
INSERT INTO rezultat(id,stazakategorija_id,imeprezime_id,vrijeme_sec,status_id,registracija,uparivanje_id,originalstatus_id,imeprezimealias_id,klubalias_id,kategorijaalias_id) VALUES (266,28,1890,7354,1,1,1,0,Null,Null,Null);
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6" s="47" t="s">
        <v>0</v>
      </c>
    </row>
    <row r="97" spans="1:154" x14ac:dyDescent="0.25">
      <c r="A97" t="s">
        <v>0</v>
      </c>
      <c r="B97" s="52" t="str">
        <f>IF(csv!F87="","",csv!T87)</f>
        <v>M21B</v>
      </c>
      <c r="C97" s="31" t="s">
        <v>0</v>
      </c>
      <c r="D97" s="31" t="str">
        <f>IF(csv!F87="","",csv!F87)</f>
        <v>Nikola</v>
      </c>
      <c r="E97" s="31" t="str">
        <f>IF(csv!E87="","",csv!E87)</f>
        <v>Lucić</v>
      </c>
      <c r="F97" s="31" t="s">
        <v>0</v>
      </c>
      <c r="G97" s="73" t="str">
        <f>IF(csv!M87="","",csv!M87)</f>
        <v>142:30</v>
      </c>
      <c r="H97" s="73" t="str">
        <f>IF(csv!N87="","",csv!N87)</f>
        <v>0</v>
      </c>
      <c r="I97" s="31" t="s">
        <v>0</v>
      </c>
      <c r="J97" s="31" t="str">
        <f>IF(csv!P87="","",csv!P87)</f>
        <v>Vihor</v>
      </c>
      <c r="K97" s="31" t="str">
        <f>IF(csv!Q87="","",csv!Q87)</f>
        <v>OK Vihor</v>
      </c>
      <c r="L97" s="31" t="s">
        <v>0</v>
      </c>
      <c r="M97" s="66" t="str">
        <f>IF(csv!R87="","",csv!R87)</f>
        <v>CRO</v>
      </c>
      <c r="N97" s="47" t="s">
        <v>0</v>
      </c>
      <c r="O97" s="246" t="str">
        <f t="shared" si="148"/>
        <v>ok</v>
      </c>
      <c r="P97" s="47"/>
      <c r="Q97" s="52" t="str">
        <f t="shared" si="149"/>
        <v>M21B</v>
      </c>
      <c r="R97" s="73">
        <f>IF(Q97="","",IF(COUNTIF(Q$12:Q96,Q97)=0,R96+1,R96))</f>
        <v>6</v>
      </c>
      <c r="S97" s="73">
        <f t="shared" si="150"/>
        <v>108</v>
      </c>
      <c r="T97" s="73">
        <f t="shared" si="113"/>
        <v>19</v>
      </c>
      <c r="U97" s="66" t="str">
        <f t="shared" si="114"/>
        <v>M21B – M16</v>
      </c>
      <c r="V97" s="47" t="s">
        <v>0</v>
      </c>
      <c r="W97" s="222" t="str">
        <f t="shared" si="115"/>
        <v>M21B</v>
      </c>
      <c r="X97" s="223">
        <f t="shared" si="116"/>
        <v>28</v>
      </c>
      <c r="Y97" s="47" t="s">
        <v>0</v>
      </c>
      <c r="Z97" s="52" t="str">
        <f t="shared" si="151"/>
        <v>CRO</v>
      </c>
      <c r="AA97" s="73">
        <f t="shared" si="117"/>
        <v>1</v>
      </c>
      <c r="AB97" s="31" t="str">
        <f t="shared" si="152"/>
        <v/>
      </c>
      <c r="AC97" s="66" t="str">
        <f>IF(AB97="","",MAX(AC$12:AC96)+1)</f>
        <v/>
      </c>
      <c r="AD97" s="47" t="s">
        <v>0</v>
      </c>
      <c r="AE97" s="125"/>
      <c r="AF97" s="47" t="s">
        <v>0</v>
      </c>
      <c r="AG97" s="19" t="str">
        <f t="shared" si="153"/>
        <v/>
      </c>
      <c r="AH97" s="47" t="s">
        <v>0</v>
      </c>
      <c r="AI97" s="143" t="str">
        <f t="shared" si="154"/>
        <v>CRO</v>
      </c>
      <c r="AJ97" s="47"/>
      <c r="AK97" s="52" t="str">
        <f t="shared" si="155"/>
        <v>Nikola</v>
      </c>
      <c r="AL97" s="31" t="str">
        <f t="shared" si="156"/>
        <v>Lucić</v>
      </c>
      <c r="AM97" s="73">
        <f t="shared" si="157"/>
        <v>1898</v>
      </c>
      <c r="AN97" s="73" t="str">
        <f t="shared" si="158"/>
        <v/>
      </c>
      <c r="AO97" s="31" t="str">
        <f t="shared" si="118"/>
        <v>Nikola</v>
      </c>
      <c r="AP97" s="66" t="str">
        <f t="shared" si="119"/>
        <v>Lucić</v>
      </c>
      <c r="AQ97" s="47" t="s">
        <v>0</v>
      </c>
      <c r="AR97" s="82" t="str">
        <f t="shared" si="159"/>
        <v/>
      </c>
      <c r="AS97" s="47" t="s">
        <v>0</v>
      </c>
      <c r="AT97" s="19" t="str">
        <f t="shared" si="160"/>
        <v/>
      </c>
      <c r="AU97" s="47" t="s">
        <v>0</v>
      </c>
      <c r="AV97" s="103"/>
      <c r="AW97" s="105"/>
      <c r="AX97" s="47" t="s">
        <v>0</v>
      </c>
      <c r="AY97" s="259" t="str">
        <f t="shared" si="183"/>
        <v/>
      </c>
      <c r="AZ97" s="47" t="s">
        <v>0</v>
      </c>
      <c r="BA97" s="52" t="str">
        <f t="shared" si="120"/>
        <v/>
      </c>
      <c r="BB97" s="73" t="str">
        <f>IF(AV97&amp;AW97="","",MAX(BB$12:BB96)+1)</f>
        <v/>
      </c>
      <c r="BC97" s="272" t="str">
        <f t="shared" si="121"/>
        <v/>
      </c>
      <c r="BD97" s="53" t="str">
        <f>IF(AND(AM97="NEMA",AN97="NEMA",OR(AV97&amp;AW97="",BC97="NEMA")),MAX(BD$12:BD96)+1,"")</f>
        <v/>
      </c>
      <c r="BE97" s="47" t="s">
        <v>0</v>
      </c>
      <c r="BF97" s="52" t="str">
        <f t="shared" si="161"/>
        <v>Nikola</v>
      </c>
      <c r="BG97" s="66" t="str">
        <f t="shared" si="162"/>
        <v>Lucić</v>
      </c>
      <c r="BH97" s="47" t="s">
        <v>0</v>
      </c>
      <c r="BI97" s="52" t="str">
        <f t="shared" si="122"/>
        <v>Vihor</v>
      </c>
      <c r="BJ97" s="31" t="str">
        <f t="shared" si="123"/>
        <v>OK Vihor</v>
      </c>
      <c r="BK97" s="73" t="str">
        <f t="shared" si="124"/>
        <v/>
      </c>
      <c r="BL97" s="31" t="str" cm="1">
        <f t="array" ref="BL97">IF(BK97="",""&amp;BJ97,IF(BK97="NEMA",BJ97,INDEX(regKlub_naziv,MATCH(INDEX(regKlub_alias_klubId,BK97),regKlub_id,0))))</f>
        <v>OK Vihor</v>
      </c>
      <c r="BM97" s="31" t="str" cm="1">
        <f t="array" ref="BM97">IFERROR(""&amp;INDEX(regNatjecatelj_klub,DV97),"")</f>
        <v>OK Vihor</v>
      </c>
      <c r="BN97" s="73" t="str">
        <f t="shared" si="163"/>
        <v/>
      </c>
      <c r="BO97" s="66" t="str">
        <f t="shared" si="164"/>
        <v>OK Vihor</v>
      </c>
      <c r="BP97" s="47" t="s">
        <v>0</v>
      </c>
      <c r="BQ97" s="52" t="str">
        <f>IF(X97&lt;&gt;"NEMA","",IF(IFERROR(MATCH(W97,W$12:W96,0),0)&lt;&gt;0,"",W97))</f>
        <v/>
      </c>
      <c r="BR97" s="73" t="str">
        <f t="shared" si="165"/>
        <v/>
      </c>
      <c r="BS97" s="31" t="str">
        <f>IF(OR(BR97="",BR97&lt;&gt;"NEMA"),"",MAX(BS$12:BS96)+1)</f>
        <v/>
      </c>
      <c r="BT97" s="66" t="str">
        <f t="shared" si="166"/>
        <v/>
      </c>
      <c r="BU97" s="47" t="s">
        <v>0</v>
      </c>
      <c r="BV97" s="19" t="str">
        <f t="shared" si="167"/>
        <v/>
      </c>
      <c r="BW97" s="47" t="s">
        <v>0</v>
      </c>
      <c r="BX97" s="82" t="str">
        <f>IF(BK97&lt;&gt;"NEMA","",IF(IFERROR(MATCH(BJ97,BJ$12:BJ96,0),0)&lt;&gt;0,"",BJ97))</f>
        <v/>
      </c>
      <c r="BY97" s="47" t="s">
        <v>0</v>
      </c>
      <c r="BZ97" s="125"/>
      <c r="CA97" s="47" t="s">
        <v>0</v>
      </c>
      <c r="CB97" s="58" t="str">
        <f t="shared" si="168"/>
        <v/>
      </c>
      <c r="CC97" s="31" t="str">
        <f t="shared" si="169"/>
        <v/>
      </c>
      <c r="CD97" s="31" t="str">
        <f>IF(CC97="","",MAX(CD$12:CD96)+1)</f>
        <v/>
      </c>
      <c r="CE97" s="31" t="str">
        <f t="shared" si="125"/>
        <v/>
      </c>
      <c r="CF97" s="31" t="str">
        <f t="shared" si="170"/>
        <v/>
      </c>
      <c r="CG97" s="31" t="str">
        <f>IF(BZ97="","",MAX(CG$12:CG96)+1)</f>
        <v/>
      </c>
      <c r="CH97" s="31" t="str">
        <f t="shared" si="171"/>
        <v/>
      </c>
      <c r="CI97" s="66" t="str">
        <f t="shared" si="172"/>
        <v/>
      </c>
      <c r="CJ97" s="47" t="s">
        <v>0</v>
      </c>
      <c r="CK97" s="73" t="str">
        <f t="shared" si="126"/>
        <v/>
      </c>
      <c r="CL97" s="47"/>
      <c r="CM97" s="19" t="str">
        <f t="shared" si="173"/>
        <v/>
      </c>
      <c r="CN97" s="47" t="s">
        <v>0</v>
      </c>
      <c r="CO97" s="143" t="str">
        <f t="shared" si="174"/>
        <v>OK Vihor</v>
      </c>
      <c r="CP97" s="47" t="s">
        <v>0</v>
      </c>
      <c r="CQ97" s="58" t="str">
        <f t="shared" si="109"/>
        <v>142:30</v>
      </c>
      <c r="CR97" s="73" t="str">
        <f t="shared" si="110"/>
        <v>0</v>
      </c>
      <c r="CS97" s="229" t="str">
        <f t="shared" si="127"/>
        <v/>
      </c>
      <c r="CT97" s="230">
        <f t="shared" si="112"/>
        <v>8550</v>
      </c>
      <c r="CU97" s="163">
        <f t="shared" si="128"/>
        <v>1</v>
      </c>
      <c r="CV97" s="47" t="s">
        <v>0</v>
      </c>
      <c r="CW97" s="222" t="str">
        <f t="shared" si="175"/>
        <v xml:space="preserve">
</v>
      </c>
      <c r="CX97" s="223">
        <f t="shared" si="176"/>
        <v>6</v>
      </c>
      <c r="CY97" s="47" t="s">
        <v>0</v>
      </c>
      <c r="CZ97" s="47"/>
      <c r="DA97" s="47"/>
      <c r="DB97" s="47"/>
      <c r="DC97" s="47" t="s">
        <v>0</v>
      </c>
      <c r="DD97" s="53" t="str">
        <f t="shared" si="184"/>
        <v/>
      </c>
      <c r="DE97" t="s">
        <v>0</v>
      </c>
      <c r="DF97" s="128" t="str">
        <f t="shared" si="185"/>
        <v>M</v>
      </c>
      <c r="DG97" t="s">
        <v>0</v>
      </c>
      <c r="DH97" s="52" t="str">
        <f t="shared" si="186"/>
        <v/>
      </c>
      <c r="DI97" s="66" t="str">
        <f t="shared" si="187"/>
        <v/>
      </c>
      <c r="DJ97" t="s">
        <v>0</v>
      </c>
      <c r="DK97" s="19" t="str">
        <f t="shared" si="188"/>
        <v/>
      </c>
      <c r="DL97" s="47" t="s">
        <v>0</v>
      </c>
      <c r="DM97" s="19" t="str">
        <f t="shared" si="189"/>
        <v/>
      </c>
      <c r="DN97" s="47" t="s">
        <v>0</v>
      </c>
      <c r="DO97" s="52" t="str">
        <f t="shared" si="129"/>
        <v>Nikola – Lucić – OK Vihor – M21B</v>
      </c>
      <c r="DP97" s="53">
        <f t="shared" si="130"/>
        <v>778</v>
      </c>
      <c r="DQ97" s="47" t="s">
        <v>0</v>
      </c>
      <c r="DR97" s="52" t="str">
        <f t="shared" si="131"/>
        <v>Nikola – Lucić – OK Vihor</v>
      </c>
      <c r="DS97" s="53">
        <f t="shared" si="132"/>
        <v>778</v>
      </c>
      <c r="DT97" s="47" t="s">
        <v>0</v>
      </c>
      <c r="DU97" s="52" t="str">
        <f t="shared" si="133"/>
        <v>Nikola – Lucić</v>
      </c>
      <c r="DV97" s="53">
        <f t="shared" si="134"/>
        <v>778</v>
      </c>
      <c r="DW97" s="47" t="s">
        <v>0</v>
      </c>
      <c r="DX97" s="58">
        <f t="shared" si="177"/>
        <v>778</v>
      </c>
      <c r="DY97" s="53" cm="1">
        <f t="array" ref="DY97">IF(DX97&lt;&gt;"",INDEX(regNatjecatelj_id,DX97,0),IF(BD97&lt;&gt;"",BD97,""))</f>
        <v>1898</v>
      </c>
      <c r="DZ97" s="47" t="s">
        <v>0</v>
      </c>
      <c r="EA97" s="58" t="str">
        <f t="shared" si="135"/>
        <v>imepre</v>
      </c>
      <c r="EB97" s="73" t="str">
        <f t="shared" si="136"/>
        <v>klu</v>
      </c>
      <c r="EC97" s="73" t="str">
        <f t="shared" si="137"/>
        <v>kat</v>
      </c>
      <c r="ED97" s="73" t="str">
        <f t="shared" si="138"/>
        <v/>
      </c>
      <c r="EE97" s="66" t="str">
        <f t="shared" si="139"/>
        <v>imepre-klu-kat</v>
      </c>
      <c r="EF97" s="47" t="s">
        <v>0</v>
      </c>
      <c r="EG97" s="58">
        <f>IF(AL97="","",MAX(EG$12:EG96)+1)</f>
        <v>267</v>
      </c>
      <c r="EH97" s="73">
        <f t="shared" si="140"/>
        <v>28</v>
      </c>
      <c r="EI97" s="73">
        <f t="shared" si="178"/>
        <v>1898</v>
      </c>
      <c r="EJ97" s="73">
        <f t="shared" si="141"/>
        <v>8550</v>
      </c>
      <c r="EK97" s="73">
        <f t="shared" si="142"/>
        <v>1</v>
      </c>
      <c r="EL97" s="73">
        <f t="shared" si="179"/>
        <v>1</v>
      </c>
      <c r="EM97" s="73">
        <f t="shared" si="180"/>
        <v>1</v>
      </c>
      <c r="EN97" s="73" t="str">
        <f t="shared" si="143"/>
        <v>0</v>
      </c>
      <c r="EO97" s="73" t="str">
        <f t="shared" si="144"/>
        <v/>
      </c>
      <c r="EP97" s="73" t="str">
        <f t="shared" si="145"/>
        <v/>
      </c>
      <c r="EQ97" s="53" t="str">
        <f t="shared" si="146"/>
        <v/>
      </c>
      <c r="ER97" s="47" t="s">
        <v>0</v>
      </c>
      <c r="ES97" s="19" t="str">
        <f t="shared" si="181"/>
        <v>INSERT INTO rezultat(id,stazakategorija_id,imeprezime_id,vrijeme_sec,status_id,registracija,uparivanje_id,originalstatus_id,imeprezimealias_id,klubalias_id,kategorijaalias_id) VALUES (267,28,1898,8550,1,1,1,0,Null,Null,Null);</v>
      </c>
      <c r="ET97" s="47" t="s">
        <v>0</v>
      </c>
      <c r="EU97" s="19" t="str">
        <f t="shared" si="182"/>
        <v>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7" s="47" t="s">
        <v>0</v>
      </c>
      <c r="EW97" s="180" t="str">
        <f t="shared" si="147"/>
        <v xml:space="preserve">
INSERT INTO rezultat(id,stazakategorija_id,imeprezime_id,vrijeme_sec,status_id,registracija,uparivanje_id,originalstatus_id,imeprezimealias_id,klubalias_id,kategorijaalias_id) VALUES (267,28,1898,8550,1,1,1,0,Null,Null,Null);
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7" s="47" t="s">
        <v>0</v>
      </c>
    </row>
    <row r="98" spans="1:154" x14ac:dyDescent="0.25">
      <c r="A98" t="s">
        <v>0</v>
      </c>
      <c r="B98" s="52" t="str">
        <f>IF(csv!F88="","",csv!T88)</f>
        <v>M21B</v>
      </c>
      <c r="C98" s="31" t="s">
        <v>0</v>
      </c>
      <c r="D98" s="31" t="str">
        <f>IF(csv!F88="","",csv!F88)</f>
        <v>Zoran</v>
      </c>
      <c r="E98" s="31" t="str">
        <f>IF(csv!E88="","",csv!E88)</f>
        <v>Ćorić</v>
      </c>
      <c r="F98" s="31" t="s">
        <v>0</v>
      </c>
      <c r="G98" s="73" t="str">
        <f>IF(csv!M88="","",csv!M88)</f>
        <v>146:33</v>
      </c>
      <c r="H98" s="73" t="str">
        <f>IF(csv!N88="","",csv!N88)</f>
        <v>0</v>
      </c>
      <c r="I98" s="31" t="s">
        <v>0</v>
      </c>
      <c r="J98" s="31" t="str">
        <f>IF(csv!P88="","",csv!P88)</f>
        <v>Vihor</v>
      </c>
      <c r="K98" s="31" t="str">
        <f>IF(csv!Q88="","",csv!Q88)</f>
        <v>OK Vihor</v>
      </c>
      <c r="L98" s="31" t="s">
        <v>0</v>
      </c>
      <c r="M98" s="66" t="str">
        <f>IF(csv!R88="","",csv!R88)</f>
        <v>CRO</v>
      </c>
      <c r="N98" s="47" t="s">
        <v>0</v>
      </c>
      <c r="O98" s="246" t="str">
        <f t="shared" si="148"/>
        <v>ok</v>
      </c>
      <c r="P98" s="47"/>
      <c r="Q98" s="52" t="str">
        <f t="shared" si="149"/>
        <v>M21B</v>
      </c>
      <c r="R98" s="73">
        <f>IF(Q98="","",IF(COUNTIF(Q$12:Q97,Q98)=0,R97+1,R97))</f>
        <v>6</v>
      </c>
      <c r="S98" s="73">
        <f t="shared" si="150"/>
        <v>108</v>
      </c>
      <c r="T98" s="73">
        <f t="shared" si="113"/>
        <v>19</v>
      </c>
      <c r="U98" s="66" t="str">
        <f t="shared" si="114"/>
        <v>M21B – M16</v>
      </c>
      <c r="V98" s="47" t="s">
        <v>0</v>
      </c>
      <c r="W98" s="222" t="str">
        <f t="shared" si="115"/>
        <v>M21B</v>
      </c>
      <c r="X98" s="223">
        <f t="shared" si="116"/>
        <v>28</v>
      </c>
      <c r="Y98" s="47" t="s">
        <v>0</v>
      </c>
      <c r="Z98" s="52" t="str">
        <f t="shared" si="151"/>
        <v>CRO</v>
      </c>
      <c r="AA98" s="73">
        <f t="shared" si="117"/>
        <v>1</v>
      </c>
      <c r="AB98" s="31" t="str">
        <f t="shared" si="152"/>
        <v/>
      </c>
      <c r="AC98" s="66" t="str">
        <f>IF(AB98="","",MAX(AC$12:AC97)+1)</f>
        <v/>
      </c>
      <c r="AD98" s="47" t="s">
        <v>0</v>
      </c>
      <c r="AE98" s="125"/>
      <c r="AF98" s="47" t="s">
        <v>0</v>
      </c>
      <c r="AG98" s="19" t="str">
        <f t="shared" si="153"/>
        <v/>
      </c>
      <c r="AH98" s="47" t="s">
        <v>0</v>
      </c>
      <c r="AI98" s="143" t="str">
        <f t="shared" si="154"/>
        <v>CRO</v>
      </c>
      <c r="AJ98" s="47"/>
      <c r="AK98" s="52" t="str">
        <f t="shared" si="155"/>
        <v>Zoran</v>
      </c>
      <c r="AL98" s="31" t="str">
        <f t="shared" si="156"/>
        <v>Ćorić</v>
      </c>
      <c r="AM98" s="73">
        <f t="shared" si="157"/>
        <v>1885</v>
      </c>
      <c r="AN98" s="73" t="str">
        <f t="shared" si="158"/>
        <v/>
      </c>
      <c r="AO98" s="31" t="str">
        <f t="shared" si="118"/>
        <v>Zoran</v>
      </c>
      <c r="AP98" s="66" t="str">
        <f t="shared" si="119"/>
        <v>Ćorić</v>
      </c>
      <c r="AQ98" s="47" t="s">
        <v>0</v>
      </c>
      <c r="AR98" s="82" t="str">
        <f t="shared" si="159"/>
        <v/>
      </c>
      <c r="AS98" s="47" t="s">
        <v>0</v>
      </c>
      <c r="AT98" s="19" t="str">
        <f t="shared" si="160"/>
        <v/>
      </c>
      <c r="AU98" s="47" t="s">
        <v>0</v>
      </c>
      <c r="AV98" s="103"/>
      <c r="AW98" s="105"/>
      <c r="AX98" s="47" t="s">
        <v>0</v>
      </c>
      <c r="AY98" s="259" t="str">
        <f t="shared" si="183"/>
        <v/>
      </c>
      <c r="AZ98" s="47" t="s">
        <v>0</v>
      </c>
      <c r="BA98" s="52" t="str">
        <f t="shared" si="120"/>
        <v/>
      </c>
      <c r="BB98" s="73" t="str">
        <f>IF(AV98&amp;AW98="","",MAX(BB$12:BB97)+1)</f>
        <v/>
      </c>
      <c r="BC98" s="272" t="str">
        <f t="shared" si="121"/>
        <v/>
      </c>
      <c r="BD98" s="53" t="str">
        <f>IF(AND(AM98="NEMA",AN98="NEMA",OR(AV98&amp;AW98="",BC98="NEMA")),MAX(BD$12:BD97)+1,"")</f>
        <v/>
      </c>
      <c r="BE98" s="47" t="s">
        <v>0</v>
      </c>
      <c r="BF98" s="52" t="str">
        <f t="shared" si="161"/>
        <v>Zoran</v>
      </c>
      <c r="BG98" s="66" t="str">
        <f t="shared" si="162"/>
        <v>Ćorić</v>
      </c>
      <c r="BH98" s="47" t="s">
        <v>0</v>
      </c>
      <c r="BI98" s="52" t="str">
        <f t="shared" si="122"/>
        <v>Vihor</v>
      </c>
      <c r="BJ98" s="31" t="str">
        <f t="shared" si="123"/>
        <v>OK Vihor</v>
      </c>
      <c r="BK98" s="73" t="str">
        <f t="shared" si="124"/>
        <v/>
      </c>
      <c r="BL98" s="31" t="str" cm="1">
        <f t="array" ref="BL98">IF(BK98="",""&amp;BJ98,IF(BK98="NEMA",BJ98,INDEX(regKlub_naziv,MATCH(INDEX(regKlub_alias_klubId,BK98),regKlub_id,0))))</f>
        <v>OK Vihor</v>
      </c>
      <c r="BM98" s="31" t="str" cm="1">
        <f t="array" ref="BM98">IFERROR(""&amp;INDEX(regNatjecatelj_klub,DV98),"")</f>
        <v>OK Vihor</v>
      </c>
      <c r="BN98" s="73" t="str">
        <f t="shared" si="163"/>
        <v/>
      </c>
      <c r="BO98" s="66" t="str">
        <f t="shared" si="164"/>
        <v>OK Vihor</v>
      </c>
      <c r="BP98" s="47" t="s">
        <v>0</v>
      </c>
      <c r="BQ98" s="52" t="str">
        <f>IF(X98&lt;&gt;"NEMA","",IF(IFERROR(MATCH(W98,W$12:W97,0),0)&lt;&gt;0,"",W98))</f>
        <v/>
      </c>
      <c r="BR98" s="73" t="str">
        <f t="shared" si="165"/>
        <v/>
      </c>
      <c r="BS98" s="31" t="str">
        <f>IF(OR(BR98="",BR98&lt;&gt;"NEMA"),"",MAX(BS$12:BS97)+1)</f>
        <v/>
      </c>
      <c r="BT98" s="66" t="str">
        <f t="shared" si="166"/>
        <v/>
      </c>
      <c r="BU98" s="47" t="s">
        <v>0</v>
      </c>
      <c r="BV98" s="19" t="str">
        <f t="shared" si="167"/>
        <v/>
      </c>
      <c r="BW98" s="47" t="s">
        <v>0</v>
      </c>
      <c r="BX98" s="82" t="str">
        <f>IF(BK98&lt;&gt;"NEMA","",IF(IFERROR(MATCH(BJ98,BJ$12:BJ97,0),0)&lt;&gt;0,"",BJ98))</f>
        <v/>
      </c>
      <c r="BY98" s="47" t="s">
        <v>0</v>
      </c>
      <c r="BZ98" s="125"/>
      <c r="CA98" s="47" t="s">
        <v>0</v>
      </c>
      <c r="CB98" s="58" t="str">
        <f t="shared" si="168"/>
        <v/>
      </c>
      <c r="CC98" s="31" t="str">
        <f t="shared" si="169"/>
        <v/>
      </c>
      <c r="CD98" s="31" t="str">
        <f>IF(CC98="","",MAX(CD$12:CD97)+1)</f>
        <v/>
      </c>
      <c r="CE98" s="31" t="str">
        <f t="shared" si="125"/>
        <v/>
      </c>
      <c r="CF98" s="31" t="str">
        <f t="shared" si="170"/>
        <v/>
      </c>
      <c r="CG98" s="31" t="str">
        <f>IF(BZ98="","",MAX(CG$12:CG97)+1)</f>
        <v/>
      </c>
      <c r="CH98" s="31" t="str">
        <f t="shared" si="171"/>
        <v/>
      </c>
      <c r="CI98" s="66" t="str">
        <f t="shared" si="172"/>
        <v/>
      </c>
      <c r="CJ98" s="47" t="s">
        <v>0</v>
      </c>
      <c r="CK98" s="73" t="str">
        <f t="shared" si="126"/>
        <v/>
      </c>
      <c r="CL98" s="47"/>
      <c r="CM98" s="19" t="str">
        <f t="shared" si="173"/>
        <v/>
      </c>
      <c r="CN98" s="47" t="s">
        <v>0</v>
      </c>
      <c r="CO98" s="143" t="str">
        <f t="shared" si="174"/>
        <v>OK Vihor</v>
      </c>
      <c r="CP98" s="47" t="s">
        <v>0</v>
      </c>
      <c r="CQ98" s="58" t="str">
        <f t="shared" si="109"/>
        <v>146:33</v>
      </c>
      <c r="CR98" s="73" t="str">
        <f t="shared" si="110"/>
        <v>0</v>
      </c>
      <c r="CS98" s="229" t="str">
        <f t="shared" si="127"/>
        <v/>
      </c>
      <c r="CT98" s="230">
        <f t="shared" si="112"/>
        <v>8793</v>
      </c>
      <c r="CU98" s="163">
        <f t="shared" si="128"/>
        <v>1</v>
      </c>
      <c r="CV98" s="47" t="s">
        <v>0</v>
      </c>
      <c r="CW98" s="222" t="str">
        <f t="shared" si="175"/>
        <v xml:space="preserve">
</v>
      </c>
      <c r="CX98" s="223">
        <f t="shared" si="176"/>
        <v>6</v>
      </c>
      <c r="CY98" s="47" t="s">
        <v>0</v>
      </c>
      <c r="CZ98" s="47"/>
      <c r="DA98" s="47"/>
      <c r="DB98" s="47"/>
      <c r="DC98" s="47" t="s">
        <v>0</v>
      </c>
      <c r="DD98" s="53" t="str">
        <f t="shared" si="184"/>
        <v/>
      </c>
      <c r="DE98" t="s">
        <v>0</v>
      </c>
      <c r="DF98" s="128" t="str">
        <f t="shared" si="185"/>
        <v>M</v>
      </c>
      <c r="DG98" t="s">
        <v>0</v>
      </c>
      <c r="DH98" s="52" t="str">
        <f t="shared" si="186"/>
        <v/>
      </c>
      <c r="DI98" s="66" t="str">
        <f t="shared" si="187"/>
        <v/>
      </c>
      <c r="DJ98" t="s">
        <v>0</v>
      </c>
      <c r="DK98" s="19" t="str">
        <f t="shared" si="188"/>
        <v/>
      </c>
      <c r="DL98" s="47" t="s">
        <v>0</v>
      </c>
      <c r="DM98" s="19" t="str">
        <f t="shared" si="189"/>
        <v/>
      </c>
      <c r="DN98" s="47" t="s">
        <v>0</v>
      </c>
      <c r="DO98" s="52" t="str">
        <f t="shared" si="129"/>
        <v>Zoran – Ćorić – OK Vihor – M21B</v>
      </c>
      <c r="DP98" s="53">
        <f t="shared" si="130"/>
        <v>649</v>
      </c>
      <c r="DQ98" s="47" t="s">
        <v>0</v>
      </c>
      <c r="DR98" s="52" t="str">
        <f t="shared" si="131"/>
        <v>Zoran – Ćorić – OK Vihor</v>
      </c>
      <c r="DS98" s="53">
        <f t="shared" si="132"/>
        <v>649</v>
      </c>
      <c r="DT98" s="47" t="s">
        <v>0</v>
      </c>
      <c r="DU98" s="52" t="str">
        <f t="shared" si="133"/>
        <v>Zoran – Ćorić</v>
      </c>
      <c r="DV98" s="53">
        <f t="shared" si="134"/>
        <v>649</v>
      </c>
      <c r="DW98" s="47" t="s">
        <v>0</v>
      </c>
      <c r="DX98" s="58">
        <f t="shared" si="177"/>
        <v>649</v>
      </c>
      <c r="DY98" s="53" cm="1">
        <f t="array" ref="DY98">IF(DX98&lt;&gt;"",INDEX(regNatjecatelj_id,DX98,0),IF(BD98&lt;&gt;"",BD98,""))</f>
        <v>1885</v>
      </c>
      <c r="DZ98" s="47" t="s">
        <v>0</v>
      </c>
      <c r="EA98" s="58" t="str">
        <f t="shared" si="135"/>
        <v>imepre</v>
      </c>
      <c r="EB98" s="73" t="str">
        <f t="shared" si="136"/>
        <v>klu</v>
      </c>
      <c r="EC98" s="73" t="str">
        <f t="shared" si="137"/>
        <v>kat</v>
      </c>
      <c r="ED98" s="73" t="str">
        <f t="shared" si="138"/>
        <v/>
      </c>
      <c r="EE98" s="66" t="str">
        <f t="shared" si="139"/>
        <v>imepre-klu-kat</v>
      </c>
      <c r="EF98" s="47" t="s">
        <v>0</v>
      </c>
      <c r="EG98" s="58">
        <f>IF(AL98="","",MAX(EG$12:EG97)+1)</f>
        <v>268</v>
      </c>
      <c r="EH98" s="73">
        <f t="shared" si="140"/>
        <v>28</v>
      </c>
      <c r="EI98" s="73">
        <f t="shared" si="178"/>
        <v>1885</v>
      </c>
      <c r="EJ98" s="73">
        <f t="shared" si="141"/>
        <v>8793</v>
      </c>
      <c r="EK98" s="73">
        <f t="shared" si="142"/>
        <v>1</v>
      </c>
      <c r="EL98" s="73">
        <f t="shared" si="179"/>
        <v>1</v>
      </c>
      <c r="EM98" s="73">
        <f t="shared" si="180"/>
        <v>1</v>
      </c>
      <c r="EN98" s="73" t="str">
        <f t="shared" si="143"/>
        <v>0</v>
      </c>
      <c r="EO98" s="73" t="str">
        <f t="shared" si="144"/>
        <v/>
      </c>
      <c r="EP98" s="73" t="str">
        <f t="shared" si="145"/>
        <v/>
      </c>
      <c r="EQ98" s="53" t="str">
        <f t="shared" si="146"/>
        <v/>
      </c>
      <c r="ER98" s="47" t="s">
        <v>0</v>
      </c>
      <c r="ES98" s="19" t="str">
        <f t="shared" si="181"/>
        <v>INSERT INTO rezultat(id,stazakategorija_id,imeprezime_id,vrijeme_sec,status_id,registracija,uparivanje_id,originalstatus_id,imeprezimealias_id,klubalias_id,kategorijaalias_id) VALUES (268,28,1885,8793,1,1,1,0,Null,Null,Null);</v>
      </c>
      <c r="ET98" s="47" t="s">
        <v>0</v>
      </c>
      <c r="EU98" s="19" t="str">
        <f t="shared" si="182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8" s="47" t="s">
        <v>0</v>
      </c>
      <c r="EW98" s="180" t="str">
        <f t="shared" si="147"/>
        <v xml:space="preserve">
INSERT INTO rezultat(id,stazakategorija_id,imeprezime_id,vrijeme_sec,status_id,registracija,uparivanje_id,originalstatus_id,imeprezimealias_id,klubalias_id,kategorijaalias_id) VALUES (268,28,1885,8793,1,1,1,0,Null,Null,Null);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8" s="47" t="s">
        <v>0</v>
      </c>
    </row>
    <row r="99" spans="1:154" x14ac:dyDescent="0.25">
      <c r="A99" t="s">
        <v>0</v>
      </c>
      <c r="B99" s="52" t="str">
        <f>IF(csv!F89="","",csv!T89)</f>
        <v>M21B</v>
      </c>
      <c r="C99" s="31" t="s">
        <v>0</v>
      </c>
      <c r="D99" s="31" t="str">
        <f>IF(csv!F89="","",csv!F89)</f>
        <v>Mladen</v>
      </c>
      <c r="E99" s="31" t="str">
        <f>IF(csv!E89="","",csv!E89)</f>
        <v>Prekrat</v>
      </c>
      <c r="F99" s="31" t="s">
        <v>0</v>
      </c>
      <c r="G99" s="73" t="str">
        <f>IF(csv!M89="","",csv!M89)</f>
        <v>158:37</v>
      </c>
      <c r="H99" s="73" t="str">
        <f>IF(csv!N89="","",csv!N89)</f>
        <v>0</v>
      </c>
      <c r="I99" s="31" t="s">
        <v>0</v>
      </c>
      <c r="J99" s="31" t="str">
        <f>IF(csv!P89="","",csv!P89)</f>
        <v>Vihor</v>
      </c>
      <c r="K99" s="31" t="str">
        <f>IF(csv!Q89="","",csv!Q89)</f>
        <v>OK Vihor</v>
      </c>
      <c r="L99" s="31" t="s">
        <v>0</v>
      </c>
      <c r="M99" s="66" t="str">
        <f>IF(csv!R89="","",csv!R89)</f>
        <v>CRO</v>
      </c>
      <c r="N99" s="47" t="s">
        <v>0</v>
      </c>
      <c r="O99" s="246" t="str">
        <f t="shared" si="148"/>
        <v>ok</v>
      </c>
      <c r="P99" s="47"/>
      <c r="Q99" s="52" t="str">
        <f t="shared" si="149"/>
        <v>M21B</v>
      </c>
      <c r="R99" s="73">
        <f>IF(Q99="","",IF(COUNTIF(Q$12:Q98,Q99)=0,R98+1,R98))</f>
        <v>6</v>
      </c>
      <c r="S99" s="73">
        <f t="shared" si="150"/>
        <v>108</v>
      </c>
      <c r="T99" s="73">
        <f t="shared" si="113"/>
        <v>19</v>
      </c>
      <c r="U99" s="66" t="str">
        <f t="shared" si="114"/>
        <v>M21B – M16</v>
      </c>
      <c r="V99" s="47" t="s">
        <v>0</v>
      </c>
      <c r="W99" s="222" t="str">
        <f t="shared" si="115"/>
        <v>M21B</v>
      </c>
      <c r="X99" s="223">
        <f t="shared" si="116"/>
        <v>28</v>
      </c>
      <c r="Y99" s="47" t="s">
        <v>0</v>
      </c>
      <c r="Z99" s="52" t="str">
        <f t="shared" si="151"/>
        <v>CRO</v>
      </c>
      <c r="AA99" s="73">
        <f t="shared" si="117"/>
        <v>1</v>
      </c>
      <c r="AB99" s="31" t="str">
        <f t="shared" si="152"/>
        <v/>
      </c>
      <c r="AC99" s="66" t="str">
        <f>IF(AB99="","",MAX(AC$12:AC98)+1)</f>
        <v/>
      </c>
      <c r="AD99" s="47" t="s">
        <v>0</v>
      </c>
      <c r="AE99" s="125"/>
      <c r="AF99" s="47" t="s">
        <v>0</v>
      </c>
      <c r="AG99" s="19" t="str">
        <f t="shared" si="153"/>
        <v/>
      </c>
      <c r="AH99" s="47" t="s">
        <v>0</v>
      </c>
      <c r="AI99" s="143" t="str">
        <f t="shared" si="154"/>
        <v>CRO</v>
      </c>
      <c r="AJ99" s="47"/>
      <c r="AK99" s="52" t="str">
        <f t="shared" si="155"/>
        <v>Mladen</v>
      </c>
      <c r="AL99" s="31" t="str">
        <f t="shared" si="156"/>
        <v>Prekrat</v>
      </c>
      <c r="AM99" s="73">
        <f t="shared" si="157"/>
        <v>1926</v>
      </c>
      <c r="AN99" s="73" t="str">
        <f t="shared" si="158"/>
        <v/>
      </c>
      <c r="AO99" s="31" t="str">
        <f t="shared" si="118"/>
        <v>Mladen</v>
      </c>
      <c r="AP99" s="66" t="str">
        <f t="shared" si="119"/>
        <v>Prekrat</v>
      </c>
      <c r="AQ99" s="47" t="s">
        <v>0</v>
      </c>
      <c r="AR99" s="82" t="str">
        <f t="shared" si="159"/>
        <v/>
      </c>
      <c r="AS99" s="47" t="s">
        <v>0</v>
      </c>
      <c r="AT99" s="19" t="str">
        <f t="shared" si="160"/>
        <v/>
      </c>
      <c r="AU99" s="47" t="s">
        <v>0</v>
      </c>
      <c r="AV99" s="103"/>
      <c r="AW99" s="105"/>
      <c r="AX99" s="47" t="s">
        <v>0</v>
      </c>
      <c r="AY99" s="259" t="str">
        <f t="shared" si="183"/>
        <v/>
      </c>
      <c r="AZ99" s="47" t="s">
        <v>0</v>
      </c>
      <c r="BA99" s="52" t="str">
        <f t="shared" si="120"/>
        <v/>
      </c>
      <c r="BB99" s="73" t="str">
        <f>IF(AV99&amp;AW99="","",MAX(BB$12:BB98)+1)</f>
        <v/>
      </c>
      <c r="BC99" s="272" t="str">
        <f t="shared" si="121"/>
        <v/>
      </c>
      <c r="BD99" s="53" t="str">
        <f>IF(AND(AM99="NEMA",AN99="NEMA",OR(AV99&amp;AW99="",BC99="NEMA")),MAX(BD$12:BD98)+1,"")</f>
        <v/>
      </c>
      <c r="BE99" s="47" t="s">
        <v>0</v>
      </c>
      <c r="BF99" s="52" t="str">
        <f t="shared" si="161"/>
        <v>Mladen</v>
      </c>
      <c r="BG99" s="66" t="str">
        <f t="shared" si="162"/>
        <v>Prekrat</v>
      </c>
      <c r="BH99" s="47" t="s">
        <v>0</v>
      </c>
      <c r="BI99" s="52" t="str">
        <f t="shared" si="122"/>
        <v>Vihor</v>
      </c>
      <c r="BJ99" s="31" t="str">
        <f t="shared" si="123"/>
        <v>OK Vihor</v>
      </c>
      <c r="BK99" s="73" t="str">
        <f t="shared" si="124"/>
        <v/>
      </c>
      <c r="BL99" s="31" t="str" cm="1">
        <f t="array" ref="BL99">IF(BK99="",""&amp;BJ99,IF(BK99="NEMA",BJ99,INDEX(regKlub_naziv,MATCH(INDEX(regKlub_alias_klubId,BK99),regKlub_id,0))))</f>
        <v>OK Vihor</v>
      </c>
      <c r="BM99" s="31" t="str" cm="1">
        <f t="array" ref="BM99">IFERROR(""&amp;INDEX(regNatjecatelj_klub,DV99),"")</f>
        <v>OK Vihor</v>
      </c>
      <c r="BN99" s="73" t="str">
        <f t="shared" si="163"/>
        <v/>
      </c>
      <c r="BO99" s="66" t="str">
        <f t="shared" si="164"/>
        <v>OK Vihor</v>
      </c>
      <c r="BP99" s="47" t="s">
        <v>0</v>
      </c>
      <c r="BQ99" s="52" t="str">
        <f>IF(X99&lt;&gt;"NEMA","",IF(IFERROR(MATCH(W99,W$12:W98,0),0)&lt;&gt;0,"",W99))</f>
        <v/>
      </c>
      <c r="BR99" s="73" t="str">
        <f t="shared" si="165"/>
        <v/>
      </c>
      <c r="BS99" s="31" t="str">
        <f>IF(OR(BR99="",BR99&lt;&gt;"NEMA"),"",MAX(BS$12:BS98)+1)</f>
        <v/>
      </c>
      <c r="BT99" s="66" t="str">
        <f t="shared" si="166"/>
        <v/>
      </c>
      <c r="BU99" s="47" t="s">
        <v>0</v>
      </c>
      <c r="BV99" s="19" t="str">
        <f t="shared" si="167"/>
        <v/>
      </c>
      <c r="BW99" s="47" t="s">
        <v>0</v>
      </c>
      <c r="BX99" s="82" t="str">
        <f>IF(BK99&lt;&gt;"NEMA","",IF(IFERROR(MATCH(BJ99,BJ$12:BJ98,0),0)&lt;&gt;0,"",BJ99))</f>
        <v/>
      </c>
      <c r="BY99" s="47" t="s">
        <v>0</v>
      </c>
      <c r="BZ99" s="125"/>
      <c r="CA99" s="47" t="s">
        <v>0</v>
      </c>
      <c r="CB99" s="58" t="str">
        <f t="shared" si="168"/>
        <v/>
      </c>
      <c r="CC99" s="31" t="str">
        <f t="shared" si="169"/>
        <v/>
      </c>
      <c r="CD99" s="31" t="str">
        <f>IF(CC99="","",MAX(CD$12:CD98)+1)</f>
        <v/>
      </c>
      <c r="CE99" s="31" t="str">
        <f t="shared" si="125"/>
        <v/>
      </c>
      <c r="CF99" s="31" t="str">
        <f t="shared" si="170"/>
        <v/>
      </c>
      <c r="CG99" s="31" t="str">
        <f>IF(BZ99="","",MAX(CG$12:CG98)+1)</f>
        <v/>
      </c>
      <c r="CH99" s="31" t="str">
        <f t="shared" si="171"/>
        <v/>
      </c>
      <c r="CI99" s="66" t="str">
        <f t="shared" si="172"/>
        <v/>
      </c>
      <c r="CJ99" s="47" t="s">
        <v>0</v>
      </c>
      <c r="CK99" s="73" t="str">
        <f t="shared" si="126"/>
        <v/>
      </c>
      <c r="CL99" s="47"/>
      <c r="CM99" s="19" t="str">
        <f t="shared" si="173"/>
        <v/>
      </c>
      <c r="CN99" s="47" t="s">
        <v>0</v>
      </c>
      <c r="CO99" s="143" t="str">
        <f t="shared" si="174"/>
        <v>OK Vihor</v>
      </c>
      <c r="CP99" s="47" t="s">
        <v>0</v>
      </c>
      <c r="CQ99" s="58" t="str">
        <f t="shared" si="109"/>
        <v>158:37</v>
      </c>
      <c r="CR99" s="73" t="str">
        <f t="shared" si="110"/>
        <v>0</v>
      </c>
      <c r="CS99" s="229" t="str">
        <f t="shared" si="127"/>
        <v/>
      </c>
      <c r="CT99" s="230">
        <f t="shared" si="112"/>
        <v>9517</v>
      </c>
      <c r="CU99" s="163">
        <f t="shared" si="128"/>
        <v>1</v>
      </c>
      <c r="CV99" s="47" t="s">
        <v>0</v>
      </c>
      <c r="CW99" s="222" t="str">
        <f t="shared" si="175"/>
        <v xml:space="preserve">
</v>
      </c>
      <c r="CX99" s="223">
        <f t="shared" si="176"/>
        <v>6</v>
      </c>
      <c r="CY99" s="47" t="s">
        <v>0</v>
      </c>
      <c r="CZ99" s="47"/>
      <c r="DA99" s="47"/>
      <c r="DB99" s="47"/>
      <c r="DC99" s="47" t="s">
        <v>0</v>
      </c>
      <c r="DD99" s="53" t="str">
        <f t="shared" si="184"/>
        <v/>
      </c>
      <c r="DE99" t="s">
        <v>0</v>
      </c>
      <c r="DF99" s="128" t="str">
        <f t="shared" si="185"/>
        <v>M</v>
      </c>
      <c r="DG99" t="s">
        <v>0</v>
      </c>
      <c r="DH99" s="52" t="str">
        <f t="shared" si="186"/>
        <v/>
      </c>
      <c r="DI99" s="66" t="str">
        <f t="shared" si="187"/>
        <v/>
      </c>
      <c r="DJ99" t="s">
        <v>0</v>
      </c>
      <c r="DK99" s="19" t="str">
        <f t="shared" si="188"/>
        <v/>
      </c>
      <c r="DL99" s="47" t="s">
        <v>0</v>
      </c>
      <c r="DM99" s="19" t="str">
        <f t="shared" si="189"/>
        <v/>
      </c>
      <c r="DN99" s="47" t="s">
        <v>0</v>
      </c>
      <c r="DO99" s="52" t="str">
        <f t="shared" si="129"/>
        <v>Mladen – Prekrat – OK Vihor – M21B</v>
      </c>
      <c r="DP99" s="53">
        <f t="shared" si="130"/>
        <v>858</v>
      </c>
      <c r="DQ99" s="47" t="s">
        <v>0</v>
      </c>
      <c r="DR99" s="52" t="str">
        <f t="shared" si="131"/>
        <v>Mladen – Prekrat – OK Vihor</v>
      </c>
      <c r="DS99" s="53">
        <f t="shared" si="132"/>
        <v>858</v>
      </c>
      <c r="DT99" s="47" t="s">
        <v>0</v>
      </c>
      <c r="DU99" s="52" t="str">
        <f t="shared" si="133"/>
        <v>Mladen – Prekrat</v>
      </c>
      <c r="DV99" s="53">
        <f t="shared" si="134"/>
        <v>858</v>
      </c>
      <c r="DW99" s="47" t="s">
        <v>0</v>
      </c>
      <c r="DX99" s="58">
        <f t="shared" si="177"/>
        <v>858</v>
      </c>
      <c r="DY99" s="53" cm="1">
        <f t="array" ref="DY99">IF(DX99&lt;&gt;"",INDEX(regNatjecatelj_id,DX99,0),IF(BD99&lt;&gt;"",BD99,""))</f>
        <v>1926</v>
      </c>
      <c r="DZ99" s="47" t="s">
        <v>0</v>
      </c>
      <c r="EA99" s="58" t="str">
        <f t="shared" si="135"/>
        <v>imepre</v>
      </c>
      <c r="EB99" s="73" t="str">
        <f t="shared" si="136"/>
        <v>klu</v>
      </c>
      <c r="EC99" s="73" t="str">
        <f t="shared" si="137"/>
        <v>kat</v>
      </c>
      <c r="ED99" s="73" t="str">
        <f t="shared" si="138"/>
        <v/>
      </c>
      <c r="EE99" s="66" t="str">
        <f t="shared" si="139"/>
        <v>imepre-klu-kat</v>
      </c>
      <c r="EF99" s="47" t="s">
        <v>0</v>
      </c>
      <c r="EG99" s="58">
        <f>IF(AL99="","",MAX(EG$12:EG98)+1)</f>
        <v>269</v>
      </c>
      <c r="EH99" s="73">
        <f t="shared" si="140"/>
        <v>28</v>
      </c>
      <c r="EI99" s="73">
        <f t="shared" si="178"/>
        <v>1926</v>
      </c>
      <c r="EJ99" s="73">
        <f t="shared" si="141"/>
        <v>9517</v>
      </c>
      <c r="EK99" s="73">
        <f t="shared" si="142"/>
        <v>1</v>
      </c>
      <c r="EL99" s="73">
        <f t="shared" si="179"/>
        <v>1</v>
      </c>
      <c r="EM99" s="73">
        <f t="shared" si="180"/>
        <v>1</v>
      </c>
      <c r="EN99" s="73" t="str">
        <f t="shared" si="143"/>
        <v>0</v>
      </c>
      <c r="EO99" s="73" t="str">
        <f t="shared" si="144"/>
        <v/>
      </c>
      <c r="EP99" s="73" t="str">
        <f t="shared" si="145"/>
        <v/>
      </c>
      <c r="EQ99" s="53" t="str">
        <f t="shared" si="146"/>
        <v/>
      </c>
      <c r="ER99" s="47" t="s">
        <v>0</v>
      </c>
      <c r="ES99" s="19" t="str">
        <f t="shared" si="181"/>
        <v>INSERT INTO rezultat(id,stazakategorija_id,imeprezime_id,vrijeme_sec,status_id,registracija,uparivanje_id,originalstatus_id,imeprezimealias_id,klubalias_id,kategorijaalias_id) VALUES (269,28,1926,9517,1,1,1,0,Null,Null,Null);</v>
      </c>
      <c r="ET99" s="47" t="s">
        <v>0</v>
      </c>
      <c r="EU99" s="19" t="str">
        <f t="shared" si="182"/>
        <v>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9" s="47" t="s">
        <v>0</v>
      </c>
      <c r="EW99" s="180" t="str">
        <f t="shared" si="147"/>
        <v xml:space="preserve">
INSERT INTO rezultat(id,stazakategorija_id,imeprezime_id,vrijeme_sec,status_id,registracija,uparivanje_id,originalstatus_id,imeprezimealias_id,klubalias_id,kategorijaalias_id) VALUES (269,28,1926,9517,1,1,1,0,Null,Null,Null);
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9" s="47" t="s">
        <v>0</v>
      </c>
    </row>
    <row r="100" spans="1:154" x14ac:dyDescent="0.25">
      <c r="A100" t="s">
        <v>0</v>
      </c>
      <c r="B100" s="52" t="str">
        <f>IF(csv!F90="","",csv!T90)</f>
        <v>M21B</v>
      </c>
      <c r="C100" s="31" t="s">
        <v>0</v>
      </c>
      <c r="D100" s="31" t="str">
        <f>IF(csv!F90="","",csv!F90)</f>
        <v>Kristijan</v>
      </c>
      <c r="E100" s="31" t="str">
        <f>IF(csv!E90="","",csv!E90)</f>
        <v>Barišić</v>
      </c>
      <c r="F100" s="31" t="s">
        <v>0</v>
      </c>
      <c r="G100" s="73" t="str">
        <f>IF(csv!M90="","",csv!M90)</f>
        <v/>
      </c>
      <c r="H100" s="73" t="str">
        <f>IF(csv!N90="","",csv!N90)</f>
        <v>1</v>
      </c>
      <c r="I100" s="31" t="s">
        <v>0</v>
      </c>
      <c r="J100" s="31" t="str">
        <f>IF(csv!P90="","",csv!P90)</f>
        <v>Vihor</v>
      </c>
      <c r="K100" s="31" t="str">
        <f>IF(csv!Q90="","",csv!Q90)</f>
        <v>OK Vihor</v>
      </c>
      <c r="L100" s="31" t="s">
        <v>0</v>
      </c>
      <c r="M100" s="66" t="str">
        <f>IF(csv!R90="","",csv!R90)</f>
        <v>CRO</v>
      </c>
      <c r="N100" s="47" t="s">
        <v>0</v>
      </c>
      <c r="O100" s="246" t="str">
        <f t="shared" si="148"/>
        <v>ok</v>
      </c>
      <c r="P100" s="47"/>
      <c r="Q100" s="52" t="str">
        <f t="shared" si="149"/>
        <v>M21B</v>
      </c>
      <c r="R100" s="73">
        <f>IF(Q100="","",IF(COUNTIF(Q$12:Q99,Q100)=0,R99+1,R99))</f>
        <v>6</v>
      </c>
      <c r="S100" s="73">
        <f t="shared" si="150"/>
        <v>108</v>
      </c>
      <c r="T100" s="73">
        <f t="shared" si="113"/>
        <v>19</v>
      </c>
      <c r="U100" s="66" t="str">
        <f t="shared" si="114"/>
        <v>M21B – M16</v>
      </c>
      <c r="V100" s="47" t="s">
        <v>0</v>
      </c>
      <c r="W100" s="222" t="str">
        <f t="shared" si="115"/>
        <v>M21B</v>
      </c>
      <c r="X100" s="223">
        <f t="shared" si="116"/>
        <v>28</v>
      </c>
      <c r="Y100" s="47" t="s">
        <v>0</v>
      </c>
      <c r="Z100" s="52" t="str">
        <f t="shared" si="151"/>
        <v>CRO</v>
      </c>
      <c r="AA100" s="73">
        <f t="shared" si="117"/>
        <v>1</v>
      </c>
      <c r="AB100" s="31" t="str">
        <f t="shared" si="152"/>
        <v/>
      </c>
      <c r="AC100" s="66" t="str">
        <f>IF(AB100="","",MAX(AC$12:AC99)+1)</f>
        <v/>
      </c>
      <c r="AD100" s="47" t="s">
        <v>0</v>
      </c>
      <c r="AE100" s="125"/>
      <c r="AF100" s="47" t="s">
        <v>0</v>
      </c>
      <c r="AG100" s="19" t="str">
        <f t="shared" si="153"/>
        <v/>
      </c>
      <c r="AH100" s="47" t="s">
        <v>0</v>
      </c>
      <c r="AI100" s="143" t="str">
        <f t="shared" si="154"/>
        <v>CRO</v>
      </c>
      <c r="AJ100" s="47"/>
      <c r="AK100" s="52" t="str">
        <f t="shared" si="155"/>
        <v>Kristijan</v>
      </c>
      <c r="AL100" s="31" t="str">
        <f t="shared" si="156"/>
        <v>Barišić</v>
      </c>
      <c r="AM100" s="73">
        <f t="shared" si="157"/>
        <v>1882</v>
      </c>
      <c r="AN100" s="73" t="str">
        <f t="shared" si="158"/>
        <v/>
      </c>
      <c r="AO100" s="31" t="str">
        <f t="shared" si="118"/>
        <v>Kristijan</v>
      </c>
      <c r="AP100" s="66" t="str">
        <f t="shared" si="119"/>
        <v>Barišić</v>
      </c>
      <c r="AQ100" s="47" t="s">
        <v>0</v>
      </c>
      <c r="AR100" s="82" t="str">
        <f t="shared" si="159"/>
        <v/>
      </c>
      <c r="AS100" s="47" t="s">
        <v>0</v>
      </c>
      <c r="AT100" s="19" t="str">
        <f t="shared" si="160"/>
        <v/>
      </c>
      <c r="AU100" s="47" t="s">
        <v>0</v>
      </c>
      <c r="AV100" s="103"/>
      <c r="AW100" s="105"/>
      <c r="AX100" s="47" t="s">
        <v>0</v>
      </c>
      <c r="AY100" s="259" t="str">
        <f t="shared" si="183"/>
        <v/>
      </c>
      <c r="AZ100" s="47" t="s">
        <v>0</v>
      </c>
      <c r="BA100" s="52" t="str">
        <f t="shared" si="120"/>
        <v/>
      </c>
      <c r="BB100" s="73" t="str">
        <f>IF(AV100&amp;AW100="","",MAX(BB$12:BB99)+1)</f>
        <v/>
      </c>
      <c r="BC100" s="272" t="str">
        <f t="shared" si="121"/>
        <v/>
      </c>
      <c r="BD100" s="53" t="str">
        <f>IF(AND(AM100="NEMA",AN100="NEMA",OR(AV100&amp;AW100="",BC100="NEMA")),MAX(BD$12:BD99)+1,"")</f>
        <v/>
      </c>
      <c r="BE100" s="47" t="s">
        <v>0</v>
      </c>
      <c r="BF100" s="52" t="str">
        <f t="shared" si="161"/>
        <v>Kristijan</v>
      </c>
      <c r="BG100" s="66" t="str">
        <f t="shared" si="162"/>
        <v>Barišić</v>
      </c>
      <c r="BH100" s="47" t="s">
        <v>0</v>
      </c>
      <c r="BI100" s="52" t="str">
        <f t="shared" si="122"/>
        <v>Vihor</v>
      </c>
      <c r="BJ100" s="31" t="str">
        <f t="shared" si="123"/>
        <v>OK Vihor</v>
      </c>
      <c r="BK100" s="73" t="str">
        <f t="shared" si="124"/>
        <v/>
      </c>
      <c r="BL100" s="31" t="str" cm="1">
        <f t="array" ref="BL100">IF(BK100="",""&amp;BJ100,IF(BK100="NEMA",BJ100,INDEX(regKlub_naziv,MATCH(INDEX(regKlub_alias_klubId,BK100),regKlub_id,0))))</f>
        <v>OK Vihor</v>
      </c>
      <c r="BM100" s="31" t="str" cm="1">
        <f t="array" ref="BM100">IFERROR(""&amp;INDEX(regNatjecatelj_klub,DV100),"")</f>
        <v>OK Vihor</v>
      </c>
      <c r="BN100" s="73" t="str">
        <f t="shared" si="163"/>
        <v/>
      </c>
      <c r="BO100" s="66" t="str">
        <f t="shared" si="164"/>
        <v>OK Vihor</v>
      </c>
      <c r="BP100" s="47" t="s">
        <v>0</v>
      </c>
      <c r="BQ100" s="52" t="str">
        <f>IF(X100&lt;&gt;"NEMA","",IF(IFERROR(MATCH(W100,W$12:W99,0),0)&lt;&gt;0,"",W100))</f>
        <v/>
      </c>
      <c r="BR100" s="73" t="str">
        <f t="shared" si="165"/>
        <v/>
      </c>
      <c r="BS100" s="31" t="str">
        <f>IF(OR(BR100="",BR100&lt;&gt;"NEMA"),"",MAX(BS$12:BS99)+1)</f>
        <v/>
      </c>
      <c r="BT100" s="66" t="str">
        <f t="shared" si="166"/>
        <v/>
      </c>
      <c r="BU100" s="47" t="s">
        <v>0</v>
      </c>
      <c r="BV100" s="19" t="str">
        <f t="shared" si="167"/>
        <v/>
      </c>
      <c r="BW100" s="47" t="s">
        <v>0</v>
      </c>
      <c r="BX100" s="82" t="str">
        <f>IF(BK100&lt;&gt;"NEMA","",IF(IFERROR(MATCH(BJ100,BJ$12:BJ99,0),0)&lt;&gt;0,"",BJ100))</f>
        <v/>
      </c>
      <c r="BY100" s="47" t="s">
        <v>0</v>
      </c>
      <c r="BZ100" s="125"/>
      <c r="CA100" s="47" t="s">
        <v>0</v>
      </c>
      <c r="CB100" s="58" t="str">
        <f t="shared" si="168"/>
        <v/>
      </c>
      <c r="CC100" s="31" t="str">
        <f t="shared" si="169"/>
        <v/>
      </c>
      <c r="CD100" s="31" t="str">
        <f>IF(CC100="","",MAX(CD$12:CD99)+1)</f>
        <v/>
      </c>
      <c r="CE100" s="31" t="str">
        <f t="shared" si="125"/>
        <v/>
      </c>
      <c r="CF100" s="31" t="str">
        <f t="shared" si="170"/>
        <v/>
      </c>
      <c r="CG100" s="31" t="str">
        <f>IF(BZ100="","",MAX(CG$12:CG99)+1)</f>
        <v/>
      </c>
      <c r="CH100" s="31" t="str">
        <f t="shared" si="171"/>
        <v/>
      </c>
      <c r="CI100" s="66" t="str">
        <f t="shared" si="172"/>
        <v/>
      </c>
      <c r="CJ100" s="47" t="s">
        <v>0</v>
      </c>
      <c r="CK100" s="73" t="str">
        <f t="shared" si="126"/>
        <v/>
      </c>
      <c r="CL100" s="47"/>
      <c r="CM100" s="19" t="str">
        <f t="shared" si="173"/>
        <v/>
      </c>
      <c r="CN100" s="47" t="s">
        <v>0</v>
      </c>
      <c r="CO100" s="143" t="str">
        <f t="shared" si="174"/>
        <v>OK Vihor</v>
      </c>
      <c r="CP100" s="47" t="s">
        <v>0</v>
      </c>
      <c r="CQ100" s="58" t="str">
        <f t="shared" si="109"/>
        <v/>
      </c>
      <c r="CR100" s="73" t="str">
        <f t="shared" si="110"/>
        <v>1</v>
      </c>
      <c r="CS100" s="229" t="str">
        <f t="shared" si="127"/>
        <v/>
      </c>
      <c r="CT100" s="230" t="str">
        <f t="shared" si="112"/>
        <v/>
      </c>
      <c r="CU100" s="163">
        <f t="shared" si="128"/>
        <v>6</v>
      </c>
      <c r="CV100" s="47" t="s">
        <v>0</v>
      </c>
      <c r="CW100" s="222" t="str">
        <f t="shared" si="175"/>
        <v xml:space="preserve">
</v>
      </c>
      <c r="CX100" s="223" t="e">
        <f t="shared" si="176"/>
        <v>#N/A</v>
      </c>
      <c r="CY100" s="47" t="s">
        <v>0</v>
      </c>
      <c r="CZ100" s="47"/>
      <c r="DA100" s="47"/>
      <c r="DB100" s="47"/>
      <c r="DC100" s="47" t="s">
        <v>0</v>
      </c>
      <c r="DD100" s="53" t="str">
        <f t="shared" si="184"/>
        <v/>
      </c>
      <c r="DE100" t="s">
        <v>0</v>
      </c>
      <c r="DF100" s="128" t="str">
        <f t="shared" si="185"/>
        <v>M</v>
      </c>
      <c r="DG100" t="s">
        <v>0</v>
      </c>
      <c r="DH100" s="52" t="str">
        <f t="shared" si="186"/>
        <v/>
      </c>
      <c r="DI100" s="66" t="str">
        <f t="shared" si="187"/>
        <v/>
      </c>
      <c r="DJ100" t="s">
        <v>0</v>
      </c>
      <c r="DK100" s="19" t="str">
        <f t="shared" si="188"/>
        <v/>
      </c>
      <c r="DL100" s="47" t="s">
        <v>0</v>
      </c>
      <c r="DM100" s="19" t="str">
        <f t="shared" si="189"/>
        <v/>
      </c>
      <c r="DN100" s="47" t="s">
        <v>0</v>
      </c>
      <c r="DO100" s="52" t="str">
        <f t="shared" si="129"/>
        <v>Kristijan – Barišić – OK Vihor – M21B</v>
      </c>
      <c r="DP100" s="53">
        <f t="shared" si="130"/>
        <v>623</v>
      </c>
      <c r="DQ100" s="47" t="s">
        <v>0</v>
      </c>
      <c r="DR100" s="52" t="str">
        <f t="shared" si="131"/>
        <v>Kristijan – Barišić – OK Vihor</v>
      </c>
      <c r="DS100" s="53">
        <f t="shared" si="132"/>
        <v>623</v>
      </c>
      <c r="DT100" s="47" t="s">
        <v>0</v>
      </c>
      <c r="DU100" s="52" t="str">
        <f t="shared" si="133"/>
        <v>Kristijan – Barišić</v>
      </c>
      <c r="DV100" s="53">
        <f t="shared" si="134"/>
        <v>623</v>
      </c>
      <c r="DW100" s="47" t="s">
        <v>0</v>
      </c>
      <c r="DX100" s="58">
        <f t="shared" si="177"/>
        <v>623</v>
      </c>
      <c r="DY100" s="53" cm="1">
        <f t="array" ref="DY100">IF(DX100&lt;&gt;"",INDEX(regNatjecatelj_id,DX100,0),IF(BD100&lt;&gt;"",BD100,""))</f>
        <v>1882</v>
      </c>
      <c r="DZ100" s="47" t="s">
        <v>0</v>
      </c>
      <c r="EA100" s="58" t="str">
        <f t="shared" si="135"/>
        <v>imepre</v>
      </c>
      <c r="EB100" s="73" t="str">
        <f t="shared" si="136"/>
        <v>klu</v>
      </c>
      <c r="EC100" s="73" t="str">
        <f t="shared" si="137"/>
        <v>kat</v>
      </c>
      <c r="ED100" s="73" t="str">
        <f t="shared" si="138"/>
        <v/>
      </c>
      <c r="EE100" s="66" t="str">
        <f t="shared" si="139"/>
        <v>imepre-klu-kat</v>
      </c>
      <c r="EF100" s="47" t="s">
        <v>0</v>
      </c>
      <c r="EG100" s="58">
        <f>IF(AL100="","",MAX(EG$12:EG99)+1)</f>
        <v>270</v>
      </c>
      <c r="EH100" s="73">
        <f t="shared" si="140"/>
        <v>28</v>
      </c>
      <c r="EI100" s="73">
        <f t="shared" si="178"/>
        <v>1882</v>
      </c>
      <c r="EJ100" s="73" t="str">
        <f t="shared" si="141"/>
        <v/>
      </c>
      <c r="EK100" s="73">
        <f t="shared" si="142"/>
        <v>6</v>
      </c>
      <c r="EL100" s="73">
        <f t="shared" si="179"/>
        <v>1</v>
      </c>
      <c r="EM100" s="73">
        <f t="shared" si="180"/>
        <v>1</v>
      </c>
      <c r="EN100" s="73" t="str">
        <f t="shared" si="143"/>
        <v>1</v>
      </c>
      <c r="EO100" s="73" t="str">
        <f t="shared" si="144"/>
        <v/>
      </c>
      <c r="EP100" s="73" t="str">
        <f t="shared" si="145"/>
        <v/>
      </c>
      <c r="EQ100" s="53" t="str">
        <f t="shared" si="146"/>
        <v/>
      </c>
      <c r="ER100" s="47" t="s">
        <v>0</v>
      </c>
      <c r="ES100" s="19" t="str">
        <f t="shared" si="181"/>
        <v>INSERT INTO rezultat(id,stazakategorija_id,imeprezime_id,vrijeme_sec,status_id,registracija,uparivanje_id,originalstatus_id,imeprezimealias_id,klubalias_id,kategorijaalias_id) VALUES (270,28,1882,Null,6,1,1,1,Null,Null,Null);</v>
      </c>
      <c r="ET100" s="47" t="s">
        <v>0</v>
      </c>
      <c r="EU100" s="19" t="str">
        <f t="shared" si="182"/>
        <v>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0" s="47" t="s">
        <v>0</v>
      </c>
      <c r="EW100" s="180" t="str">
        <f t="shared" si="147"/>
        <v xml:space="preserve">
INSERT INTO rezultat(id,stazakategorija_id,imeprezime_id,vrijeme_sec,status_id,registracija,uparivanje_id,originalstatus_id,imeprezimealias_id,klubalias_id,kategorijaalias_id) VALUES (270,28,1882,Null,6,1,1,1,Null,Null,Null);
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0" s="47" t="s">
        <v>0</v>
      </c>
    </row>
    <row r="101" spans="1:154" x14ac:dyDescent="0.25">
      <c r="A101" t="s">
        <v>0</v>
      </c>
      <c r="B101" s="52" t="str">
        <f>IF(csv!F91="","",csv!T91)</f>
        <v>M21B</v>
      </c>
      <c r="C101" s="31" t="s">
        <v>0</v>
      </c>
      <c r="D101" s="31" t="str">
        <f>IF(csv!F91="","",csv!F91)</f>
        <v>Vacant</v>
      </c>
      <c r="E101" s="31" t="str">
        <f>IF(csv!E91="","",csv!E91)</f>
        <v/>
      </c>
      <c r="F101" s="31" t="s">
        <v>0</v>
      </c>
      <c r="G101" s="73" t="str">
        <f>IF(csv!M91="","",csv!M91)</f>
        <v/>
      </c>
      <c r="H101" s="73" t="str">
        <f>IF(csv!N91="","",csv!N91)</f>
        <v>0</v>
      </c>
      <c r="I101" s="31" t="s">
        <v>0</v>
      </c>
      <c r="J101" s="31" t="str">
        <f>IF(csv!P91="","",csv!P91)</f>
        <v/>
      </c>
      <c r="K101" s="31" t="str">
        <f>IF(csv!Q91="","",csv!Q91)</f>
        <v/>
      </c>
      <c r="L101" s="31" t="s">
        <v>0</v>
      </c>
      <c r="M101" s="66" t="str">
        <f>IF(csv!R91="","",csv!R91)</f>
        <v/>
      </c>
      <c r="N101" s="47" t="s">
        <v>0</v>
      </c>
      <c r="O101" s="246" t="str">
        <f t="shared" si="148"/>
        <v/>
      </c>
      <c r="P101" s="47"/>
      <c r="Q101" s="52" t="str">
        <f t="shared" si="149"/>
        <v>M21B</v>
      </c>
      <c r="R101" s="73">
        <f>IF(Q101="","",IF(COUNTIF(Q$12:Q100,Q101)=0,R100+1,R100))</f>
        <v>6</v>
      </c>
      <c r="S101" s="73">
        <f t="shared" si="150"/>
        <v>108</v>
      </c>
      <c r="T101" s="73">
        <f t="shared" si="113"/>
        <v>19</v>
      </c>
      <c r="U101" s="66" t="str">
        <f t="shared" si="114"/>
        <v>M21B – M16</v>
      </c>
      <c r="V101" s="47" t="s">
        <v>0</v>
      </c>
      <c r="W101" s="222" t="str">
        <f t="shared" si="115"/>
        <v/>
      </c>
      <c r="X101" s="223" t="str">
        <f t="shared" si="116"/>
        <v/>
      </c>
      <c r="Y101" s="47" t="s">
        <v>0</v>
      </c>
      <c r="Z101" s="52" t="str">
        <f t="shared" si="151"/>
        <v/>
      </c>
      <c r="AA101" s="73" t="str">
        <f t="shared" si="117"/>
        <v/>
      </c>
      <c r="AB101" s="31" t="str">
        <f t="shared" si="152"/>
        <v/>
      </c>
      <c r="AC101" s="66" t="str">
        <f>IF(AB101="","",MAX(AC$12:AC100)+1)</f>
        <v/>
      </c>
      <c r="AD101" s="47" t="s">
        <v>0</v>
      </c>
      <c r="AE101" s="125"/>
      <c r="AF101" s="47" t="s">
        <v>0</v>
      </c>
      <c r="AG101" s="19" t="str">
        <f t="shared" si="153"/>
        <v/>
      </c>
      <c r="AH101" s="47" t="s">
        <v>0</v>
      </c>
      <c r="AI101" s="143" t="str">
        <f t="shared" si="154"/>
        <v/>
      </c>
      <c r="AJ101" s="47"/>
      <c r="AK101" s="52" t="str">
        <f t="shared" si="155"/>
        <v/>
      </c>
      <c r="AL101" s="31" t="str">
        <f t="shared" si="156"/>
        <v/>
      </c>
      <c r="AM101" s="73" t="str">
        <f t="shared" si="157"/>
        <v/>
      </c>
      <c r="AN101" s="73" t="str">
        <f t="shared" si="158"/>
        <v/>
      </c>
      <c r="AO101" s="31" t="str">
        <f t="shared" si="118"/>
        <v/>
      </c>
      <c r="AP101" s="66" t="str">
        <f t="shared" si="119"/>
        <v/>
      </c>
      <c r="AQ101" s="47" t="s">
        <v>0</v>
      </c>
      <c r="AR101" s="82" t="str">
        <f t="shared" si="159"/>
        <v/>
      </c>
      <c r="AS101" s="47" t="s">
        <v>0</v>
      </c>
      <c r="AT101" s="19" t="str">
        <f t="shared" si="160"/>
        <v/>
      </c>
      <c r="AU101" s="47" t="s">
        <v>0</v>
      </c>
      <c r="AV101" s="103"/>
      <c r="AW101" s="105"/>
      <c r="AX101" s="47" t="s">
        <v>0</v>
      </c>
      <c r="AY101" s="259" t="str">
        <f t="shared" si="183"/>
        <v/>
      </c>
      <c r="AZ101" s="47" t="s">
        <v>0</v>
      </c>
      <c r="BA101" s="52" t="str">
        <f t="shared" si="120"/>
        <v/>
      </c>
      <c r="BB101" s="73" t="str">
        <f>IF(AV101&amp;AW101="","",MAX(BB$12:BB100)+1)</f>
        <v/>
      </c>
      <c r="BC101" s="272" t="str">
        <f t="shared" si="121"/>
        <v/>
      </c>
      <c r="BD101" s="53" t="str">
        <f>IF(AND(AM101="NEMA",AN101="NEMA",OR(AV101&amp;AW101="",BC101="NEMA")),MAX(BD$12:BD100)+1,"")</f>
        <v/>
      </c>
      <c r="BE101" s="47" t="s">
        <v>0</v>
      </c>
      <c r="BF101" s="52" t="str">
        <f t="shared" si="161"/>
        <v/>
      </c>
      <c r="BG101" s="66" t="str">
        <f t="shared" si="162"/>
        <v/>
      </c>
      <c r="BH101" s="47" t="s">
        <v>0</v>
      </c>
      <c r="BI101" s="52" t="str">
        <f t="shared" si="122"/>
        <v/>
      </c>
      <c r="BJ101" s="31" t="str">
        <f t="shared" si="123"/>
        <v/>
      </c>
      <c r="BK101" s="73" t="str">
        <f t="shared" si="124"/>
        <v/>
      </c>
      <c r="BL101" s="31" t="str" cm="1">
        <f t="array" ref="BL101">IF(BK101="",""&amp;BJ101,IF(BK101="NEMA",BJ101,INDEX(regKlub_naziv,MATCH(INDEX(regKlub_alias_klubId,BK101),regKlub_id,0))))</f>
        <v/>
      </c>
      <c r="BM101" s="31" t="str" cm="1">
        <f t="array" ref="BM101">IFERROR(""&amp;INDEX(regNatjecatelj_klub,DV101),"")</f>
        <v/>
      </c>
      <c r="BN101" s="73" t="str">
        <f t="shared" si="163"/>
        <v/>
      </c>
      <c r="BO101" s="66" t="str">
        <f t="shared" si="164"/>
        <v/>
      </c>
      <c r="BP101" s="47" t="s">
        <v>0</v>
      </c>
      <c r="BQ101" s="52" t="str">
        <f>IF(X101&lt;&gt;"NEMA","",IF(IFERROR(MATCH(W101,W$12:W100,0),0)&lt;&gt;0,"",W101))</f>
        <v/>
      </c>
      <c r="BR101" s="73" t="str">
        <f t="shared" si="165"/>
        <v/>
      </c>
      <c r="BS101" s="31" t="str">
        <f>IF(OR(BR101="",BR101&lt;&gt;"NEMA"),"",MAX(BS$12:BS100)+1)</f>
        <v/>
      </c>
      <c r="BT101" s="66" t="str">
        <f t="shared" si="166"/>
        <v/>
      </c>
      <c r="BU101" s="47" t="s">
        <v>0</v>
      </c>
      <c r="BV101" s="19" t="str">
        <f t="shared" si="167"/>
        <v/>
      </c>
      <c r="BW101" s="47" t="s">
        <v>0</v>
      </c>
      <c r="BX101" s="82" t="str">
        <f>IF(BK101&lt;&gt;"NEMA","",IF(IFERROR(MATCH(BJ101,BJ$12:BJ100,0),0)&lt;&gt;0,"",BJ101))</f>
        <v/>
      </c>
      <c r="BY101" s="47" t="s">
        <v>0</v>
      </c>
      <c r="BZ101" s="125"/>
      <c r="CA101" s="47" t="s">
        <v>0</v>
      </c>
      <c r="CB101" s="58" t="str">
        <f t="shared" si="168"/>
        <v/>
      </c>
      <c r="CC101" s="31" t="str">
        <f t="shared" si="169"/>
        <v/>
      </c>
      <c r="CD101" s="31" t="str">
        <f>IF(CC101="","",MAX(CD$12:CD100)+1)</f>
        <v/>
      </c>
      <c r="CE101" s="31" t="str">
        <f t="shared" si="125"/>
        <v/>
      </c>
      <c r="CF101" s="31" t="str">
        <f t="shared" si="170"/>
        <v/>
      </c>
      <c r="CG101" s="31" t="str">
        <f>IF(BZ101="","",MAX(CG$12:CG100)+1)</f>
        <v/>
      </c>
      <c r="CH101" s="31" t="str">
        <f t="shared" si="171"/>
        <v/>
      </c>
      <c r="CI101" s="66" t="str">
        <f t="shared" si="172"/>
        <v/>
      </c>
      <c r="CJ101" s="47" t="s">
        <v>0</v>
      </c>
      <c r="CK101" s="73" t="str">
        <f t="shared" si="126"/>
        <v/>
      </c>
      <c r="CL101" s="47"/>
      <c r="CM101" s="19" t="str">
        <f t="shared" si="173"/>
        <v/>
      </c>
      <c r="CN101" s="47" t="s">
        <v>0</v>
      </c>
      <c r="CO101" s="143" t="str">
        <f t="shared" si="174"/>
        <v/>
      </c>
      <c r="CP101" s="47" t="s">
        <v>0</v>
      </c>
      <c r="CQ101" s="58" t="str">
        <f t="shared" si="109"/>
        <v/>
      </c>
      <c r="CR101" s="73" t="str">
        <f t="shared" si="110"/>
        <v>0</v>
      </c>
      <c r="CS101" s="229" t="str">
        <f t="shared" si="127"/>
        <v/>
      </c>
      <c r="CT101" s="230" t="str">
        <f t="shared" si="112"/>
        <v/>
      </c>
      <c r="CU101" s="163" t="str">
        <f t="shared" si="128"/>
        <v/>
      </c>
      <c r="CV101" s="47" t="s">
        <v>0</v>
      </c>
      <c r="CW101" s="222" t="str">
        <f t="shared" si="175"/>
        <v xml:space="preserve">
</v>
      </c>
      <c r="CX101" s="223" t="str">
        <f t="shared" si="176"/>
        <v/>
      </c>
      <c r="CY101" s="47" t="s">
        <v>0</v>
      </c>
      <c r="CZ101" s="47"/>
      <c r="DA101" s="47"/>
      <c r="DB101" s="47"/>
      <c r="DC101" s="47" t="s">
        <v>0</v>
      </c>
      <c r="DD101" s="53" t="str">
        <f t="shared" si="184"/>
        <v/>
      </c>
      <c r="DE101" t="s">
        <v>0</v>
      </c>
      <c r="DF101" s="128" t="str">
        <f t="shared" si="185"/>
        <v>M</v>
      </c>
      <c r="DG101" t="s">
        <v>0</v>
      </c>
      <c r="DH101" s="52" t="str">
        <f t="shared" si="186"/>
        <v/>
      </c>
      <c r="DI101" s="66" t="str">
        <f t="shared" si="187"/>
        <v/>
      </c>
      <c r="DJ101" t="s">
        <v>0</v>
      </c>
      <c r="DK101" s="19" t="str">
        <f t="shared" si="188"/>
        <v/>
      </c>
      <c r="DL101" s="47" t="s">
        <v>0</v>
      </c>
      <c r="DM101" s="19" t="str">
        <f t="shared" si="189"/>
        <v/>
      </c>
      <c r="DN101" s="47" t="s">
        <v>0</v>
      </c>
      <c r="DO101" s="52" t="str">
        <f t="shared" si="129"/>
        <v/>
      </c>
      <c r="DP101" s="53" t="str">
        <f t="shared" si="130"/>
        <v/>
      </c>
      <c r="DQ101" s="47" t="s">
        <v>0</v>
      </c>
      <c r="DR101" s="52" t="str">
        <f t="shared" si="131"/>
        <v/>
      </c>
      <c r="DS101" s="53" t="str">
        <f t="shared" si="132"/>
        <v/>
      </c>
      <c r="DT101" s="47" t="s">
        <v>0</v>
      </c>
      <c r="DU101" s="52" t="str">
        <f t="shared" si="133"/>
        <v/>
      </c>
      <c r="DV101" s="53" t="str">
        <f t="shared" si="134"/>
        <v/>
      </c>
      <c r="DW101" s="47" t="s">
        <v>0</v>
      </c>
      <c r="DX101" s="58" t="str">
        <f t="shared" si="177"/>
        <v/>
      </c>
      <c r="DY101" s="53" t="str" cm="1">
        <f t="array" ref="DY101">IF(DX101&lt;&gt;"",INDEX(regNatjecatelj_id,DX101,0),IF(BD101&lt;&gt;"",BD101,""))</f>
        <v/>
      </c>
      <c r="DZ101" s="47" t="s">
        <v>0</v>
      </c>
      <c r="EA101" s="58" t="str">
        <f t="shared" si="135"/>
        <v/>
      </c>
      <c r="EB101" s="73" t="str">
        <f t="shared" si="136"/>
        <v/>
      </c>
      <c r="EC101" s="73" t="str">
        <f t="shared" si="137"/>
        <v/>
      </c>
      <c r="ED101" s="73" t="str">
        <f t="shared" si="138"/>
        <v/>
      </c>
      <c r="EE101" s="66" t="str">
        <f t="shared" si="139"/>
        <v/>
      </c>
      <c r="EF101" s="47" t="s">
        <v>0</v>
      </c>
      <c r="EG101" s="58" t="str">
        <f>IF(AL101="","",MAX(EG$12:EG100)+1)</f>
        <v/>
      </c>
      <c r="EH101" s="73" t="str">
        <f t="shared" si="140"/>
        <v/>
      </c>
      <c r="EI101" s="73" t="str">
        <f t="shared" si="178"/>
        <v/>
      </c>
      <c r="EJ101" s="73" t="str">
        <f t="shared" si="141"/>
        <v/>
      </c>
      <c r="EK101" s="73" t="str">
        <f t="shared" si="142"/>
        <v/>
      </c>
      <c r="EL101" s="73" t="str">
        <f t="shared" si="179"/>
        <v/>
      </c>
      <c r="EM101" s="73" t="str">
        <f t="shared" si="180"/>
        <v/>
      </c>
      <c r="EN101" s="73" t="str">
        <f t="shared" si="143"/>
        <v/>
      </c>
      <c r="EO101" s="73" t="str">
        <f t="shared" si="144"/>
        <v/>
      </c>
      <c r="EP101" s="73" t="str">
        <f t="shared" si="145"/>
        <v/>
      </c>
      <c r="EQ101" s="53" t="str">
        <f t="shared" si="146"/>
        <v/>
      </c>
      <c r="ER101" s="47" t="s">
        <v>0</v>
      </c>
      <c r="ES101" s="19" t="str">
        <f t="shared" si="181"/>
        <v/>
      </c>
      <c r="ET101" s="47" t="s">
        <v>0</v>
      </c>
      <c r="EU101" s="19" t="str">
        <f t="shared" si="182"/>
        <v/>
      </c>
      <c r="EV101" s="47" t="s">
        <v>0</v>
      </c>
      <c r="EW101" s="180" t="str">
        <f t="shared" si="147"/>
        <v/>
      </c>
      <c r="EX101" s="47" t="s">
        <v>0</v>
      </c>
    </row>
    <row r="102" spans="1:154" x14ac:dyDescent="0.25">
      <c r="A102" t="s">
        <v>0</v>
      </c>
      <c r="B102" s="52" t="str">
        <f>IF(csv!F92="","",csv!T92)</f>
        <v>M21B</v>
      </c>
      <c r="C102" s="31" t="s">
        <v>0</v>
      </c>
      <c r="D102" s="31" t="str">
        <f>IF(csv!F92="","",csv!F92)</f>
        <v>Goran</v>
      </c>
      <c r="E102" s="31" t="str">
        <f>IF(csv!E92="","",csv!E92)</f>
        <v>Juratović</v>
      </c>
      <c r="F102" s="31" t="s">
        <v>0</v>
      </c>
      <c r="G102" s="73" t="str">
        <f>IF(csv!M92="","",csv!M92)</f>
        <v/>
      </c>
      <c r="H102" s="73" t="str">
        <f>IF(csv!N92="","",csv!N92)</f>
        <v>1</v>
      </c>
      <c r="I102" s="31" t="s">
        <v>0</v>
      </c>
      <c r="J102" s="31" t="str">
        <f>IF(csv!P92="","",csv!P92)</f>
        <v>Vihor</v>
      </c>
      <c r="K102" s="31" t="str">
        <f>IF(csv!Q92="","",csv!Q92)</f>
        <v>OK Vihor</v>
      </c>
      <c r="L102" s="31" t="s">
        <v>0</v>
      </c>
      <c r="M102" s="66" t="str">
        <f>IF(csv!R92="","",csv!R92)</f>
        <v>CRO</v>
      </c>
      <c r="N102" s="47" t="s">
        <v>0</v>
      </c>
      <c r="O102" s="246" t="str">
        <f t="shared" si="148"/>
        <v>ok</v>
      </c>
      <c r="P102" s="47"/>
      <c r="Q102" s="52" t="str">
        <f t="shared" si="149"/>
        <v>M21B</v>
      </c>
      <c r="R102" s="73">
        <f>IF(Q102="","",IF(COUNTIF(Q$12:Q101,Q102)=0,R101+1,R101))</f>
        <v>6</v>
      </c>
      <c r="S102" s="73">
        <f t="shared" si="150"/>
        <v>108</v>
      </c>
      <c r="T102" s="73">
        <f t="shared" si="113"/>
        <v>19</v>
      </c>
      <c r="U102" s="66" t="str">
        <f t="shared" si="114"/>
        <v>M21B – M16</v>
      </c>
      <c r="V102" s="47" t="s">
        <v>0</v>
      </c>
      <c r="W102" s="222" t="str">
        <f t="shared" si="115"/>
        <v>M21B</v>
      </c>
      <c r="X102" s="223">
        <f t="shared" si="116"/>
        <v>28</v>
      </c>
      <c r="Y102" s="47" t="s">
        <v>0</v>
      </c>
      <c r="Z102" s="52" t="str">
        <f t="shared" si="151"/>
        <v>CRO</v>
      </c>
      <c r="AA102" s="73">
        <f t="shared" si="117"/>
        <v>1</v>
      </c>
      <c r="AB102" s="31" t="str">
        <f t="shared" si="152"/>
        <v/>
      </c>
      <c r="AC102" s="66" t="str">
        <f>IF(AB102="","",MAX(AC$12:AC101)+1)</f>
        <v/>
      </c>
      <c r="AD102" s="47" t="s">
        <v>0</v>
      </c>
      <c r="AE102" s="125"/>
      <c r="AF102" s="47" t="s">
        <v>0</v>
      </c>
      <c r="AG102" s="19" t="str">
        <f t="shared" si="153"/>
        <v/>
      </c>
      <c r="AH102" s="47" t="s">
        <v>0</v>
      </c>
      <c r="AI102" s="143" t="str">
        <f t="shared" si="154"/>
        <v>CRO</v>
      </c>
      <c r="AJ102" s="47"/>
      <c r="AK102" s="52" t="str">
        <f t="shared" si="155"/>
        <v>Goran</v>
      </c>
      <c r="AL102" s="31" t="str">
        <f t="shared" si="156"/>
        <v>Juratović</v>
      </c>
      <c r="AM102" s="73">
        <f t="shared" si="157"/>
        <v>1919</v>
      </c>
      <c r="AN102" s="73" t="str">
        <f t="shared" si="158"/>
        <v/>
      </c>
      <c r="AO102" s="31" t="str">
        <f t="shared" si="118"/>
        <v>Goran</v>
      </c>
      <c r="AP102" s="66" t="str">
        <f t="shared" si="119"/>
        <v>Juratović</v>
      </c>
      <c r="AQ102" s="47" t="s">
        <v>0</v>
      </c>
      <c r="AR102" s="82" t="str">
        <f t="shared" si="159"/>
        <v/>
      </c>
      <c r="AS102" s="47" t="s">
        <v>0</v>
      </c>
      <c r="AT102" s="19" t="str">
        <f t="shared" si="160"/>
        <v/>
      </c>
      <c r="AU102" s="47" t="s">
        <v>0</v>
      </c>
      <c r="AV102" s="103"/>
      <c r="AW102" s="105"/>
      <c r="AX102" s="47" t="s">
        <v>0</v>
      </c>
      <c r="AY102" s="259" t="str">
        <f t="shared" si="183"/>
        <v/>
      </c>
      <c r="AZ102" s="47" t="s">
        <v>0</v>
      </c>
      <c r="BA102" s="52" t="str">
        <f t="shared" si="120"/>
        <v/>
      </c>
      <c r="BB102" s="73" t="str">
        <f>IF(AV102&amp;AW102="","",MAX(BB$12:BB101)+1)</f>
        <v/>
      </c>
      <c r="BC102" s="272" t="str">
        <f t="shared" si="121"/>
        <v/>
      </c>
      <c r="BD102" s="53" t="str">
        <f>IF(AND(AM102="NEMA",AN102="NEMA",OR(AV102&amp;AW102="",BC102="NEMA")),MAX(BD$12:BD101)+1,"")</f>
        <v/>
      </c>
      <c r="BE102" s="47" t="s">
        <v>0</v>
      </c>
      <c r="BF102" s="52" t="str">
        <f t="shared" si="161"/>
        <v>Goran</v>
      </c>
      <c r="BG102" s="66" t="str">
        <f t="shared" si="162"/>
        <v>Juratović</v>
      </c>
      <c r="BH102" s="47" t="s">
        <v>0</v>
      </c>
      <c r="BI102" s="52" t="str">
        <f t="shared" si="122"/>
        <v>Vihor</v>
      </c>
      <c r="BJ102" s="31" t="str">
        <f t="shared" si="123"/>
        <v>OK Vihor</v>
      </c>
      <c r="BK102" s="73" t="str">
        <f t="shared" si="124"/>
        <v/>
      </c>
      <c r="BL102" s="31" t="str" cm="1">
        <f t="array" ref="BL102">IF(BK102="",""&amp;BJ102,IF(BK102="NEMA",BJ102,INDEX(regKlub_naziv,MATCH(INDEX(regKlub_alias_klubId,BK102),regKlub_id,0))))</f>
        <v>OK Vihor</v>
      </c>
      <c r="BM102" s="31" t="str" cm="1">
        <f t="array" ref="BM102">IFERROR(""&amp;INDEX(regNatjecatelj_klub,DV102),"")</f>
        <v>OK Vihor</v>
      </c>
      <c r="BN102" s="73" t="str">
        <f t="shared" si="163"/>
        <v/>
      </c>
      <c r="BO102" s="66" t="str">
        <f t="shared" si="164"/>
        <v>OK Vihor</v>
      </c>
      <c r="BP102" s="47" t="s">
        <v>0</v>
      </c>
      <c r="BQ102" s="52" t="str">
        <f>IF(X102&lt;&gt;"NEMA","",IF(IFERROR(MATCH(W102,W$12:W101,0),0)&lt;&gt;0,"",W102))</f>
        <v/>
      </c>
      <c r="BR102" s="73" t="str">
        <f t="shared" si="165"/>
        <v/>
      </c>
      <c r="BS102" s="31" t="str">
        <f>IF(OR(BR102="",BR102&lt;&gt;"NEMA"),"",MAX(BS$12:BS101)+1)</f>
        <v/>
      </c>
      <c r="BT102" s="66" t="str">
        <f t="shared" si="166"/>
        <v/>
      </c>
      <c r="BU102" s="47" t="s">
        <v>0</v>
      </c>
      <c r="BV102" s="19" t="str">
        <f t="shared" si="167"/>
        <v/>
      </c>
      <c r="BW102" s="47" t="s">
        <v>0</v>
      </c>
      <c r="BX102" s="82" t="str">
        <f>IF(BK102&lt;&gt;"NEMA","",IF(IFERROR(MATCH(BJ102,BJ$12:BJ101,0),0)&lt;&gt;0,"",BJ102))</f>
        <v/>
      </c>
      <c r="BY102" s="47" t="s">
        <v>0</v>
      </c>
      <c r="BZ102" s="125"/>
      <c r="CA102" s="47" t="s">
        <v>0</v>
      </c>
      <c r="CB102" s="58" t="str">
        <f t="shared" si="168"/>
        <v/>
      </c>
      <c r="CC102" s="31" t="str">
        <f t="shared" si="169"/>
        <v/>
      </c>
      <c r="CD102" s="31" t="str">
        <f>IF(CC102="","",MAX(CD$12:CD101)+1)</f>
        <v/>
      </c>
      <c r="CE102" s="31" t="str">
        <f t="shared" si="125"/>
        <v/>
      </c>
      <c r="CF102" s="31" t="str">
        <f t="shared" si="170"/>
        <v/>
      </c>
      <c r="CG102" s="31" t="str">
        <f>IF(BZ102="","",MAX(CG$12:CG101)+1)</f>
        <v/>
      </c>
      <c r="CH102" s="31" t="str">
        <f t="shared" si="171"/>
        <v/>
      </c>
      <c r="CI102" s="66" t="str">
        <f t="shared" si="172"/>
        <v/>
      </c>
      <c r="CJ102" s="47" t="s">
        <v>0</v>
      </c>
      <c r="CK102" s="73" t="str">
        <f t="shared" si="126"/>
        <v/>
      </c>
      <c r="CL102" s="47"/>
      <c r="CM102" s="19" t="str">
        <f t="shared" si="173"/>
        <v/>
      </c>
      <c r="CN102" s="47" t="s">
        <v>0</v>
      </c>
      <c r="CO102" s="143" t="str">
        <f t="shared" si="174"/>
        <v>OK Vihor</v>
      </c>
      <c r="CP102" s="47" t="s">
        <v>0</v>
      </c>
      <c r="CQ102" s="58" t="str">
        <f t="shared" si="109"/>
        <v/>
      </c>
      <c r="CR102" s="73" t="str">
        <f t="shared" si="110"/>
        <v>1</v>
      </c>
      <c r="CS102" s="229" t="str">
        <f t="shared" si="127"/>
        <v/>
      </c>
      <c r="CT102" s="230" t="str">
        <f t="shared" si="112"/>
        <v/>
      </c>
      <c r="CU102" s="163">
        <f t="shared" si="128"/>
        <v>6</v>
      </c>
      <c r="CV102" s="47" t="s">
        <v>0</v>
      </c>
      <c r="CW102" s="222" t="str">
        <f t="shared" si="175"/>
        <v xml:space="preserve">
</v>
      </c>
      <c r="CX102" s="223" t="e">
        <f t="shared" si="176"/>
        <v>#N/A</v>
      </c>
      <c r="CY102" s="47" t="s">
        <v>0</v>
      </c>
      <c r="CZ102" s="47"/>
      <c r="DA102" s="47"/>
      <c r="DB102" s="47"/>
      <c r="DC102" s="47" t="s">
        <v>0</v>
      </c>
      <c r="DD102" s="53" t="str">
        <f t="shared" si="184"/>
        <v/>
      </c>
      <c r="DE102" t="s">
        <v>0</v>
      </c>
      <c r="DF102" s="128" t="str">
        <f t="shared" si="185"/>
        <v>M</v>
      </c>
      <c r="DG102" t="s">
        <v>0</v>
      </c>
      <c r="DH102" s="52" t="str">
        <f t="shared" si="186"/>
        <v/>
      </c>
      <c r="DI102" s="66" t="str">
        <f t="shared" si="187"/>
        <v/>
      </c>
      <c r="DJ102" t="s">
        <v>0</v>
      </c>
      <c r="DK102" s="19" t="str">
        <f t="shared" si="188"/>
        <v/>
      </c>
      <c r="DL102" s="47" t="s">
        <v>0</v>
      </c>
      <c r="DM102" s="19" t="str">
        <f t="shared" si="189"/>
        <v/>
      </c>
      <c r="DN102" s="47" t="s">
        <v>0</v>
      </c>
      <c r="DO102" s="52" t="str">
        <f t="shared" si="129"/>
        <v>Goran – Juratović – OK Vihor – M21B</v>
      </c>
      <c r="DP102" s="53">
        <f t="shared" si="130"/>
        <v>722</v>
      </c>
      <c r="DQ102" s="47" t="s">
        <v>0</v>
      </c>
      <c r="DR102" s="52" t="str">
        <f t="shared" si="131"/>
        <v>Goran – Juratović – OK Vihor</v>
      </c>
      <c r="DS102" s="53">
        <f t="shared" si="132"/>
        <v>722</v>
      </c>
      <c r="DT102" s="47" t="s">
        <v>0</v>
      </c>
      <c r="DU102" s="52" t="str">
        <f t="shared" si="133"/>
        <v>Goran – Juratović</v>
      </c>
      <c r="DV102" s="53">
        <f t="shared" si="134"/>
        <v>722</v>
      </c>
      <c r="DW102" s="47" t="s">
        <v>0</v>
      </c>
      <c r="DX102" s="58">
        <f t="shared" si="177"/>
        <v>722</v>
      </c>
      <c r="DY102" s="53" cm="1">
        <f t="array" ref="DY102">IF(DX102&lt;&gt;"",INDEX(regNatjecatelj_id,DX102,0),IF(BD102&lt;&gt;"",BD102,""))</f>
        <v>1919</v>
      </c>
      <c r="DZ102" s="47" t="s">
        <v>0</v>
      </c>
      <c r="EA102" s="58" t="str">
        <f t="shared" si="135"/>
        <v>imepre</v>
      </c>
      <c r="EB102" s="73" t="str">
        <f t="shared" si="136"/>
        <v>klu</v>
      </c>
      <c r="EC102" s="73" t="str">
        <f t="shared" si="137"/>
        <v>kat</v>
      </c>
      <c r="ED102" s="73" t="str">
        <f t="shared" si="138"/>
        <v/>
      </c>
      <c r="EE102" s="66" t="str">
        <f t="shared" si="139"/>
        <v>imepre-klu-kat</v>
      </c>
      <c r="EF102" s="47" t="s">
        <v>0</v>
      </c>
      <c r="EG102" s="58">
        <f>IF(AL102="","",MAX(EG$12:EG101)+1)</f>
        <v>271</v>
      </c>
      <c r="EH102" s="73">
        <f t="shared" si="140"/>
        <v>28</v>
      </c>
      <c r="EI102" s="73">
        <f t="shared" si="178"/>
        <v>1919</v>
      </c>
      <c r="EJ102" s="73" t="str">
        <f t="shared" si="141"/>
        <v/>
      </c>
      <c r="EK102" s="73">
        <f t="shared" si="142"/>
        <v>6</v>
      </c>
      <c r="EL102" s="73">
        <f t="shared" si="179"/>
        <v>1</v>
      </c>
      <c r="EM102" s="73">
        <f t="shared" si="180"/>
        <v>1</v>
      </c>
      <c r="EN102" s="73" t="str">
        <f t="shared" si="143"/>
        <v>1</v>
      </c>
      <c r="EO102" s="73" t="str">
        <f t="shared" si="144"/>
        <v/>
      </c>
      <c r="EP102" s="73" t="str">
        <f t="shared" si="145"/>
        <v/>
      </c>
      <c r="EQ102" s="53" t="str">
        <f t="shared" si="146"/>
        <v/>
      </c>
      <c r="ER102" s="47" t="s">
        <v>0</v>
      </c>
      <c r="ES102" s="19" t="str">
        <f t="shared" si="181"/>
        <v>INSERT INTO rezultat(id,stazakategorija_id,imeprezime_id,vrijeme_sec,status_id,registracija,uparivanje_id,originalstatus_id,imeprezimealias_id,klubalias_id,kategorijaalias_id) VALUES (271,28,1919,Null,6,1,1,1,Null,Null,Null);</v>
      </c>
      <c r="ET102" s="47" t="s">
        <v>0</v>
      </c>
      <c r="EU102" s="19" t="str">
        <f t="shared" si="182"/>
        <v>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2" s="47" t="s">
        <v>0</v>
      </c>
      <c r="EW102" s="180" t="str">
        <f t="shared" si="147"/>
        <v xml:space="preserve">
INSERT INTO rezultat(id,stazakategorija_id,imeprezime_id,vrijeme_sec,status_id,registracija,uparivanje_id,originalstatus_id,imeprezimealias_id,klubalias_id,kategorijaalias_id) VALUES (271,28,1919,Null,6,1,1,1,Null,Null,Null);
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2" s="47" t="s">
        <v>0</v>
      </c>
    </row>
    <row r="103" spans="1:154" x14ac:dyDescent="0.25">
      <c r="A103" t="s">
        <v>0</v>
      </c>
      <c r="B103" s="52" t="str">
        <f>IF(csv!F93="","",csv!T93)</f>
        <v>M21B</v>
      </c>
      <c r="C103" s="31" t="s">
        <v>0</v>
      </c>
      <c r="D103" s="31" t="str">
        <f>IF(csv!F93="","",csv!F93)</f>
        <v>Ante</v>
      </c>
      <c r="E103" s="31" t="str">
        <f>IF(csv!E93="","",csv!E93)</f>
        <v>Balić</v>
      </c>
      <c r="F103" s="31" t="s">
        <v>0</v>
      </c>
      <c r="G103" s="73" t="str">
        <f>IF(csv!M93="","",csv!M93)</f>
        <v/>
      </c>
      <c r="H103" s="73" t="str">
        <f>IF(csv!N93="","",csv!N93)</f>
        <v>2</v>
      </c>
      <c r="I103" s="31" t="s">
        <v>0</v>
      </c>
      <c r="J103" s="31" t="str">
        <f>IF(csv!P93="","",csv!P93)</f>
        <v>KAP</v>
      </c>
      <c r="K103" s="31" t="str">
        <f>IF(csv!Q93="","",csv!Q93)</f>
        <v>OK Kapela</v>
      </c>
      <c r="L103" s="31" t="s">
        <v>0</v>
      </c>
      <c r="M103" s="66" t="str">
        <f>IF(csv!R93="","",csv!R93)</f>
        <v>CRO</v>
      </c>
      <c r="N103" s="47" t="s">
        <v>0</v>
      </c>
      <c r="O103" s="246" t="str">
        <f t="shared" si="148"/>
        <v>ok</v>
      </c>
      <c r="P103" s="47"/>
      <c r="Q103" s="52" t="str">
        <f t="shared" si="149"/>
        <v>M21B</v>
      </c>
      <c r="R103" s="73">
        <f>IF(Q103="","",IF(COUNTIF(Q$12:Q102,Q103)=0,R102+1,R102))</f>
        <v>6</v>
      </c>
      <c r="S103" s="73">
        <f t="shared" si="150"/>
        <v>108</v>
      </c>
      <c r="T103" s="73">
        <f t="shared" si="113"/>
        <v>19</v>
      </c>
      <c r="U103" s="66" t="str">
        <f t="shared" si="114"/>
        <v>M21B – M16</v>
      </c>
      <c r="V103" s="47" t="s">
        <v>0</v>
      </c>
      <c r="W103" s="222" t="str">
        <f t="shared" si="115"/>
        <v>M21B</v>
      </c>
      <c r="X103" s="223">
        <f t="shared" si="116"/>
        <v>28</v>
      </c>
      <c r="Y103" s="47" t="s">
        <v>0</v>
      </c>
      <c r="Z103" s="52" t="str">
        <f t="shared" si="151"/>
        <v>CRO</v>
      </c>
      <c r="AA103" s="73">
        <f t="shared" si="117"/>
        <v>1</v>
      </c>
      <c r="AB103" s="31" t="str">
        <f t="shared" si="152"/>
        <v/>
      </c>
      <c r="AC103" s="66" t="str">
        <f>IF(AB103="","",MAX(AC$12:AC102)+1)</f>
        <v/>
      </c>
      <c r="AD103" s="47" t="s">
        <v>0</v>
      </c>
      <c r="AE103" s="125"/>
      <c r="AF103" s="47" t="s">
        <v>0</v>
      </c>
      <c r="AG103" s="19" t="str">
        <f t="shared" si="153"/>
        <v/>
      </c>
      <c r="AH103" s="47" t="s">
        <v>0</v>
      </c>
      <c r="AI103" s="143" t="str">
        <f t="shared" si="154"/>
        <v>CRO</v>
      </c>
      <c r="AJ103" s="47"/>
      <c r="AK103" s="52" t="str">
        <f t="shared" si="155"/>
        <v>Ante</v>
      </c>
      <c r="AL103" s="31" t="str">
        <f t="shared" si="156"/>
        <v>Balić</v>
      </c>
      <c r="AM103" s="73">
        <f t="shared" si="157"/>
        <v>1941</v>
      </c>
      <c r="AN103" s="73" t="str">
        <f t="shared" si="158"/>
        <v/>
      </c>
      <c r="AO103" s="31" t="str">
        <f t="shared" si="118"/>
        <v>Ante</v>
      </c>
      <c r="AP103" s="66" t="str">
        <f t="shared" si="119"/>
        <v>Balić</v>
      </c>
      <c r="AQ103" s="47" t="s">
        <v>0</v>
      </c>
      <c r="AR103" s="82" t="str">
        <f t="shared" si="159"/>
        <v/>
      </c>
      <c r="AS103" s="47" t="s">
        <v>0</v>
      </c>
      <c r="AT103" s="19" t="str">
        <f t="shared" si="160"/>
        <v/>
      </c>
      <c r="AU103" s="47" t="s">
        <v>0</v>
      </c>
      <c r="AV103" s="103"/>
      <c r="AW103" s="105"/>
      <c r="AX103" s="47" t="s">
        <v>0</v>
      </c>
      <c r="AY103" s="259" t="str">
        <f t="shared" si="183"/>
        <v/>
      </c>
      <c r="AZ103" s="47" t="s">
        <v>0</v>
      </c>
      <c r="BA103" s="52" t="str">
        <f t="shared" si="120"/>
        <v/>
      </c>
      <c r="BB103" s="73" t="str">
        <f>IF(AV103&amp;AW103="","",MAX(BB$12:BB102)+1)</f>
        <v/>
      </c>
      <c r="BC103" s="272" t="str">
        <f t="shared" si="121"/>
        <v/>
      </c>
      <c r="BD103" s="53" t="str">
        <f>IF(AND(AM103="NEMA",AN103="NEMA",OR(AV103&amp;AW103="",BC103="NEMA")),MAX(BD$12:BD102)+1,"")</f>
        <v/>
      </c>
      <c r="BE103" s="47" t="s">
        <v>0</v>
      </c>
      <c r="BF103" s="52" t="str">
        <f t="shared" si="161"/>
        <v>Ante</v>
      </c>
      <c r="BG103" s="66" t="str">
        <f t="shared" si="162"/>
        <v>Balić</v>
      </c>
      <c r="BH103" s="47" t="s">
        <v>0</v>
      </c>
      <c r="BI103" s="52" t="str">
        <f t="shared" si="122"/>
        <v>KAP</v>
      </c>
      <c r="BJ103" s="31" t="str">
        <f t="shared" si="123"/>
        <v>OK Kapela</v>
      </c>
      <c r="BK103" s="73" t="str">
        <f t="shared" si="124"/>
        <v/>
      </c>
      <c r="BL103" s="31" t="str" cm="1">
        <f t="array" ref="BL103">IF(BK103="",""&amp;BJ103,IF(BK103="NEMA",BJ103,INDEX(regKlub_naziv,MATCH(INDEX(regKlub_alias_klubId,BK103),regKlub_id,0))))</f>
        <v>OK Kapela</v>
      </c>
      <c r="BM103" s="31" t="str" cm="1">
        <f t="array" ref="BM103">IFERROR(""&amp;INDEX(regNatjecatelj_klub,DV103),"")</f>
        <v>OK Kapela</v>
      </c>
      <c r="BN103" s="73" t="str">
        <f t="shared" si="163"/>
        <v/>
      </c>
      <c r="BO103" s="66" t="str">
        <f t="shared" si="164"/>
        <v>OK Kapela</v>
      </c>
      <c r="BP103" s="47" t="s">
        <v>0</v>
      </c>
      <c r="BQ103" s="52" t="str">
        <f>IF(X103&lt;&gt;"NEMA","",IF(IFERROR(MATCH(W103,W$12:W102,0),0)&lt;&gt;0,"",W103))</f>
        <v/>
      </c>
      <c r="BR103" s="73" t="str">
        <f t="shared" si="165"/>
        <v/>
      </c>
      <c r="BS103" s="31" t="str">
        <f>IF(OR(BR103="",BR103&lt;&gt;"NEMA"),"",MAX(BS$12:BS102)+1)</f>
        <v/>
      </c>
      <c r="BT103" s="66" t="str">
        <f t="shared" si="166"/>
        <v/>
      </c>
      <c r="BU103" s="47" t="s">
        <v>0</v>
      </c>
      <c r="BV103" s="19" t="str">
        <f t="shared" si="167"/>
        <v/>
      </c>
      <c r="BW103" s="47" t="s">
        <v>0</v>
      </c>
      <c r="BX103" s="82" t="str">
        <f>IF(BK103&lt;&gt;"NEMA","",IF(IFERROR(MATCH(BJ103,BJ$12:BJ102,0),0)&lt;&gt;0,"",BJ103))</f>
        <v/>
      </c>
      <c r="BY103" s="47" t="s">
        <v>0</v>
      </c>
      <c r="BZ103" s="125"/>
      <c r="CA103" s="47" t="s">
        <v>0</v>
      </c>
      <c r="CB103" s="58" t="str">
        <f t="shared" si="168"/>
        <v/>
      </c>
      <c r="CC103" s="31" t="str">
        <f t="shared" si="169"/>
        <v/>
      </c>
      <c r="CD103" s="31" t="str">
        <f>IF(CC103="","",MAX(CD$12:CD102)+1)</f>
        <v/>
      </c>
      <c r="CE103" s="31" t="str">
        <f t="shared" si="125"/>
        <v/>
      </c>
      <c r="CF103" s="31" t="str">
        <f t="shared" si="170"/>
        <v/>
      </c>
      <c r="CG103" s="31" t="str">
        <f>IF(BZ103="","",MAX(CG$12:CG102)+1)</f>
        <v/>
      </c>
      <c r="CH103" s="31" t="str">
        <f t="shared" si="171"/>
        <v/>
      </c>
      <c r="CI103" s="66" t="str">
        <f t="shared" si="172"/>
        <v/>
      </c>
      <c r="CJ103" s="47" t="s">
        <v>0</v>
      </c>
      <c r="CK103" s="73" t="str">
        <f t="shared" si="126"/>
        <v/>
      </c>
      <c r="CL103" s="47"/>
      <c r="CM103" s="19" t="str">
        <f t="shared" si="173"/>
        <v/>
      </c>
      <c r="CN103" s="47" t="s">
        <v>0</v>
      </c>
      <c r="CO103" s="143" t="str">
        <f t="shared" si="174"/>
        <v>OK Kapela</v>
      </c>
      <c r="CP103" s="47" t="s">
        <v>0</v>
      </c>
      <c r="CQ103" s="58" t="str">
        <f t="shared" ref="CQ103:CQ166" si="190">IF(G103="","",G103)</f>
        <v/>
      </c>
      <c r="CR103" s="73" t="str">
        <f t="shared" ref="CR103:CR166" si="191">IF(H103="","",H103)</f>
        <v>2</v>
      </c>
      <c r="CS103" s="229" t="str">
        <f t="shared" si="127"/>
        <v/>
      </c>
      <c r="CT103" s="230" t="str">
        <f t="shared" si="112"/>
        <v/>
      </c>
      <c r="CU103" s="163">
        <f t="shared" si="128"/>
        <v>4</v>
      </c>
      <c r="CV103" s="47" t="s">
        <v>0</v>
      </c>
      <c r="CW103" s="222" t="str">
        <f t="shared" si="175"/>
        <v xml:space="preserve">
</v>
      </c>
      <c r="CX103" s="223">
        <f t="shared" si="176"/>
        <v>5</v>
      </c>
      <c r="CY103" s="47" t="s">
        <v>0</v>
      </c>
      <c r="CZ103" s="47"/>
      <c r="DA103" s="47"/>
      <c r="DB103" s="47"/>
      <c r="DC103" s="47" t="s">
        <v>0</v>
      </c>
      <c r="DD103" s="53" t="str">
        <f t="shared" si="184"/>
        <v/>
      </c>
      <c r="DE103" t="s">
        <v>0</v>
      </c>
      <c r="DF103" s="128" t="str">
        <f t="shared" si="185"/>
        <v>M</v>
      </c>
      <c r="DG103" t="s">
        <v>0</v>
      </c>
      <c r="DH103" s="52" t="str">
        <f t="shared" si="186"/>
        <v/>
      </c>
      <c r="DI103" s="66" t="str">
        <f t="shared" si="187"/>
        <v/>
      </c>
      <c r="DJ103" t="s">
        <v>0</v>
      </c>
      <c r="DK103" s="19" t="str">
        <f t="shared" si="188"/>
        <v/>
      </c>
      <c r="DL103" s="47" t="s">
        <v>0</v>
      </c>
      <c r="DM103" s="19" t="str">
        <f t="shared" si="189"/>
        <v/>
      </c>
      <c r="DN103" s="47" t="s">
        <v>0</v>
      </c>
      <c r="DO103" s="52" t="str">
        <f t="shared" si="129"/>
        <v>Ante – Balić – OK Kapela – M21B</v>
      </c>
      <c r="DP103" s="53">
        <f t="shared" si="130"/>
        <v>207</v>
      </c>
      <c r="DQ103" s="47" t="s">
        <v>0</v>
      </c>
      <c r="DR103" s="52" t="str">
        <f t="shared" si="131"/>
        <v>Ante – Balić – OK Kapela</v>
      </c>
      <c r="DS103" s="53">
        <f t="shared" si="132"/>
        <v>207</v>
      </c>
      <c r="DT103" s="47" t="s">
        <v>0</v>
      </c>
      <c r="DU103" s="52" t="str">
        <f t="shared" si="133"/>
        <v>Ante – Balić</v>
      </c>
      <c r="DV103" s="53">
        <f t="shared" si="134"/>
        <v>207</v>
      </c>
      <c r="DW103" s="47" t="s">
        <v>0</v>
      </c>
      <c r="DX103" s="58">
        <f t="shared" si="177"/>
        <v>207</v>
      </c>
      <c r="DY103" s="53" cm="1">
        <f t="array" ref="DY103">IF(DX103&lt;&gt;"",INDEX(regNatjecatelj_id,DX103,0),IF(BD103&lt;&gt;"",BD103,""))</f>
        <v>1941</v>
      </c>
      <c r="DZ103" s="47" t="s">
        <v>0</v>
      </c>
      <c r="EA103" s="58" t="str">
        <f t="shared" si="135"/>
        <v>imepre</v>
      </c>
      <c r="EB103" s="73" t="str">
        <f t="shared" si="136"/>
        <v>klu</v>
      </c>
      <c r="EC103" s="73" t="str">
        <f t="shared" si="137"/>
        <v>kat</v>
      </c>
      <c r="ED103" s="73" t="str">
        <f t="shared" si="138"/>
        <v/>
      </c>
      <c r="EE103" s="66" t="str">
        <f t="shared" si="139"/>
        <v>imepre-klu-kat</v>
      </c>
      <c r="EF103" s="47" t="s">
        <v>0</v>
      </c>
      <c r="EG103" s="58">
        <f>IF(AL103="","",MAX(EG$12:EG102)+1)</f>
        <v>272</v>
      </c>
      <c r="EH103" s="73">
        <f t="shared" si="140"/>
        <v>28</v>
      </c>
      <c r="EI103" s="73">
        <f t="shared" si="178"/>
        <v>1941</v>
      </c>
      <c r="EJ103" s="73" t="str">
        <f t="shared" si="141"/>
        <v/>
      </c>
      <c r="EK103" s="73">
        <f t="shared" si="142"/>
        <v>4</v>
      </c>
      <c r="EL103" s="73">
        <f t="shared" si="179"/>
        <v>1</v>
      </c>
      <c r="EM103" s="73">
        <f t="shared" si="180"/>
        <v>1</v>
      </c>
      <c r="EN103" s="73" t="str">
        <f t="shared" si="143"/>
        <v>2</v>
      </c>
      <c r="EO103" s="73" t="str">
        <f t="shared" si="144"/>
        <v/>
      </c>
      <c r="EP103" s="73" t="str">
        <f t="shared" si="145"/>
        <v/>
      </c>
      <c r="EQ103" s="53" t="str">
        <f t="shared" si="146"/>
        <v/>
      </c>
      <c r="ER103" s="47" t="s">
        <v>0</v>
      </c>
      <c r="ES103" s="19" t="str">
        <f t="shared" si="181"/>
        <v>INSERT INTO rezultat(id,stazakategorija_id,imeprezime_id,vrijeme_sec,status_id,registracija,uparivanje_id,originalstatus_id,imeprezimealias_id,klubalias_id,kategorijaalias_id) VALUES (272,28,1941,Null,4,1,1,2,Null,Null,Null);</v>
      </c>
      <c r="ET103" s="47" t="s">
        <v>0</v>
      </c>
      <c r="EU103" s="19" t="str">
        <f t="shared" si="182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3" s="47" t="s">
        <v>0</v>
      </c>
      <c r="EW103" s="180" t="str">
        <f t="shared" si="147"/>
        <v xml:space="preserve">
INSERT INTO rezultat(id,stazakategorija_id,imeprezime_id,vrijeme_sec,status_id,registracija,uparivanje_id,originalstatus_id,imeprezimealias_id,klubalias_id,kategorijaalias_id) VALUES (272,28,1941,Null,4,1,1,2,Null,Null,Null);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3" s="47" t="s">
        <v>0</v>
      </c>
    </row>
    <row r="104" spans="1:154" x14ac:dyDescent="0.25">
      <c r="A104" t="s">
        <v>0</v>
      </c>
      <c r="B104" s="52" t="str">
        <f>IF(csv!F94="","",csv!T94)</f>
        <v>M21B</v>
      </c>
      <c r="C104" s="31" t="s">
        <v>0</v>
      </c>
      <c r="D104" s="31" t="str">
        <f>IF(csv!F94="","",csv!F94)</f>
        <v>Valter</v>
      </c>
      <c r="E104" s="31" t="str">
        <f>IF(csv!E94="","",csv!E94)</f>
        <v>Sučić</v>
      </c>
      <c r="F104" s="31" t="s">
        <v>0</v>
      </c>
      <c r="G104" s="73" t="str">
        <f>IF(csv!M94="","",csv!M94)</f>
        <v/>
      </c>
      <c r="H104" s="73" t="str">
        <f>IF(csv!N94="","",csv!N94)</f>
        <v>4</v>
      </c>
      <c r="I104" s="31" t="s">
        <v>0</v>
      </c>
      <c r="J104" s="31" t="str">
        <f>IF(csv!P94="","",csv!P94)</f>
        <v>Vihor</v>
      </c>
      <c r="K104" s="31" t="str">
        <f>IF(csv!Q94="","",csv!Q94)</f>
        <v>OK Vihor</v>
      </c>
      <c r="L104" s="31" t="s">
        <v>0</v>
      </c>
      <c r="M104" s="66" t="str">
        <f>IF(csv!R94="","",csv!R94)</f>
        <v>CRO</v>
      </c>
      <c r="N104" s="47" t="s">
        <v>0</v>
      </c>
      <c r="O104" s="246" t="str">
        <f t="shared" si="148"/>
        <v>ok</v>
      </c>
      <c r="P104" s="47"/>
      <c r="Q104" s="52" t="str">
        <f t="shared" si="149"/>
        <v>M21B</v>
      </c>
      <c r="R104" s="73">
        <f>IF(Q104="","",IF(COUNTIF(Q$12:Q103,Q104)=0,R103+1,R103))</f>
        <v>6</v>
      </c>
      <c r="S104" s="73">
        <f t="shared" si="150"/>
        <v>108</v>
      </c>
      <c r="T104" s="73">
        <f t="shared" si="113"/>
        <v>19</v>
      </c>
      <c r="U104" s="66" t="str">
        <f t="shared" si="114"/>
        <v>M21B – M16</v>
      </c>
      <c r="V104" s="47" t="s">
        <v>0</v>
      </c>
      <c r="W104" s="222" t="str">
        <f t="shared" si="115"/>
        <v>M21B</v>
      </c>
      <c r="X104" s="223">
        <f t="shared" si="116"/>
        <v>28</v>
      </c>
      <c r="Y104" s="47" t="s">
        <v>0</v>
      </c>
      <c r="Z104" s="52" t="str">
        <f t="shared" si="151"/>
        <v>CRO</v>
      </c>
      <c r="AA104" s="73">
        <f t="shared" si="117"/>
        <v>1</v>
      </c>
      <c r="AB104" s="31" t="str">
        <f t="shared" si="152"/>
        <v/>
      </c>
      <c r="AC104" s="66" t="str">
        <f>IF(AB104="","",MAX(AC$12:AC103)+1)</f>
        <v/>
      </c>
      <c r="AD104" s="47" t="s">
        <v>0</v>
      </c>
      <c r="AE104" s="125"/>
      <c r="AF104" s="47" t="s">
        <v>0</v>
      </c>
      <c r="AG104" s="19" t="str">
        <f t="shared" si="153"/>
        <v/>
      </c>
      <c r="AH104" s="47" t="s">
        <v>0</v>
      </c>
      <c r="AI104" s="143" t="str">
        <f t="shared" si="154"/>
        <v>CRO</v>
      </c>
      <c r="AJ104" s="47"/>
      <c r="AK104" s="52" t="str">
        <f t="shared" si="155"/>
        <v>Valter</v>
      </c>
      <c r="AL104" s="31" t="str">
        <f t="shared" si="156"/>
        <v>Sučić</v>
      </c>
      <c r="AM104" s="73">
        <f t="shared" si="157"/>
        <v>1366</v>
      </c>
      <c r="AN104" s="73" t="str">
        <f t="shared" si="158"/>
        <v/>
      </c>
      <c r="AO104" s="31" t="str">
        <f t="shared" si="118"/>
        <v>Valter</v>
      </c>
      <c r="AP104" s="66" t="str">
        <f t="shared" si="119"/>
        <v>Sučić</v>
      </c>
      <c r="AQ104" s="47" t="s">
        <v>0</v>
      </c>
      <c r="AR104" s="82" t="str">
        <f t="shared" si="159"/>
        <v/>
      </c>
      <c r="AS104" s="47" t="s">
        <v>0</v>
      </c>
      <c r="AT104" s="19" t="str">
        <f t="shared" si="160"/>
        <v/>
      </c>
      <c r="AU104" s="47" t="s">
        <v>0</v>
      </c>
      <c r="AV104" s="103"/>
      <c r="AW104" s="105"/>
      <c r="AX104" s="47" t="s">
        <v>0</v>
      </c>
      <c r="AY104" s="259" t="str">
        <f t="shared" si="183"/>
        <v/>
      </c>
      <c r="AZ104" s="47" t="s">
        <v>0</v>
      </c>
      <c r="BA104" s="52" t="str">
        <f t="shared" si="120"/>
        <v/>
      </c>
      <c r="BB104" s="73" t="str">
        <f>IF(AV104&amp;AW104="","",MAX(BB$12:BB103)+1)</f>
        <v/>
      </c>
      <c r="BC104" s="272" t="str">
        <f t="shared" si="121"/>
        <v/>
      </c>
      <c r="BD104" s="53" t="str">
        <f>IF(AND(AM104="NEMA",AN104="NEMA",OR(AV104&amp;AW104="",BC104="NEMA")),MAX(BD$12:BD103)+1,"")</f>
        <v/>
      </c>
      <c r="BE104" s="47" t="s">
        <v>0</v>
      </c>
      <c r="BF104" s="52" t="str">
        <f t="shared" si="161"/>
        <v>Valter</v>
      </c>
      <c r="BG104" s="66" t="str">
        <f t="shared" si="162"/>
        <v>Sučić</v>
      </c>
      <c r="BH104" s="47" t="s">
        <v>0</v>
      </c>
      <c r="BI104" s="52" t="str">
        <f t="shared" si="122"/>
        <v>Vihor</v>
      </c>
      <c r="BJ104" s="31" t="str">
        <f t="shared" si="123"/>
        <v>OK Vihor</v>
      </c>
      <c r="BK104" s="73" t="str">
        <f t="shared" si="124"/>
        <v/>
      </c>
      <c r="BL104" s="31" t="str" cm="1">
        <f t="array" ref="BL104">IF(BK104="",""&amp;BJ104,IF(BK104="NEMA",BJ104,INDEX(regKlub_naziv,MATCH(INDEX(regKlub_alias_klubId,BK104),regKlub_id,0))))</f>
        <v>OK Vihor</v>
      </c>
      <c r="BM104" s="31" t="str" cm="1">
        <f t="array" ref="BM104">IFERROR(""&amp;INDEX(regNatjecatelj_klub,DV104),"")</f>
        <v>OK Vihor</v>
      </c>
      <c r="BN104" s="73" t="str">
        <f t="shared" si="163"/>
        <v/>
      </c>
      <c r="BO104" s="66" t="str">
        <f t="shared" si="164"/>
        <v>OK Vihor</v>
      </c>
      <c r="BP104" s="47" t="s">
        <v>0</v>
      </c>
      <c r="BQ104" s="52" t="str">
        <f>IF(X104&lt;&gt;"NEMA","",IF(IFERROR(MATCH(W104,W$12:W103,0),0)&lt;&gt;0,"",W104))</f>
        <v/>
      </c>
      <c r="BR104" s="73" t="str">
        <f t="shared" si="165"/>
        <v/>
      </c>
      <c r="BS104" s="31" t="str">
        <f>IF(OR(BR104="",BR104&lt;&gt;"NEMA"),"",MAX(BS$12:BS103)+1)</f>
        <v/>
      </c>
      <c r="BT104" s="66" t="str">
        <f t="shared" si="166"/>
        <v/>
      </c>
      <c r="BU104" s="47" t="s">
        <v>0</v>
      </c>
      <c r="BV104" s="19" t="str">
        <f t="shared" si="167"/>
        <v/>
      </c>
      <c r="BW104" s="47" t="s">
        <v>0</v>
      </c>
      <c r="BX104" s="82" t="str">
        <f>IF(BK104&lt;&gt;"NEMA","",IF(IFERROR(MATCH(BJ104,BJ$12:BJ103,0),0)&lt;&gt;0,"",BJ104))</f>
        <v/>
      </c>
      <c r="BY104" s="47" t="s">
        <v>0</v>
      </c>
      <c r="BZ104" s="125"/>
      <c r="CA104" s="47" t="s">
        <v>0</v>
      </c>
      <c r="CB104" s="58" t="str">
        <f t="shared" si="168"/>
        <v/>
      </c>
      <c r="CC104" s="31" t="str">
        <f t="shared" si="169"/>
        <v/>
      </c>
      <c r="CD104" s="31" t="str">
        <f>IF(CC104="","",MAX(CD$12:CD103)+1)</f>
        <v/>
      </c>
      <c r="CE104" s="31" t="str">
        <f t="shared" si="125"/>
        <v/>
      </c>
      <c r="CF104" s="31" t="str">
        <f t="shared" si="170"/>
        <v/>
      </c>
      <c r="CG104" s="31" t="str">
        <f>IF(BZ104="","",MAX(CG$12:CG103)+1)</f>
        <v/>
      </c>
      <c r="CH104" s="31" t="str">
        <f t="shared" si="171"/>
        <v/>
      </c>
      <c r="CI104" s="66" t="str">
        <f t="shared" si="172"/>
        <v/>
      </c>
      <c r="CJ104" s="47" t="s">
        <v>0</v>
      </c>
      <c r="CK104" s="73" t="str">
        <f t="shared" si="126"/>
        <v/>
      </c>
      <c r="CL104" s="47"/>
      <c r="CM104" s="19" t="str">
        <f t="shared" si="173"/>
        <v/>
      </c>
      <c r="CN104" s="47" t="s">
        <v>0</v>
      </c>
      <c r="CO104" s="143" t="str">
        <f t="shared" si="174"/>
        <v>OK Vihor</v>
      </c>
      <c r="CP104" s="47" t="s">
        <v>0</v>
      </c>
      <c r="CQ104" s="58" t="str">
        <f t="shared" si="190"/>
        <v/>
      </c>
      <c r="CR104" s="73" t="str">
        <f t="shared" si="191"/>
        <v>4</v>
      </c>
      <c r="CS104" s="229" t="str">
        <f t="shared" si="127"/>
        <v/>
      </c>
      <c r="CT104" s="230" t="str">
        <f t="shared" si="112"/>
        <v/>
      </c>
      <c r="CU104" s="163">
        <f t="shared" si="128"/>
        <v>5</v>
      </c>
      <c r="CV104" s="47" t="s">
        <v>0</v>
      </c>
      <c r="CW104" s="222" t="str">
        <f t="shared" si="175"/>
        <v xml:space="preserve">
Valter Sučić – Molim u provjeriti je li natjecatelj zaista diskvalificiran. Ako je koje je obrazloženje, ako nije molim u OEventu ispraviti rezultat</v>
      </c>
      <c r="CX104" s="223" t="e">
        <f t="shared" si="176"/>
        <v>#N/A</v>
      </c>
      <c r="CY104" s="47" t="s">
        <v>0</v>
      </c>
      <c r="CZ104" s="47"/>
      <c r="DA104" s="47"/>
      <c r="DB104" s="47"/>
      <c r="DC104" s="47" t="s">
        <v>0</v>
      </c>
      <c r="DD104" s="53" t="str">
        <f t="shared" si="184"/>
        <v/>
      </c>
      <c r="DE104" t="s">
        <v>0</v>
      </c>
      <c r="DF104" s="128" t="str">
        <f t="shared" si="185"/>
        <v>M</v>
      </c>
      <c r="DG104" t="s">
        <v>0</v>
      </c>
      <c r="DH104" s="52" t="str">
        <f t="shared" si="186"/>
        <v/>
      </c>
      <c r="DI104" s="66" t="str">
        <f t="shared" si="187"/>
        <v/>
      </c>
      <c r="DJ104" t="s">
        <v>0</v>
      </c>
      <c r="DK104" s="19" t="str">
        <f t="shared" si="188"/>
        <v/>
      </c>
      <c r="DL104" s="47" t="s">
        <v>0</v>
      </c>
      <c r="DM104" s="19" t="str">
        <f t="shared" si="189"/>
        <v/>
      </c>
      <c r="DN104" s="47" t="s">
        <v>0</v>
      </c>
      <c r="DO104" s="52" t="str">
        <f t="shared" si="129"/>
        <v>Valter – Sučić – OK Vihor – M21B</v>
      </c>
      <c r="DP104" s="53">
        <f t="shared" si="130"/>
        <v>917</v>
      </c>
      <c r="DQ104" s="47" t="s">
        <v>0</v>
      </c>
      <c r="DR104" s="52" t="str">
        <f t="shared" si="131"/>
        <v>Valter – Sučić – OK Vihor</v>
      </c>
      <c r="DS104" s="53">
        <f t="shared" si="132"/>
        <v>917</v>
      </c>
      <c r="DT104" s="47" t="s">
        <v>0</v>
      </c>
      <c r="DU104" s="52" t="str">
        <f t="shared" si="133"/>
        <v>Valter – Sučić</v>
      </c>
      <c r="DV104" s="53">
        <f t="shared" si="134"/>
        <v>917</v>
      </c>
      <c r="DW104" s="47" t="s">
        <v>0</v>
      </c>
      <c r="DX104" s="58">
        <f t="shared" si="177"/>
        <v>917</v>
      </c>
      <c r="DY104" s="53" cm="1">
        <f t="array" ref="DY104">IF(DX104&lt;&gt;"",INDEX(regNatjecatelj_id,DX104,0),IF(BD104&lt;&gt;"",BD104,""))</f>
        <v>1366</v>
      </c>
      <c r="DZ104" s="47" t="s">
        <v>0</v>
      </c>
      <c r="EA104" s="58" t="str">
        <f t="shared" si="135"/>
        <v>imepre</v>
      </c>
      <c r="EB104" s="73" t="str">
        <f t="shared" si="136"/>
        <v>klu</v>
      </c>
      <c r="EC104" s="73" t="str">
        <f t="shared" si="137"/>
        <v>kat</v>
      </c>
      <c r="ED104" s="73" t="str">
        <f t="shared" si="138"/>
        <v/>
      </c>
      <c r="EE104" s="66" t="str">
        <f t="shared" si="139"/>
        <v>imepre-klu-kat</v>
      </c>
      <c r="EF104" s="47" t="s">
        <v>0</v>
      </c>
      <c r="EG104" s="58">
        <f>IF(AL104="","",MAX(EG$12:EG103)+1)</f>
        <v>273</v>
      </c>
      <c r="EH104" s="73">
        <f t="shared" si="140"/>
        <v>28</v>
      </c>
      <c r="EI104" s="73">
        <f t="shared" si="178"/>
        <v>1366</v>
      </c>
      <c r="EJ104" s="73" t="str">
        <f t="shared" si="141"/>
        <v/>
      </c>
      <c r="EK104" s="73">
        <f t="shared" si="142"/>
        <v>5</v>
      </c>
      <c r="EL104" s="73">
        <f t="shared" si="179"/>
        <v>1</v>
      </c>
      <c r="EM104" s="73">
        <f t="shared" si="180"/>
        <v>1</v>
      </c>
      <c r="EN104" s="73" t="str">
        <f t="shared" si="143"/>
        <v>4</v>
      </c>
      <c r="EO104" s="73" t="str">
        <f t="shared" si="144"/>
        <v/>
      </c>
      <c r="EP104" s="73" t="str">
        <f t="shared" si="145"/>
        <v/>
      </c>
      <c r="EQ104" s="53" t="str">
        <f t="shared" si="146"/>
        <v/>
      </c>
      <c r="ER104" s="47" t="s">
        <v>0</v>
      </c>
      <c r="ES104" s="19" t="str">
        <f t="shared" si="181"/>
        <v>INSERT INTO rezultat(id,stazakategorija_id,imeprezime_id,vrijeme_sec,status_id,registracija,uparivanje_id,originalstatus_id,imeprezimealias_id,klubalias_id,kategorijaalias_id) VALUES (273,28,1366,Null,5,1,1,4,Null,Null,Null);</v>
      </c>
      <c r="ET104" s="47" t="s">
        <v>0</v>
      </c>
      <c r="EU104" s="19" t="str">
        <f t="shared" si="182"/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4" s="47" t="s">
        <v>0</v>
      </c>
      <c r="EW104" s="180" t="str">
        <f t="shared" si="147"/>
        <v xml:space="preserve">
INSERT INTO rezultat(id,stazakategorija_id,imeprezime_id,vrijeme_sec,status_id,registracija,uparivanje_id,originalstatus_id,imeprezimealias_id,klubalias_id,kategorijaalias_id) VALUES (273,28,1366,Null,5,1,1,4,Null,Null,Null);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4" s="47" t="s">
        <v>0</v>
      </c>
    </row>
    <row r="105" spans="1:154" x14ac:dyDescent="0.25">
      <c r="A105" t="s">
        <v>0</v>
      </c>
      <c r="B105" s="52" t="str">
        <f>IF(csv!F95="","",csv!T95)</f>
        <v>M21B</v>
      </c>
      <c r="C105" s="31" t="s">
        <v>0</v>
      </c>
      <c r="D105" s="31" t="str">
        <f>IF(csv!F95="","",csv!F95)</f>
        <v>Andrija</v>
      </c>
      <c r="E105" s="31" t="str">
        <f>IF(csv!E95="","",csv!E95)</f>
        <v>Golubić</v>
      </c>
      <c r="F105" s="31" t="s">
        <v>0</v>
      </c>
      <c r="G105" s="73" t="str">
        <f>IF(csv!M95="","",csv!M95)</f>
        <v/>
      </c>
      <c r="H105" s="73" t="str">
        <f>IF(csv!N95="","",csv!N95)</f>
        <v>4</v>
      </c>
      <c r="I105" s="31" t="s">
        <v>0</v>
      </c>
      <c r="J105" s="31" t="str">
        <f>IF(csv!P95="","",csv!P95)</f>
        <v>OKM</v>
      </c>
      <c r="K105" s="31" t="str">
        <f>IF(csv!Q95="","",csv!Q95)</f>
        <v>OK Medjimurje</v>
      </c>
      <c r="L105" s="31" t="s">
        <v>0</v>
      </c>
      <c r="M105" s="66" t="str">
        <f>IF(csv!R95="","",csv!R95)</f>
        <v>CRO</v>
      </c>
      <c r="N105" s="47" t="s">
        <v>0</v>
      </c>
      <c r="O105" s="246" t="str">
        <f t="shared" si="148"/>
        <v>ok</v>
      </c>
      <c r="P105" s="47"/>
      <c r="Q105" s="52" t="str">
        <f t="shared" si="149"/>
        <v>M21B</v>
      </c>
      <c r="R105" s="73">
        <f>IF(Q105="","",IF(COUNTIF(Q$12:Q104,Q105)=0,R104+1,R104))</f>
        <v>6</v>
      </c>
      <c r="S105" s="73">
        <f t="shared" si="150"/>
        <v>108</v>
      </c>
      <c r="T105" s="73">
        <f t="shared" si="113"/>
        <v>19</v>
      </c>
      <c r="U105" s="66" t="str">
        <f t="shared" si="114"/>
        <v>M21B – M16</v>
      </c>
      <c r="V105" s="47" t="s">
        <v>0</v>
      </c>
      <c r="W105" s="222" t="str">
        <f t="shared" si="115"/>
        <v>M21B</v>
      </c>
      <c r="X105" s="223">
        <f t="shared" si="116"/>
        <v>28</v>
      </c>
      <c r="Y105" s="47" t="s">
        <v>0</v>
      </c>
      <c r="Z105" s="52" t="str">
        <f t="shared" si="151"/>
        <v>CRO</v>
      </c>
      <c r="AA105" s="73">
        <f t="shared" si="117"/>
        <v>1</v>
      </c>
      <c r="AB105" s="31" t="str">
        <f t="shared" si="152"/>
        <v/>
      </c>
      <c r="AC105" s="66" t="str">
        <f>IF(AB105="","",MAX(AC$12:AC104)+1)</f>
        <v/>
      </c>
      <c r="AD105" s="47" t="s">
        <v>0</v>
      </c>
      <c r="AE105" s="125"/>
      <c r="AF105" s="47" t="s">
        <v>0</v>
      </c>
      <c r="AG105" s="19" t="str">
        <f t="shared" si="153"/>
        <v/>
      </c>
      <c r="AH105" s="47" t="s">
        <v>0</v>
      </c>
      <c r="AI105" s="143" t="str">
        <f t="shared" si="154"/>
        <v>CRO</v>
      </c>
      <c r="AJ105" s="47"/>
      <c r="AK105" s="52" t="str">
        <f t="shared" si="155"/>
        <v>Andrija</v>
      </c>
      <c r="AL105" s="31" t="str">
        <f t="shared" si="156"/>
        <v>Golubić</v>
      </c>
      <c r="AM105" s="73" t="str">
        <f t="shared" si="157"/>
        <v>NEMA</v>
      </c>
      <c r="AN105" s="73">
        <f t="shared" si="158"/>
        <v>1111</v>
      </c>
      <c r="AO105" s="31" t="str">
        <f t="shared" si="118"/>
        <v>Ivan</v>
      </c>
      <c r="AP105" s="66" t="str">
        <f t="shared" si="119"/>
        <v>Šeperić-Grdiša</v>
      </c>
      <c r="AQ105" s="47" t="s">
        <v>0</v>
      </c>
      <c r="AR105" s="82" t="str">
        <f t="shared" si="159"/>
        <v/>
      </c>
      <c r="AS105" s="47" t="s">
        <v>0</v>
      </c>
      <c r="AT105" s="19" t="str">
        <f t="shared" si="160"/>
        <v/>
      </c>
      <c r="AU105" s="47" t="s">
        <v>0</v>
      </c>
      <c r="AV105" s="103"/>
      <c r="AW105" s="105"/>
      <c r="AX105" s="47" t="s">
        <v>0</v>
      </c>
      <c r="AY105" s="259" t="str">
        <f t="shared" si="183"/>
        <v/>
      </c>
      <c r="AZ105" s="47" t="s">
        <v>0</v>
      </c>
      <c r="BA105" s="52" t="str">
        <f t="shared" si="120"/>
        <v/>
      </c>
      <c r="BB105" s="73" t="str">
        <f>IF(AV105&amp;AW105="","",MAX(BB$12:BB104)+1)</f>
        <v/>
      </c>
      <c r="BC105" s="272" t="str">
        <f t="shared" si="121"/>
        <v/>
      </c>
      <c r="BD105" s="53" t="str">
        <f>IF(AND(AM105="NEMA",AN105="NEMA",OR(AV105&amp;AW105="",BC105="NEMA")),MAX(BD$12:BD104)+1,"")</f>
        <v/>
      </c>
      <c r="BE105" s="47" t="s">
        <v>0</v>
      </c>
      <c r="BF105" s="52" t="str">
        <f t="shared" si="161"/>
        <v>Ivan</v>
      </c>
      <c r="BG105" s="66" t="str">
        <f t="shared" si="162"/>
        <v>Šeperić-Grdiša</v>
      </c>
      <c r="BH105" s="47" t="s">
        <v>0</v>
      </c>
      <c r="BI105" s="52" t="str">
        <f t="shared" si="122"/>
        <v>OKM</v>
      </c>
      <c r="BJ105" s="31" t="str">
        <f t="shared" si="123"/>
        <v>OK Medjimurje</v>
      </c>
      <c r="BK105" s="73" t="str">
        <f t="shared" si="124"/>
        <v>NEMA</v>
      </c>
      <c r="BL105" s="31" t="str" cm="1">
        <f t="array" ref="BL105">IF(BK105="",""&amp;BJ105,IF(BK105="NEMA",BJ105,INDEX(regKlub_naziv,MATCH(INDEX(regKlub_alias_klubId,BK105),regKlub_id,0))))</f>
        <v>OK Medjimurje</v>
      </c>
      <c r="BM105" s="31" t="str" cm="1">
        <f t="array" ref="BM105">IFERROR(""&amp;INDEX(regNatjecatelj_klub,DV105),"")</f>
        <v>OK Jelen</v>
      </c>
      <c r="BN105" s="73">
        <f t="shared" si="163"/>
        <v>1</v>
      </c>
      <c r="BO105" s="66" t="str">
        <f t="shared" si="164"/>
        <v>OK Jelen</v>
      </c>
      <c r="BP105" s="47" t="s">
        <v>0</v>
      </c>
      <c r="BQ105" s="52" t="str">
        <f>IF(X105&lt;&gt;"NEMA","",IF(IFERROR(MATCH(W105,W$12:W104,0),0)&lt;&gt;0,"",W105))</f>
        <v/>
      </c>
      <c r="BR105" s="73" t="str">
        <f t="shared" si="165"/>
        <v/>
      </c>
      <c r="BS105" s="31" t="str">
        <f>IF(OR(BR105="",BR105&lt;&gt;"NEMA"),"",MAX(BS$12:BS104)+1)</f>
        <v/>
      </c>
      <c r="BT105" s="66" t="str">
        <f t="shared" si="166"/>
        <v/>
      </c>
      <c r="BU105" s="47" t="s">
        <v>0</v>
      </c>
      <c r="BV105" s="19" t="str">
        <f t="shared" si="167"/>
        <v/>
      </c>
      <c r="BW105" s="47" t="s">
        <v>0</v>
      </c>
      <c r="BX105" s="82" t="str">
        <f>IF(BK105&lt;&gt;"NEMA","",IF(IFERROR(MATCH(BJ105,BJ$12:BJ104,0),0)&lt;&gt;0,"",BJ105))</f>
        <v>OK Medjimurje</v>
      </c>
      <c r="BY105" s="47" t="s">
        <v>0</v>
      </c>
      <c r="BZ105" s="125"/>
      <c r="CA105" s="47" t="s">
        <v>0</v>
      </c>
      <c r="CB105" s="58" t="str">
        <f t="shared" si="168"/>
        <v/>
      </c>
      <c r="CC105" s="31" t="str">
        <f t="shared" si="169"/>
        <v>OK Medjimurje</v>
      </c>
      <c r="CD105" s="31">
        <f>IF(CC105="","",MAX(CD$12:CD104)+1)</f>
        <v>19</v>
      </c>
      <c r="CE105" s="31">
        <f t="shared" si="125"/>
        <v>1</v>
      </c>
      <c r="CF105" s="31" t="str">
        <f t="shared" si="170"/>
        <v>INSERT INTO klub(id,naziv,drzava_id,aktivan) VALUES (19,'OK Medjimurje',1,1);</v>
      </c>
      <c r="CG105" s="31" t="str">
        <f>IF(BZ105="","",MAX(CG$12:CG104)+1)</f>
        <v/>
      </c>
      <c r="CH105" s="31" t="str">
        <f t="shared" si="171"/>
        <v/>
      </c>
      <c r="CI105" s="66" t="str">
        <f t="shared" si="172"/>
        <v/>
      </c>
      <c r="CJ105" s="47" t="s">
        <v>0</v>
      </c>
      <c r="CK105" s="73" t="str">
        <f t="shared" si="126"/>
        <v/>
      </c>
      <c r="CL105" s="47"/>
      <c r="CM105" s="19" t="str">
        <f t="shared" si="173"/>
        <v>INSERT INTO klub(id,naziv,drzava_id,aktivan) VALUES (19,'OK Medjimurje',1,1);</v>
      </c>
      <c r="CN105" s="47" t="s">
        <v>0</v>
      </c>
      <c r="CO105" s="143" t="str">
        <f t="shared" si="174"/>
        <v>OK Jelen</v>
      </c>
      <c r="CP105" s="47" t="s">
        <v>0</v>
      </c>
      <c r="CQ105" s="58" t="str">
        <f t="shared" si="190"/>
        <v/>
      </c>
      <c r="CR105" s="73" t="str">
        <f t="shared" si="191"/>
        <v>4</v>
      </c>
      <c r="CS105" s="229" t="str">
        <f t="shared" si="127"/>
        <v/>
      </c>
      <c r="CT105" s="230" t="str">
        <f t="shared" si="112"/>
        <v/>
      </c>
      <c r="CU105" s="163">
        <f t="shared" si="128"/>
        <v>5</v>
      </c>
      <c r="CV105" s="47" t="s">
        <v>0</v>
      </c>
      <c r="CW105" s="222" t="str">
        <f t="shared" si="175"/>
        <v xml:space="preserve">
Andrija Golubić – Molim u provjeriti je li natjecatelj zaista diskvalificiran. Ako je koje je obrazloženje, ako nije molim u OEventu ispraviti rezultat</v>
      </c>
      <c r="CX105" s="223" t="e">
        <f t="shared" si="176"/>
        <v>#N/A</v>
      </c>
      <c r="CY105" s="47" t="s">
        <v>0</v>
      </c>
      <c r="CZ105" s="47"/>
      <c r="DA105" s="47"/>
      <c r="DB105" s="47"/>
      <c r="DC105" s="47" t="s">
        <v>0</v>
      </c>
      <c r="DD105" s="53" t="str">
        <f t="shared" si="184"/>
        <v/>
      </c>
      <c r="DE105" t="s">
        <v>0</v>
      </c>
      <c r="DF105" s="128" t="str">
        <f t="shared" si="185"/>
        <v>M</v>
      </c>
      <c r="DG105" t="s">
        <v>0</v>
      </c>
      <c r="DH105" s="52" t="str">
        <f t="shared" si="186"/>
        <v/>
      </c>
      <c r="DI105" s="66" t="str">
        <f t="shared" si="187"/>
        <v/>
      </c>
      <c r="DJ105" t="s">
        <v>0</v>
      </c>
      <c r="DK105" s="19" t="str">
        <f t="shared" si="188"/>
        <v/>
      </c>
      <c r="DL105" s="47" t="s">
        <v>0</v>
      </c>
      <c r="DM105" s="19" t="str">
        <f t="shared" si="189"/>
        <v/>
      </c>
      <c r="DN105" s="47" t="s">
        <v>0</v>
      </c>
      <c r="DO105" s="52" t="str">
        <f t="shared" si="129"/>
        <v>Ivan – Šeperić-Grdiša – OK Jelen – M21B</v>
      </c>
      <c r="DP105" s="53" t="str">
        <f t="shared" si="130"/>
        <v>NEMA</v>
      </c>
      <c r="DQ105" s="47" t="s">
        <v>0</v>
      </c>
      <c r="DR105" s="52" t="str">
        <f t="shared" si="131"/>
        <v>Ivan – Šeperić-Grdiša – OK Jelen</v>
      </c>
      <c r="DS105" s="53">
        <f t="shared" si="132"/>
        <v>189</v>
      </c>
      <c r="DT105" s="47" t="s">
        <v>0</v>
      </c>
      <c r="DU105" s="52" t="str">
        <f t="shared" si="133"/>
        <v>Ivan – Šeperić-Grdiša</v>
      </c>
      <c r="DV105" s="53">
        <f t="shared" si="134"/>
        <v>189</v>
      </c>
      <c r="DW105" s="47" t="s">
        <v>0</v>
      </c>
      <c r="DX105" s="58">
        <f t="shared" si="177"/>
        <v>189</v>
      </c>
      <c r="DY105" s="53" cm="1">
        <f t="array" ref="DY105">IF(DX105&lt;&gt;"",INDEX(regNatjecatelj_id,DX105,0),IF(BD105&lt;&gt;"",BD105,""))</f>
        <v>1111</v>
      </c>
      <c r="DZ105" s="47" t="s">
        <v>0</v>
      </c>
      <c r="EA105" s="58" t="str">
        <f t="shared" si="135"/>
        <v>imepre(ali)</v>
      </c>
      <c r="EB105" s="73" t="str">
        <f t="shared" si="136"/>
        <v>(raz-klu)</v>
      </c>
      <c r="EC105" s="73" t="str">
        <f t="shared" si="137"/>
        <v>kat</v>
      </c>
      <c r="ED105" s="73" t="str">
        <f t="shared" si="138"/>
        <v/>
      </c>
      <c r="EE105" s="66" t="str">
        <f t="shared" si="139"/>
        <v>imepre(ali)-(raz-klu)-kat</v>
      </c>
      <c r="EF105" s="47" t="s">
        <v>0</v>
      </c>
      <c r="EG105" s="58">
        <f>IF(AL105="","",MAX(EG$12:EG104)+1)</f>
        <v>274</v>
      </c>
      <c r="EH105" s="73">
        <f t="shared" si="140"/>
        <v>28</v>
      </c>
      <c r="EI105" s="73">
        <f t="shared" si="178"/>
        <v>1111</v>
      </c>
      <c r="EJ105" s="73" t="str">
        <f t="shared" si="141"/>
        <v/>
      </c>
      <c r="EK105" s="73">
        <f t="shared" si="142"/>
        <v>5</v>
      </c>
      <c r="EL105" s="73">
        <f t="shared" si="179"/>
        <v>0</v>
      </c>
      <c r="EM105" s="73">
        <f t="shared" si="180"/>
        <v>11</v>
      </c>
      <c r="EN105" s="73" t="str">
        <f t="shared" si="143"/>
        <v>4</v>
      </c>
      <c r="EO105" s="73">
        <f t="shared" si="144"/>
        <v>1111</v>
      </c>
      <c r="EP105" s="73" t="str">
        <f t="shared" si="145"/>
        <v/>
      </c>
      <c r="EQ105" s="53" t="str">
        <f t="shared" si="146"/>
        <v/>
      </c>
      <c r="ER105" s="47" t="s">
        <v>0</v>
      </c>
      <c r="ES105" s="19" t="str">
        <f t="shared" si="181"/>
        <v>INSERT INTO rezultat(id,stazakategorija_id,imeprezime_id,vrijeme_sec,status_id,registracija,uparivanje_id,originalstatus_id,imeprezimealias_id,klubalias_id,kategorijaalias_id) VALUES (274,28,1111,Null,5,0,11,4,1111,Null,Null);</v>
      </c>
      <c r="ET105" s="47" t="s">
        <v>0</v>
      </c>
      <c r="EU105" s="19" t="str">
        <f t="shared" si="182"/>
        <v/>
      </c>
      <c r="EV105" s="47" t="s">
        <v>0</v>
      </c>
      <c r="EW105" s="180" t="str">
        <f t="shared" si="147"/>
        <v xml:space="preserve">
INSERT INTO klub(id,naziv,drzava_id,aktivan) VALUES (19,'OK Medjimurje',1,1);
INSERT INTO rezultat(id,stazakategorija_id,imeprezime_id,vrijeme_sec,status_id,registracija,uparivanje_id,originalstatus_id,imeprezimealias_id,klubalias_id,kategorijaalias_id) VALUES (274,28,1111,Null,5,0,11,4,1111,Null,Null);</v>
      </c>
      <c r="EX105" s="47" t="s">
        <v>0</v>
      </c>
    </row>
    <row r="106" spans="1:154" x14ac:dyDescent="0.25">
      <c r="A106" t="s">
        <v>0</v>
      </c>
      <c r="B106" s="52" t="str">
        <f>IF(csv!F96="","",csv!T96)</f>
        <v>M21B</v>
      </c>
      <c r="C106" s="31" t="s">
        <v>0</v>
      </c>
      <c r="D106" s="31" t="str">
        <f>IF(csv!F96="","",csv!F96)</f>
        <v>Vacant</v>
      </c>
      <c r="E106" s="31" t="str">
        <f>IF(csv!E96="","",csv!E96)</f>
        <v/>
      </c>
      <c r="F106" s="31" t="s">
        <v>0</v>
      </c>
      <c r="G106" s="73" t="str">
        <f>IF(csv!M96="","",csv!M96)</f>
        <v/>
      </c>
      <c r="H106" s="73" t="str">
        <f>IF(csv!N96="","",csv!N96)</f>
        <v>0</v>
      </c>
      <c r="I106" s="31" t="s">
        <v>0</v>
      </c>
      <c r="J106" s="31" t="str">
        <f>IF(csv!P96="","",csv!P96)</f>
        <v/>
      </c>
      <c r="K106" s="31" t="str">
        <f>IF(csv!Q96="","",csv!Q96)</f>
        <v/>
      </c>
      <c r="L106" s="31" t="s">
        <v>0</v>
      </c>
      <c r="M106" s="66" t="str">
        <f>IF(csv!R96="","",csv!R96)</f>
        <v/>
      </c>
      <c r="N106" s="47" t="s">
        <v>0</v>
      </c>
      <c r="O106" s="246" t="str">
        <f t="shared" si="148"/>
        <v/>
      </c>
      <c r="P106" s="47"/>
      <c r="Q106" s="52" t="str">
        <f t="shared" si="149"/>
        <v>M21B</v>
      </c>
      <c r="R106" s="73">
        <f>IF(Q106="","",IF(COUNTIF(Q$12:Q105,Q106)=0,R105+1,R105))</f>
        <v>6</v>
      </c>
      <c r="S106" s="73">
        <f t="shared" si="150"/>
        <v>108</v>
      </c>
      <c r="T106" s="73">
        <f t="shared" si="113"/>
        <v>19</v>
      </c>
      <c r="U106" s="66" t="str">
        <f t="shared" si="114"/>
        <v>M21B – M16</v>
      </c>
      <c r="V106" s="47" t="s">
        <v>0</v>
      </c>
      <c r="W106" s="222" t="str">
        <f t="shared" si="115"/>
        <v/>
      </c>
      <c r="X106" s="223" t="str">
        <f t="shared" si="116"/>
        <v/>
      </c>
      <c r="Y106" s="47" t="s">
        <v>0</v>
      </c>
      <c r="Z106" s="52" t="str">
        <f t="shared" si="151"/>
        <v/>
      </c>
      <c r="AA106" s="73" t="str">
        <f t="shared" si="117"/>
        <v/>
      </c>
      <c r="AB106" s="31" t="str">
        <f t="shared" si="152"/>
        <v/>
      </c>
      <c r="AC106" s="66" t="str">
        <f>IF(AB106="","",MAX(AC$12:AC105)+1)</f>
        <v/>
      </c>
      <c r="AD106" s="47" t="s">
        <v>0</v>
      </c>
      <c r="AE106" s="125"/>
      <c r="AF106" s="47" t="s">
        <v>0</v>
      </c>
      <c r="AG106" s="19" t="str">
        <f t="shared" si="153"/>
        <v/>
      </c>
      <c r="AH106" s="47" t="s">
        <v>0</v>
      </c>
      <c r="AI106" s="143" t="str">
        <f t="shared" si="154"/>
        <v/>
      </c>
      <c r="AJ106" s="47"/>
      <c r="AK106" s="52" t="str">
        <f t="shared" si="155"/>
        <v/>
      </c>
      <c r="AL106" s="31" t="str">
        <f t="shared" si="156"/>
        <v/>
      </c>
      <c r="AM106" s="73" t="str">
        <f t="shared" si="157"/>
        <v/>
      </c>
      <c r="AN106" s="73" t="str">
        <f t="shared" si="158"/>
        <v/>
      </c>
      <c r="AO106" s="31" t="str">
        <f t="shared" si="118"/>
        <v/>
      </c>
      <c r="AP106" s="66" t="str">
        <f t="shared" si="119"/>
        <v/>
      </c>
      <c r="AQ106" s="47" t="s">
        <v>0</v>
      </c>
      <c r="AR106" s="82" t="str">
        <f t="shared" si="159"/>
        <v/>
      </c>
      <c r="AS106" s="47" t="s">
        <v>0</v>
      </c>
      <c r="AT106" s="19" t="str">
        <f t="shared" si="160"/>
        <v/>
      </c>
      <c r="AU106" s="47" t="s">
        <v>0</v>
      </c>
      <c r="AV106" s="103"/>
      <c r="AW106" s="105"/>
      <c r="AX106" s="47" t="s">
        <v>0</v>
      </c>
      <c r="AY106" s="259" t="str">
        <f t="shared" si="183"/>
        <v/>
      </c>
      <c r="AZ106" s="47" t="s">
        <v>0</v>
      </c>
      <c r="BA106" s="52" t="str">
        <f t="shared" si="120"/>
        <v/>
      </c>
      <c r="BB106" s="73" t="str">
        <f>IF(AV106&amp;AW106="","",MAX(BB$12:BB105)+1)</f>
        <v/>
      </c>
      <c r="BC106" s="272" t="str">
        <f t="shared" si="121"/>
        <v/>
      </c>
      <c r="BD106" s="53" t="str">
        <f>IF(AND(AM106="NEMA",AN106="NEMA",OR(AV106&amp;AW106="",BC106="NEMA")),MAX(BD$12:BD105)+1,"")</f>
        <v/>
      </c>
      <c r="BE106" s="47" t="s">
        <v>0</v>
      </c>
      <c r="BF106" s="52" t="str">
        <f t="shared" si="161"/>
        <v/>
      </c>
      <c r="BG106" s="66" t="str">
        <f t="shared" si="162"/>
        <v/>
      </c>
      <c r="BH106" s="47" t="s">
        <v>0</v>
      </c>
      <c r="BI106" s="52" t="str">
        <f t="shared" si="122"/>
        <v/>
      </c>
      <c r="BJ106" s="31" t="str">
        <f t="shared" si="123"/>
        <v/>
      </c>
      <c r="BK106" s="73" t="str">
        <f t="shared" si="124"/>
        <v/>
      </c>
      <c r="BL106" s="31" t="str" cm="1">
        <f t="array" ref="BL106">IF(BK106="",""&amp;BJ106,IF(BK106="NEMA",BJ106,INDEX(regKlub_naziv,MATCH(INDEX(regKlub_alias_klubId,BK106),regKlub_id,0))))</f>
        <v/>
      </c>
      <c r="BM106" s="31" t="str" cm="1">
        <f t="array" ref="BM106">IFERROR(""&amp;INDEX(regNatjecatelj_klub,DV106),"")</f>
        <v/>
      </c>
      <c r="BN106" s="73" t="str">
        <f t="shared" si="163"/>
        <v/>
      </c>
      <c r="BO106" s="66" t="str">
        <f t="shared" si="164"/>
        <v/>
      </c>
      <c r="BP106" s="47" t="s">
        <v>0</v>
      </c>
      <c r="BQ106" s="52" t="str">
        <f>IF(X106&lt;&gt;"NEMA","",IF(IFERROR(MATCH(W106,W$12:W105,0),0)&lt;&gt;0,"",W106))</f>
        <v/>
      </c>
      <c r="BR106" s="73" t="str">
        <f t="shared" si="165"/>
        <v/>
      </c>
      <c r="BS106" s="31" t="str">
        <f>IF(OR(BR106="",BR106&lt;&gt;"NEMA"),"",MAX(BS$12:BS105)+1)</f>
        <v/>
      </c>
      <c r="BT106" s="66" t="str">
        <f t="shared" si="166"/>
        <v/>
      </c>
      <c r="BU106" s="47" t="s">
        <v>0</v>
      </c>
      <c r="BV106" s="19" t="str">
        <f t="shared" si="167"/>
        <v/>
      </c>
      <c r="BW106" s="47" t="s">
        <v>0</v>
      </c>
      <c r="BX106" s="82" t="str">
        <f>IF(BK106&lt;&gt;"NEMA","",IF(IFERROR(MATCH(BJ106,BJ$12:BJ105,0),0)&lt;&gt;0,"",BJ106))</f>
        <v/>
      </c>
      <c r="BY106" s="47" t="s">
        <v>0</v>
      </c>
      <c r="BZ106" s="125"/>
      <c r="CA106" s="47" t="s">
        <v>0</v>
      </c>
      <c r="CB106" s="58" t="str">
        <f t="shared" si="168"/>
        <v/>
      </c>
      <c r="CC106" s="31" t="str">
        <f t="shared" si="169"/>
        <v/>
      </c>
      <c r="CD106" s="31" t="str">
        <f>IF(CC106="","",MAX(CD$12:CD105)+1)</f>
        <v/>
      </c>
      <c r="CE106" s="31" t="str">
        <f t="shared" si="125"/>
        <v/>
      </c>
      <c r="CF106" s="31" t="str">
        <f t="shared" si="170"/>
        <v/>
      </c>
      <c r="CG106" s="31" t="str">
        <f>IF(BZ106="","",MAX(CG$12:CG105)+1)</f>
        <v/>
      </c>
      <c r="CH106" s="31" t="str">
        <f t="shared" si="171"/>
        <v/>
      </c>
      <c r="CI106" s="66" t="str">
        <f t="shared" si="172"/>
        <v/>
      </c>
      <c r="CJ106" s="47" t="s">
        <v>0</v>
      </c>
      <c r="CK106" s="73" t="str">
        <f t="shared" si="126"/>
        <v/>
      </c>
      <c r="CL106" s="47"/>
      <c r="CM106" s="19" t="str">
        <f t="shared" si="173"/>
        <v/>
      </c>
      <c r="CN106" s="47" t="s">
        <v>0</v>
      </c>
      <c r="CO106" s="143" t="str">
        <f t="shared" si="174"/>
        <v/>
      </c>
      <c r="CP106" s="47" t="s">
        <v>0</v>
      </c>
      <c r="CQ106" s="58" t="str">
        <f t="shared" si="190"/>
        <v/>
      </c>
      <c r="CR106" s="73" t="str">
        <f t="shared" si="191"/>
        <v>0</v>
      </c>
      <c r="CS106" s="229" t="str">
        <f t="shared" si="127"/>
        <v/>
      </c>
      <c r="CT106" s="230" t="str">
        <f t="shared" si="112"/>
        <v/>
      </c>
      <c r="CU106" s="163" t="str">
        <f t="shared" si="128"/>
        <v/>
      </c>
      <c r="CV106" s="47" t="s">
        <v>0</v>
      </c>
      <c r="CW106" s="222" t="str">
        <f t="shared" si="175"/>
        <v xml:space="preserve">
</v>
      </c>
      <c r="CX106" s="223" t="str">
        <f t="shared" si="176"/>
        <v/>
      </c>
      <c r="CY106" s="47" t="s">
        <v>0</v>
      </c>
      <c r="CZ106" s="47"/>
      <c r="DA106" s="47"/>
      <c r="DB106" s="47"/>
      <c r="DC106" s="47" t="s">
        <v>0</v>
      </c>
      <c r="DD106" s="53" t="str">
        <f t="shared" si="184"/>
        <v/>
      </c>
      <c r="DE106" t="s">
        <v>0</v>
      </c>
      <c r="DF106" s="128" t="str">
        <f t="shared" si="185"/>
        <v>M</v>
      </c>
      <c r="DG106" t="s">
        <v>0</v>
      </c>
      <c r="DH106" s="52" t="str">
        <f t="shared" si="186"/>
        <v/>
      </c>
      <c r="DI106" s="66" t="str">
        <f t="shared" si="187"/>
        <v/>
      </c>
      <c r="DJ106" t="s">
        <v>0</v>
      </c>
      <c r="DK106" s="19" t="str">
        <f t="shared" si="188"/>
        <v/>
      </c>
      <c r="DL106" s="47" t="s">
        <v>0</v>
      </c>
      <c r="DM106" s="19" t="str">
        <f t="shared" si="189"/>
        <v/>
      </c>
      <c r="DN106" s="47" t="s">
        <v>0</v>
      </c>
      <c r="DO106" s="52" t="str">
        <f t="shared" si="129"/>
        <v/>
      </c>
      <c r="DP106" s="53" t="str">
        <f t="shared" si="130"/>
        <v/>
      </c>
      <c r="DQ106" s="47" t="s">
        <v>0</v>
      </c>
      <c r="DR106" s="52" t="str">
        <f t="shared" si="131"/>
        <v/>
      </c>
      <c r="DS106" s="53" t="str">
        <f t="shared" si="132"/>
        <v/>
      </c>
      <c r="DT106" s="47" t="s">
        <v>0</v>
      </c>
      <c r="DU106" s="52" t="str">
        <f t="shared" si="133"/>
        <v/>
      </c>
      <c r="DV106" s="53" t="str">
        <f t="shared" si="134"/>
        <v/>
      </c>
      <c r="DW106" s="47" t="s">
        <v>0</v>
      </c>
      <c r="DX106" s="58" t="str">
        <f t="shared" si="177"/>
        <v/>
      </c>
      <c r="DY106" s="53" t="str" cm="1">
        <f t="array" ref="DY106">IF(DX106&lt;&gt;"",INDEX(regNatjecatelj_id,DX106,0),IF(BD106&lt;&gt;"",BD106,""))</f>
        <v/>
      </c>
      <c r="DZ106" s="47" t="s">
        <v>0</v>
      </c>
      <c r="EA106" s="58" t="str">
        <f t="shared" si="135"/>
        <v/>
      </c>
      <c r="EB106" s="73" t="str">
        <f t="shared" si="136"/>
        <v/>
      </c>
      <c r="EC106" s="73" t="str">
        <f t="shared" si="137"/>
        <v/>
      </c>
      <c r="ED106" s="73" t="str">
        <f t="shared" si="138"/>
        <v/>
      </c>
      <c r="EE106" s="66" t="str">
        <f t="shared" si="139"/>
        <v/>
      </c>
      <c r="EF106" s="47" t="s">
        <v>0</v>
      </c>
      <c r="EG106" s="58" t="str">
        <f>IF(AL106="","",MAX(EG$12:EG105)+1)</f>
        <v/>
      </c>
      <c r="EH106" s="73" t="str">
        <f t="shared" si="140"/>
        <v/>
      </c>
      <c r="EI106" s="73" t="str">
        <f t="shared" si="178"/>
        <v/>
      </c>
      <c r="EJ106" s="73" t="str">
        <f t="shared" si="141"/>
        <v/>
      </c>
      <c r="EK106" s="73" t="str">
        <f t="shared" si="142"/>
        <v/>
      </c>
      <c r="EL106" s="73" t="str">
        <f t="shared" si="179"/>
        <v/>
      </c>
      <c r="EM106" s="73" t="str">
        <f t="shared" si="180"/>
        <v/>
      </c>
      <c r="EN106" s="73" t="str">
        <f t="shared" si="143"/>
        <v/>
      </c>
      <c r="EO106" s="73" t="str">
        <f t="shared" si="144"/>
        <v/>
      </c>
      <c r="EP106" s="73" t="str">
        <f t="shared" si="145"/>
        <v/>
      </c>
      <c r="EQ106" s="53" t="str">
        <f t="shared" si="146"/>
        <v/>
      </c>
      <c r="ER106" s="47" t="s">
        <v>0</v>
      </c>
      <c r="ES106" s="19" t="str">
        <f t="shared" si="181"/>
        <v/>
      </c>
      <c r="ET106" s="47" t="s">
        <v>0</v>
      </c>
      <c r="EU106" s="19" t="str">
        <f t="shared" si="182"/>
        <v/>
      </c>
      <c r="EV106" s="47" t="s">
        <v>0</v>
      </c>
      <c r="EW106" s="180" t="str">
        <f t="shared" si="147"/>
        <v/>
      </c>
      <c r="EX106" s="47" t="s">
        <v>0</v>
      </c>
    </row>
    <row r="107" spans="1:154" x14ac:dyDescent="0.25">
      <c r="A107" t="s">
        <v>0</v>
      </c>
      <c r="B107" s="52" t="str">
        <f>IF(csv!F97="","",csv!T97)</f>
        <v>M21B</v>
      </c>
      <c r="C107" s="31" t="s">
        <v>0</v>
      </c>
      <c r="D107" s="31" t="str">
        <f>IF(csv!F97="","",csv!F97)</f>
        <v>Tomislav</v>
      </c>
      <c r="E107" s="31" t="str">
        <f>IF(csv!E97="","",csv!E97)</f>
        <v>Jurač</v>
      </c>
      <c r="F107" s="31" t="s">
        <v>0</v>
      </c>
      <c r="G107" s="73" t="str">
        <f>IF(csv!M97="","",csv!M97)</f>
        <v/>
      </c>
      <c r="H107" s="73" t="str">
        <f>IF(csv!N97="","",csv!N97)</f>
        <v>1</v>
      </c>
      <c r="I107" s="31" t="s">
        <v>0</v>
      </c>
      <c r="J107" s="31" t="str">
        <f>IF(csv!P97="","",csv!P97)</f>
        <v>Vihor</v>
      </c>
      <c r="K107" s="31" t="str">
        <f>IF(csv!Q97="","",csv!Q97)</f>
        <v>OK Vihor</v>
      </c>
      <c r="L107" s="31" t="s">
        <v>0</v>
      </c>
      <c r="M107" s="66" t="str">
        <f>IF(csv!R97="","",csv!R97)</f>
        <v>CRO</v>
      </c>
      <c r="N107" s="47" t="s">
        <v>0</v>
      </c>
      <c r="O107" s="246" t="str">
        <f t="shared" si="148"/>
        <v>ok</v>
      </c>
      <c r="P107" s="47"/>
      <c r="Q107" s="52" t="str">
        <f t="shared" si="149"/>
        <v>M21B</v>
      </c>
      <c r="R107" s="73">
        <f>IF(Q107="","",IF(COUNTIF(Q$12:Q106,Q107)=0,R106+1,R106))</f>
        <v>6</v>
      </c>
      <c r="S107" s="73">
        <f t="shared" si="150"/>
        <v>108</v>
      </c>
      <c r="T107" s="73">
        <f t="shared" si="113"/>
        <v>19</v>
      </c>
      <c r="U107" s="66" t="str">
        <f t="shared" si="114"/>
        <v>M21B – M16</v>
      </c>
      <c r="V107" s="47" t="s">
        <v>0</v>
      </c>
      <c r="W107" s="222" t="str">
        <f t="shared" si="115"/>
        <v>M21B</v>
      </c>
      <c r="X107" s="223">
        <f t="shared" si="116"/>
        <v>28</v>
      </c>
      <c r="Y107" s="47" t="s">
        <v>0</v>
      </c>
      <c r="Z107" s="52" t="str">
        <f t="shared" si="151"/>
        <v>CRO</v>
      </c>
      <c r="AA107" s="73">
        <f t="shared" si="117"/>
        <v>1</v>
      </c>
      <c r="AB107" s="31" t="str">
        <f t="shared" si="152"/>
        <v/>
      </c>
      <c r="AC107" s="66" t="str">
        <f>IF(AB107="","",MAX(AC$12:AC106)+1)</f>
        <v/>
      </c>
      <c r="AD107" s="47" t="s">
        <v>0</v>
      </c>
      <c r="AE107" s="125"/>
      <c r="AF107" s="47" t="s">
        <v>0</v>
      </c>
      <c r="AG107" s="19" t="str">
        <f t="shared" si="153"/>
        <v/>
      </c>
      <c r="AH107" s="47" t="s">
        <v>0</v>
      </c>
      <c r="AI107" s="143" t="str">
        <f t="shared" si="154"/>
        <v>CRO</v>
      </c>
      <c r="AJ107" s="47"/>
      <c r="AK107" s="52" t="str">
        <f t="shared" si="155"/>
        <v>Tomislav</v>
      </c>
      <c r="AL107" s="31" t="str">
        <f t="shared" si="156"/>
        <v>Jurač</v>
      </c>
      <c r="AM107" s="73">
        <f t="shared" si="157"/>
        <v>1567</v>
      </c>
      <c r="AN107" s="73" t="str">
        <f t="shared" si="158"/>
        <v/>
      </c>
      <c r="AO107" s="31" t="str">
        <f t="shared" si="118"/>
        <v>Tomislav</v>
      </c>
      <c r="AP107" s="66" t="str">
        <f t="shared" si="119"/>
        <v>Jurač</v>
      </c>
      <c r="AQ107" s="47" t="s">
        <v>0</v>
      </c>
      <c r="AR107" s="82" t="str">
        <f t="shared" si="159"/>
        <v/>
      </c>
      <c r="AS107" s="47" t="s">
        <v>0</v>
      </c>
      <c r="AT107" s="19" t="str">
        <f t="shared" si="160"/>
        <v/>
      </c>
      <c r="AU107" s="47" t="s">
        <v>0</v>
      </c>
      <c r="AV107" s="103"/>
      <c r="AW107" s="105"/>
      <c r="AX107" s="47" t="s">
        <v>0</v>
      </c>
      <c r="AY107" s="259" t="str">
        <f t="shared" si="183"/>
        <v/>
      </c>
      <c r="AZ107" s="47" t="s">
        <v>0</v>
      </c>
      <c r="BA107" s="52" t="str">
        <f t="shared" si="120"/>
        <v/>
      </c>
      <c r="BB107" s="73" t="str">
        <f>IF(AV107&amp;AW107="","",MAX(BB$12:BB106)+1)</f>
        <v/>
      </c>
      <c r="BC107" s="272" t="str">
        <f t="shared" si="121"/>
        <v/>
      </c>
      <c r="BD107" s="53" t="str">
        <f>IF(AND(AM107="NEMA",AN107="NEMA",OR(AV107&amp;AW107="",BC107="NEMA")),MAX(BD$12:BD106)+1,"")</f>
        <v/>
      </c>
      <c r="BE107" s="47" t="s">
        <v>0</v>
      </c>
      <c r="BF107" s="52" t="str">
        <f t="shared" si="161"/>
        <v>Tomislav</v>
      </c>
      <c r="BG107" s="66" t="str">
        <f t="shared" si="162"/>
        <v>Jurač</v>
      </c>
      <c r="BH107" s="47" t="s">
        <v>0</v>
      </c>
      <c r="BI107" s="52" t="str">
        <f t="shared" si="122"/>
        <v>Vihor</v>
      </c>
      <c r="BJ107" s="31" t="str">
        <f t="shared" si="123"/>
        <v>OK Vihor</v>
      </c>
      <c r="BK107" s="73" t="str">
        <f t="shared" si="124"/>
        <v/>
      </c>
      <c r="BL107" s="31" t="str" cm="1">
        <f t="array" ref="BL107">IF(BK107="",""&amp;BJ107,IF(BK107="NEMA",BJ107,INDEX(regKlub_naziv,MATCH(INDEX(regKlub_alias_klubId,BK107),regKlub_id,0))))</f>
        <v>OK Vihor</v>
      </c>
      <c r="BM107" s="31" t="str" cm="1">
        <f t="array" ref="BM107">IFERROR(""&amp;INDEX(regNatjecatelj_klub,DV107),"")</f>
        <v>OK Vihor</v>
      </c>
      <c r="BN107" s="73" t="str">
        <f t="shared" si="163"/>
        <v/>
      </c>
      <c r="BO107" s="66" t="str">
        <f t="shared" si="164"/>
        <v>OK Vihor</v>
      </c>
      <c r="BP107" s="47" t="s">
        <v>0</v>
      </c>
      <c r="BQ107" s="52" t="str">
        <f>IF(X107&lt;&gt;"NEMA","",IF(IFERROR(MATCH(W107,W$12:W106,0),0)&lt;&gt;0,"",W107))</f>
        <v/>
      </c>
      <c r="BR107" s="73" t="str">
        <f t="shared" si="165"/>
        <v/>
      </c>
      <c r="BS107" s="31" t="str">
        <f>IF(OR(BR107="",BR107&lt;&gt;"NEMA"),"",MAX(BS$12:BS106)+1)</f>
        <v/>
      </c>
      <c r="BT107" s="66" t="str">
        <f t="shared" si="166"/>
        <v/>
      </c>
      <c r="BU107" s="47" t="s">
        <v>0</v>
      </c>
      <c r="BV107" s="19" t="str">
        <f t="shared" si="167"/>
        <v/>
      </c>
      <c r="BW107" s="47" t="s">
        <v>0</v>
      </c>
      <c r="BX107" s="82" t="str">
        <f>IF(BK107&lt;&gt;"NEMA","",IF(IFERROR(MATCH(BJ107,BJ$12:BJ106,0),0)&lt;&gt;0,"",BJ107))</f>
        <v/>
      </c>
      <c r="BY107" s="47" t="s">
        <v>0</v>
      </c>
      <c r="BZ107" s="125"/>
      <c r="CA107" s="47" t="s">
        <v>0</v>
      </c>
      <c r="CB107" s="58" t="str">
        <f t="shared" si="168"/>
        <v/>
      </c>
      <c r="CC107" s="31" t="str">
        <f t="shared" si="169"/>
        <v/>
      </c>
      <c r="CD107" s="31" t="str">
        <f>IF(CC107="","",MAX(CD$12:CD106)+1)</f>
        <v/>
      </c>
      <c r="CE107" s="31" t="str">
        <f t="shared" si="125"/>
        <v/>
      </c>
      <c r="CF107" s="31" t="str">
        <f t="shared" si="170"/>
        <v/>
      </c>
      <c r="CG107" s="31" t="str">
        <f>IF(BZ107="","",MAX(CG$12:CG106)+1)</f>
        <v/>
      </c>
      <c r="CH107" s="31" t="str">
        <f t="shared" si="171"/>
        <v/>
      </c>
      <c r="CI107" s="66" t="str">
        <f t="shared" si="172"/>
        <v/>
      </c>
      <c r="CJ107" s="47" t="s">
        <v>0</v>
      </c>
      <c r="CK107" s="73" t="str">
        <f t="shared" si="126"/>
        <v/>
      </c>
      <c r="CL107" s="47"/>
      <c r="CM107" s="19" t="str">
        <f t="shared" si="173"/>
        <v/>
      </c>
      <c r="CN107" s="47" t="s">
        <v>0</v>
      </c>
      <c r="CO107" s="143" t="str">
        <f t="shared" si="174"/>
        <v>OK Vihor</v>
      </c>
      <c r="CP107" s="47" t="s">
        <v>0</v>
      </c>
      <c r="CQ107" s="58" t="str">
        <f t="shared" si="190"/>
        <v/>
      </c>
      <c r="CR107" s="73" t="str">
        <f t="shared" si="191"/>
        <v>1</v>
      </c>
      <c r="CS107" s="229" t="str">
        <f t="shared" si="127"/>
        <v/>
      </c>
      <c r="CT107" s="230" t="str">
        <f t="shared" si="112"/>
        <v/>
      </c>
      <c r="CU107" s="163">
        <f t="shared" si="128"/>
        <v>6</v>
      </c>
      <c r="CV107" s="47" t="s">
        <v>0</v>
      </c>
      <c r="CW107" s="222" t="str">
        <f t="shared" si="175"/>
        <v xml:space="preserve">
</v>
      </c>
      <c r="CX107" s="223" t="e">
        <f t="shared" si="176"/>
        <v>#N/A</v>
      </c>
      <c r="CY107" s="47" t="s">
        <v>0</v>
      </c>
      <c r="CZ107" s="47"/>
      <c r="DA107" s="47"/>
      <c r="DB107" s="47"/>
      <c r="DC107" s="47" t="s">
        <v>0</v>
      </c>
      <c r="DD107" s="53" t="str">
        <f t="shared" si="184"/>
        <v/>
      </c>
      <c r="DE107" t="s">
        <v>0</v>
      </c>
      <c r="DF107" s="128" t="str">
        <f t="shared" si="185"/>
        <v>M</v>
      </c>
      <c r="DG107" t="s">
        <v>0</v>
      </c>
      <c r="DH107" s="52" t="str">
        <f t="shared" si="186"/>
        <v/>
      </c>
      <c r="DI107" s="66" t="str">
        <f t="shared" si="187"/>
        <v/>
      </c>
      <c r="DJ107" t="s">
        <v>0</v>
      </c>
      <c r="DK107" s="19" t="str">
        <f t="shared" si="188"/>
        <v/>
      </c>
      <c r="DL107" s="47" t="s">
        <v>0</v>
      </c>
      <c r="DM107" s="19" t="str">
        <f t="shared" si="189"/>
        <v/>
      </c>
      <c r="DN107" s="47" t="s">
        <v>0</v>
      </c>
      <c r="DO107" s="52" t="str">
        <f t="shared" si="129"/>
        <v>Tomislav – Jurač – OK Vihor – M21B</v>
      </c>
      <c r="DP107" s="53">
        <f t="shared" si="130"/>
        <v>721</v>
      </c>
      <c r="DQ107" s="47" t="s">
        <v>0</v>
      </c>
      <c r="DR107" s="52" t="str">
        <f t="shared" si="131"/>
        <v>Tomislav – Jurač – OK Vihor</v>
      </c>
      <c r="DS107" s="53">
        <f t="shared" si="132"/>
        <v>721</v>
      </c>
      <c r="DT107" s="47" t="s">
        <v>0</v>
      </c>
      <c r="DU107" s="52" t="str">
        <f t="shared" si="133"/>
        <v>Tomislav – Jurač</v>
      </c>
      <c r="DV107" s="53">
        <f t="shared" si="134"/>
        <v>721</v>
      </c>
      <c r="DW107" s="47" t="s">
        <v>0</v>
      </c>
      <c r="DX107" s="58">
        <f t="shared" si="177"/>
        <v>721</v>
      </c>
      <c r="DY107" s="53" cm="1">
        <f t="array" ref="DY107">IF(DX107&lt;&gt;"",INDEX(regNatjecatelj_id,DX107,0),IF(BD107&lt;&gt;"",BD107,""))</f>
        <v>1567</v>
      </c>
      <c r="DZ107" s="47" t="s">
        <v>0</v>
      </c>
      <c r="EA107" s="58" t="str">
        <f t="shared" si="135"/>
        <v>imepre</v>
      </c>
      <c r="EB107" s="73" t="str">
        <f t="shared" si="136"/>
        <v>klu</v>
      </c>
      <c r="EC107" s="73" t="str">
        <f t="shared" si="137"/>
        <v>kat</v>
      </c>
      <c r="ED107" s="73" t="str">
        <f t="shared" si="138"/>
        <v/>
      </c>
      <c r="EE107" s="66" t="str">
        <f t="shared" si="139"/>
        <v>imepre-klu-kat</v>
      </c>
      <c r="EF107" s="47" t="s">
        <v>0</v>
      </c>
      <c r="EG107" s="58">
        <f>IF(AL107="","",MAX(EG$12:EG106)+1)</f>
        <v>275</v>
      </c>
      <c r="EH107" s="73">
        <f t="shared" si="140"/>
        <v>28</v>
      </c>
      <c r="EI107" s="73">
        <f t="shared" si="178"/>
        <v>1567</v>
      </c>
      <c r="EJ107" s="73" t="str">
        <f t="shared" si="141"/>
        <v/>
      </c>
      <c r="EK107" s="73">
        <f t="shared" si="142"/>
        <v>6</v>
      </c>
      <c r="EL107" s="73">
        <f t="shared" si="179"/>
        <v>1</v>
      </c>
      <c r="EM107" s="73">
        <f t="shared" si="180"/>
        <v>1</v>
      </c>
      <c r="EN107" s="73" t="str">
        <f t="shared" si="143"/>
        <v>1</v>
      </c>
      <c r="EO107" s="73" t="str">
        <f t="shared" si="144"/>
        <v/>
      </c>
      <c r="EP107" s="73" t="str">
        <f t="shared" si="145"/>
        <v/>
      </c>
      <c r="EQ107" s="53" t="str">
        <f t="shared" si="146"/>
        <v/>
      </c>
      <c r="ER107" s="47" t="s">
        <v>0</v>
      </c>
      <c r="ES107" s="19" t="str">
        <f t="shared" si="181"/>
        <v>INSERT INTO rezultat(id,stazakategorija_id,imeprezime_id,vrijeme_sec,status_id,registracija,uparivanje_id,originalstatus_id,imeprezimealias_id,klubalias_id,kategorijaalias_id) VALUES (275,28,1567,Null,6,1,1,1,Null,Null,Null);</v>
      </c>
      <c r="ET107" s="47" t="s">
        <v>0</v>
      </c>
      <c r="EU107" s="19" t="str">
        <f t="shared" si="182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7" s="47" t="s">
        <v>0</v>
      </c>
      <c r="EW107" s="180" t="str">
        <f t="shared" si="147"/>
        <v xml:space="preserve">
INSERT INTO rezultat(id,stazakategorija_id,imeprezime_id,vrijeme_sec,status_id,registracija,uparivanje_id,originalstatus_id,imeprezimealias_id,klubalias_id,kategorijaalias_id) VALUES (275,28,1567,Null,6,1,1,1,Null,Null,Null);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7" s="47" t="s">
        <v>0</v>
      </c>
    </row>
    <row r="108" spans="1:154" x14ac:dyDescent="0.25">
      <c r="A108" t="s">
        <v>0</v>
      </c>
      <c r="B108" s="52" t="str">
        <f>IF(csv!F98="","",csv!T98)</f>
        <v>M21B</v>
      </c>
      <c r="C108" s="31" t="s">
        <v>0</v>
      </c>
      <c r="D108" s="31" t="str">
        <f>IF(csv!F98="","",csv!F98)</f>
        <v>Josip</v>
      </c>
      <c r="E108" s="31" t="str">
        <f>IF(csv!E98="","",csv!E98)</f>
        <v>Stipeljković</v>
      </c>
      <c r="F108" s="31" t="s">
        <v>0</v>
      </c>
      <c r="G108" s="73" t="str">
        <f>IF(csv!M98="","",csv!M98)</f>
        <v/>
      </c>
      <c r="H108" s="73" t="str">
        <f>IF(csv!N98="","",csv!N98)</f>
        <v>2</v>
      </c>
      <c r="I108" s="31" t="s">
        <v>0</v>
      </c>
      <c r="J108" s="31" t="str">
        <f>IF(csv!P98="","",csv!P98)</f>
        <v>Vihor</v>
      </c>
      <c r="K108" s="31" t="str">
        <f>IF(csv!Q98="","",csv!Q98)</f>
        <v>OK Vihor</v>
      </c>
      <c r="L108" s="31" t="s">
        <v>0</v>
      </c>
      <c r="M108" s="66" t="str">
        <f>IF(csv!R98="","",csv!R98)</f>
        <v>CRO</v>
      </c>
      <c r="N108" s="47" t="s">
        <v>0</v>
      </c>
      <c r="O108" s="246" t="str">
        <f t="shared" si="148"/>
        <v>ok</v>
      </c>
      <c r="P108" s="47"/>
      <c r="Q108" s="52" t="str">
        <f t="shared" si="149"/>
        <v>M21B</v>
      </c>
      <c r="R108" s="73">
        <f>IF(Q108="","",IF(COUNTIF(Q$12:Q107,Q108)=0,R107+1,R107))</f>
        <v>6</v>
      </c>
      <c r="S108" s="73">
        <f t="shared" si="150"/>
        <v>108</v>
      </c>
      <c r="T108" s="73">
        <f t="shared" si="113"/>
        <v>19</v>
      </c>
      <c r="U108" s="66" t="str">
        <f t="shared" si="114"/>
        <v>M21B – M16</v>
      </c>
      <c r="V108" s="47" t="s">
        <v>0</v>
      </c>
      <c r="W108" s="222" t="str">
        <f t="shared" si="115"/>
        <v>M21B</v>
      </c>
      <c r="X108" s="223">
        <f t="shared" si="116"/>
        <v>28</v>
      </c>
      <c r="Y108" s="47" t="s">
        <v>0</v>
      </c>
      <c r="Z108" s="52" t="str">
        <f t="shared" si="151"/>
        <v>CRO</v>
      </c>
      <c r="AA108" s="73">
        <f t="shared" si="117"/>
        <v>1</v>
      </c>
      <c r="AB108" s="31" t="str">
        <f t="shared" si="152"/>
        <v/>
      </c>
      <c r="AC108" s="66" t="str">
        <f>IF(AB108="","",MAX(AC$12:AC107)+1)</f>
        <v/>
      </c>
      <c r="AD108" s="47" t="s">
        <v>0</v>
      </c>
      <c r="AE108" s="125"/>
      <c r="AF108" s="47" t="s">
        <v>0</v>
      </c>
      <c r="AG108" s="19" t="str">
        <f t="shared" si="153"/>
        <v/>
      </c>
      <c r="AH108" s="47" t="s">
        <v>0</v>
      </c>
      <c r="AI108" s="143" t="str">
        <f t="shared" si="154"/>
        <v>CRO</v>
      </c>
      <c r="AJ108" s="47"/>
      <c r="AK108" s="52" t="str">
        <f t="shared" si="155"/>
        <v>Josip</v>
      </c>
      <c r="AL108" s="31" t="str">
        <f t="shared" si="156"/>
        <v>Stipeljković</v>
      </c>
      <c r="AM108" s="73">
        <f t="shared" si="157"/>
        <v>1906</v>
      </c>
      <c r="AN108" s="73" t="str">
        <f t="shared" si="158"/>
        <v/>
      </c>
      <c r="AO108" s="31" t="str">
        <f t="shared" si="118"/>
        <v>Josip</v>
      </c>
      <c r="AP108" s="66" t="str">
        <f t="shared" si="119"/>
        <v>Stipeljković</v>
      </c>
      <c r="AQ108" s="47" t="s">
        <v>0</v>
      </c>
      <c r="AR108" s="82" t="str">
        <f t="shared" si="159"/>
        <v/>
      </c>
      <c r="AS108" s="47" t="s">
        <v>0</v>
      </c>
      <c r="AT108" s="19" t="str">
        <f t="shared" si="160"/>
        <v/>
      </c>
      <c r="AU108" s="47" t="s">
        <v>0</v>
      </c>
      <c r="AV108" s="103"/>
      <c r="AW108" s="105"/>
      <c r="AX108" s="47" t="s">
        <v>0</v>
      </c>
      <c r="AY108" s="259" t="str">
        <f t="shared" si="183"/>
        <v/>
      </c>
      <c r="AZ108" s="47" t="s">
        <v>0</v>
      </c>
      <c r="BA108" s="52" t="str">
        <f t="shared" si="120"/>
        <v/>
      </c>
      <c r="BB108" s="73" t="str">
        <f>IF(AV108&amp;AW108="","",MAX(BB$12:BB107)+1)</f>
        <v/>
      </c>
      <c r="BC108" s="272" t="str">
        <f t="shared" si="121"/>
        <v/>
      </c>
      <c r="BD108" s="53" t="str">
        <f>IF(AND(AM108="NEMA",AN108="NEMA",OR(AV108&amp;AW108="",BC108="NEMA")),MAX(BD$12:BD107)+1,"")</f>
        <v/>
      </c>
      <c r="BE108" s="47" t="s">
        <v>0</v>
      </c>
      <c r="BF108" s="52" t="str">
        <f t="shared" si="161"/>
        <v>Josip</v>
      </c>
      <c r="BG108" s="66" t="str">
        <f t="shared" si="162"/>
        <v>Stipeljković</v>
      </c>
      <c r="BH108" s="47" t="s">
        <v>0</v>
      </c>
      <c r="BI108" s="52" t="str">
        <f t="shared" si="122"/>
        <v>Vihor</v>
      </c>
      <c r="BJ108" s="31" t="str">
        <f t="shared" si="123"/>
        <v>OK Vihor</v>
      </c>
      <c r="BK108" s="73" t="str">
        <f t="shared" si="124"/>
        <v/>
      </c>
      <c r="BL108" s="31" t="str" cm="1">
        <f t="array" ref="BL108">IF(BK108="",""&amp;BJ108,IF(BK108="NEMA",BJ108,INDEX(regKlub_naziv,MATCH(INDEX(regKlub_alias_klubId,BK108),regKlub_id,0))))</f>
        <v>OK Vihor</v>
      </c>
      <c r="BM108" s="31" t="str" cm="1">
        <f t="array" ref="BM108">IFERROR(""&amp;INDEX(regNatjecatelj_klub,DV108),"")</f>
        <v>OK Vihor</v>
      </c>
      <c r="BN108" s="73" t="str">
        <f t="shared" si="163"/>
        <v/>
      </c>
      <c r="BO108" s="66" t="str">
        <f t="shared" si="164"/>
        <v>OK Vihor</v>
      </c>
      <c r="BP108" s="47" t="s">
        <v>0</v>
      </c>
      <c r="BQ108" s="52" t="str">
        <f>IF(X108&lt;&gt;"NEMA","",IF(IFERROR(MATCH(W108,W$12:W107,0),0)&lt;&gt;0,"",W108))</f>
        <v/>
      </c>
      <c r="BR108" s="73" t="str">
        <f t="shared" si="165"/>
        <v/>
      </c>
      <c r="BS108" s="31" t="str">
        <f>IF(OR(BR108="",BR108&lt;&gt;"NEMA"),"",MAX(BS$12:BS107)+1)</f>
        <v/>
      </c>
      <c r="BT108" s="66" t="str">
        <f t="shared" si="166"/>
        <v/>
      </c>
      <c r="BU108" s="47" t="s">
        <v>0</v>
      </c>
      <c r="BV108" s="19" t="str">
        <f t="shared" si="167"/>
        <v/>
      </c>
      <c r="BW108" s="47" t="s">
        <v>0</v>
      </c>
      <c r="BX108" s="82" t="str">
        <f>IF(BK108&lt;&gt;"NEMA","",IF(IFERROR(MATCH(BJ108,BJ$12:BJ107,0),0)&lt;&gt;0,"",BJ108))</f>
        <v/>
      </c>
      <c r="BY108" s="47" t="s">
        <v>0</v>
      </c>
      <c r="BZ108" s="125"/>
      <c r="CA108" s="47" t="s">
        <v>0</v>
      </c>
      <c r="CB108" s="58" t="str">
        <f t="shared" si="168"/>
        <v/>
      </c>
      <c r="CC108" s="31" t="str">
        <f t="shared" si="169"/>
        <v/>
      </c>
      <c r="CD108" s="31" t="str">
        <f>IF(CC108="","",MAX(CD$12:CD107)+1)</f>
        <v/>
      </c>
      <c r="CE108" s="31" t="str">
        <f t="shared" si="125"/>
        <v/>
      </c>
      <c r="CF108" s="31" t="str">
        <f t="shared" si="170"/>
        <v/>
      </c>
      <c r="CG108" s="31" t="str">
        <f>IF(BZ108="","",MAX(CG$12:CG107)+1)</f>
        <v/>
      </c>
      <c r="CH108" s="31" t="str">
        <f t="shared" si="171"/>
        <v/>
      </c>
      <c r="CI108" s="66" t="str">
        <f t="shared" si="172"/>
        <v/>
      </c>
      <c r="CJ108" s="47" t="s">
        <v>0</v>
      </c>
      <c r="CK108" s="73" t="str">
        <f t="shared" si="126"/>
        <v/>
      </c>
      <c r="CL108" s="47"/>
      <c r="CM108" s="19" t="str">
        <f t="shared" si="173"/>
        <v/>
      </c>
      <c r="CN108" s="47" t="s">
        <v>0</v>
      </c>
      <c r="CO108" s="143" t="str">
        <f t="shared" si="174"/>
        <v>OK Vihor</v>
      </c>
      <c r="CP108" s="47" t="s">
        <v>0</v>
      </c>
      <c r="CQ108" s="58" t="str">
        <f t="shared" si="190"/>
        <v/>
      </c>
      <c r="CR108" s="73" t="str">
        <f t="shared" si="191"/>
        <v>2</v>
      </c>
      <c r="CS108" s="229" t="str">
        <f t="shared" si="127"/>
        <v/>
      </c>
      <c r="CT108" s="230" t="str">
        <f t="shared" si="112"/>
        <v/>
      </c>
      <c r="CU108" s="163">
        <f t="shared" si="128"/>
        <v>4</v>
      </c>
      <c r="CV108" s="47" t="s">
        <v>0</v>
      </c>
      <c r="CW108" s="222" t="str">
        <f t="shared" si="175"/>
        <v xml:space="preserve">
</v>
      </c>
      <c r="CX108" s="223">
        <f t="shared" si="176"/>
        <v>5</v>
      </c>
      <c r="CY108" s="47" t="s">
        <v>0</v>
      </c>
      <c r="CZ108" s="47"/>
      <c r="DA108" s="47"/>
      <c r="DB108" s="47"/>
      <c r="DC108" s="47" t="s">
        <v>0</v>
      </c>
      <c r="DD108" s="53" t="str">
        <f t="shared" si="184"/>
        <v/>
      </c>
      <c r="DE108" t="s">
        <v>0</v>
      </c>
      <c r="DF108" s="128" t="str">
        <f t="shared" si="185"/>
        <v>M</v>
      </c>
      <c r="DG108" t="s">
        <v>0</v>
      </c>
      <c r="DH108" s="52" t="str">
        <f t="shared" si="186"/>
        <v/>
      </c>
      <c r="DI108" s="66" t="str">
        <f t="shared" si="187"/>
        <v/>
      </c>
      <c r="DJ108" t="s">
        <v>0</v>
      </c>
      <c r="DK108" s="19" t="str">
        <f t="shared" si="188"/>
        <v/>
      </c>
      <c r="DL108" s="47" t="s">
        <v>0</v>
      </c>
      <c r="DM108" s="19" t="str">
        <f t="shared" si="189"/>
        <v/>
      </c>
      <c r="DN108" s="47" t="s">
        <v>0</v>
      </c>
      <c r="DO108" s="52" t="str">
        <f t="shared" si="129"/>
        <v>Josip – Stipeljković – OK Vihor – M21B</v>
      </c>
      <c r="DP108" s="53">
        <f t="shared" si="130"/>
        <v>911</v>
      </c>
      <c r="DQ108" s="47" t="s">
        <v>0</v>
      </c>
      <c r="DR108" s="52" t="str">
        <f t="shared" si="131"/>
        <v>Josip – Stipeljković – OK Vihor</v>
      </c>
      <c r="DS108" s="53">
        <f t="shared" si="132"/>
        <v>911</v>
      </c>
      <c r="DT108" s="47" t="s">
        <v>0</v>
      </c>
      <c r="DU108" s="52" t="str">
        <f t="shared" si="133"/>
        <v>Josip – Stipeljković</v>
      </c>
      <c r="DV108" s="53">
        <f t="shared" si="134"/>
        <v>911</v>
      </c>
      <c r="DW108" s="47" t="s">
        <v>0</v>
      </c>
      <c r="DX108" s="58">
        <f t="shared" si="177"/>
        <v>911</v>
      </c>
      <c r="DY108" s="53" cm="1">
        <f t="array" ref="DY108">IF(DX108&lt;&gt;"",INDEX(regNatjecatelj_id,DX108,0),IF(BD108&lt;&gt;"",BD108,""))</f>
        <v>1906</v>
      </c>
      <c r="DZ108" s="47" t="s">
        <v>0</v>
      </c>
      <c r="EA108" s="58" t="str">
        <f t="shared" si="135"/>
        <v>imepre</v>
      </c>
      <c r="EB108" s="73" t="str">
        <f t="shared" si="136"/>
        <v>klu</v>
      </c>
      <c r="EC108" s="73" t="str">
        <f t="shared" si="137"/>
        <v>kat</v>
      </c>
      <c r="ED108" s="73" t="str">
        <f t="shared" si="138"/>
        <v/>
      </c>
      <c r="EE108" s="66" t="str">
        <f t="shared" si="139"/>
        <v>imepre-klu-kat</v>
      </c>
      <c r="EF108" s="47" t="s">
        <v>0</v>
      </c>
      <c r="EG108" s="58">
        <f>IF(AL108="","",MAX(EG$12:EG107)+1)</f>
        <v>276</v>
      </c>
      <c r="EH108" s="73">
        <f t="shared" si="140"/>
        <v>28</v>
      </c>
      <c r="EI108" s="73">
        <f t="shared" si="178"/>
        <v>1906</v>
      </c>
      <c r="EJ108" s="73" t="str">
        <f t="shared" si="141"/>
        <v/>
      </c>
      <c r="EK108" s="73">
        <f t="shared" si="142"/>
        <v>4</v>
      </c>
      <c r="EL108" s="73">
        <f t="shared" si="179"/>
        <v>1</v>
      </c>
      <c r="EM108" s="73">
        <f t="shared" si="180"/>
        <v>1</v>
      </c>
      <c r="EN108" s="73" t="str">
        <f t="shared" si="143"/>
        <v>2</v>
      </c>
      <c r="EO108" s="73" t="str">
        <f t="shared" si="144"/>
        <v/>
      </c>
      <c r="EP108" s="73" t="str">
        <f t="shared" si="145"/>
        <v/>
      </c>
      <c r="EQ108" s="53" t="str">
        <f t="shared" si="146"/>
        <v/>
      </c>
      <c r="ER108" s="47" t="s">
        <v>0</v>
      </c>
      <c r="ES108" s="19" t="str">
        <f t="shared" si="181"/>
        <v>INSERT INTO rezultat(id,stazakategorija_id,imeprezime_id,vrijeme_sec,status_id,registracija,uparivanje_id,originalstatus_id,imeprezimealias_id,klubalias_id,kategorijaalias_id) VALUES (276,28,1906,Null,4,1,1,2,Null,Null,Null);</v>
      </c>
      <c r="ET108" s="47" t="s">
        <v>0</v>
      </c>
      <c r="EU108" s="19" t="str">
        <f t="shared" si="182"/>
        <v>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8" s="47" t="s">
        <v>0</v>
      </c>
      <c r="EW108" s="180" t="str">
        <f t="shared" si="147"/>
        <v xml:space="preserve">
INSERT INTO rezultat(id,stazakategorija_id,imeprezime_id,vrijeme_sec,status_id,registracija,uparivanje_id,originalstatus_id,imeprezimealias_id,klubalias_id,kategorijaalias_id) VALUES (276,28,1906,Null,4,1,1,2,Null,Null,Null);
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8" s="47" t="s">
        <v>0</v>
      </c>
    </row>
    <row r="109" spans="1:154" x14ac:dyDescent="0.25">
      <c r="A109" t="s">
        <v>0</v>
      </c>
      <c r="B109" s="52" t="str">
        <f>IF(csv!F99="","",csv!T99)</f>
        <v>M35</v>
      </c>
      <c r="C109" s="31" t="s">
        <v>0</v>
      </c>
      <c r="D109" s="31" t="str">
        <f>IF(csv!F99="","",csv!F99)</f>
        <v>Lino</v>
      </c>
      <c r="E109" s="31" t="str">
        <f>IF(csv!E99="","",csv!E99)</f>
        <v>Legac</v>
      </c>
      <c r="F109" s="31" t="s">
        <v>0</v>
      </c>
      <c r="G109" s="73" t="str">
        <f>IF(csv!M99="","",csv!M99)</f>
        <v>50:53</v>
      </c>
      <c r="H109" s="73" t="str">
        <f>IF(csv!N99="","",csv!N99)</f>
        <v>0</v>
      </c>
      <c r="I109" s="31" t="s">
        <v>0</v>
      </c>
      <c r="J109" s="31" t="str">
        <f>IF(csv!P99="","",csv!P99)</f>
        <v>JAP</v>
      </c>
      <c r="K109" s="31" t="str">
        <f>IF(csv!Q99="","",csv!Q99)</f>
        <v>OK Japetic</v>
      </c>
      <c r="L109" s="31" t="s">
        <v>0</v>
      </c>
      <c r="M109" s="66" t="str">
        <f>IF(csv!R99="","",csv!R99)</f>
        <v>CRO</v>
      </c>
      <c r="N109" s="47" t="s">
        <v>0</v>
      </c>
      <c r="O109" s="246" t="str">
        <f t="shared" si="148"/>
        <v>ok</v>
      </c>
      <c r="P109" s="47"/>
      <c r="Q109" s="52" t="str">
        <f t="shared" si="149"/>
        <v>M35</v>
      </c>
      <c r="R109" s="73">
        <f>IF(Q109="","",IF(COUNTIF(Q$12:Q108,Q109)=0,R108+1,R108))</f>
        <v>7</v>
      </c>
      <c r="S109" s="73">
        <f t="shared" si="150"/>
        <v>107</v>
      </c>
      <c r="T109" s="73">
        <f t="shared" si="113"/>
        <v>18</v>
      </c>
      <c r="U109" s="66" t="str">
        <f t="shared" si="114"/>
        <v>M35</v>
      </c>
      <c r="V109" s="47" t="s">
        <v>0</v>
      </c>
      <c r="W109" s="222" t="str">
        <f t="shared" si="115"/>
        <v>M35</v>
      </c>
      <c r="X109" s="223">
        <f t="shared" si="116"/>
        <v>29</v>
      </c>
      <c r="Y109" s="47" t="s">
        <v>0</v>
      </c>
      <c r="Z109" s="52" t="str">
        <f t="shared" si="151"/>
        <v>CRO</v>
      </c>
      <c r="AA109" s="73">
        <f t="shared" si="117"/>
        <v>1</v>
      </c>
      <c r="AB109" s="31" t="str">
        <f t="shared" si="152"/>
        <v/>
      </c>
      <c r="AC109" s="66" t="str">
        <f>IF(AB109="","",MAX(AC$12:AC108)+1)</f>
        <v/>
      </c>
      <c r="AD109" s="47" t="s">
        <v>0</v>
      </c>
      <c r="AE109" s="125"/>
      <c r="AF109" s="47" t="s">
        <v>0</v>
      </c>
      <c r="AG109" s="19" t="str">
        <f t="shared" si="153"/>
        <v/>
      </c>
      <c r="AH109" s="47" t="s">
        <v>0</v>
      </c>
      <c r="AI109" s="143" t="str">
        <f t="shared" si="154"/>
        <v>CRO</v>
      </c>
      <c r="AJ109" s="47"/>
      <c r="AK109" s="52" t="str">
        <f t="shared" si="155"/>
        <v>Lino</v>
      </c>
      <c r="AL109" s="31" t="str">
        <f t="shared" si="156"/>
        <v>Legac</v>
      </c>
      <c r="AM109" s="73">
        <f t="shared" si="157"/>
        <v>1370</v>
      </c>
      <c r="AN109" s="73" t="str">
        <f t="shared" si="158"/>
        <v/>
      </c>
      <c r="AO109" s="31" t="str">
        <f t="shared" si="118"/>
        <v>Lino</v>
      </c>
      <c r="AP109" s="66" t="str">
        <f t="shared" si="119"/>
        <v>Legac</v>
      </c>
      <c r="AQ109" s="47" t="s">
        <v>0</v>
      </c>
      <c r="AR109" s="82" t="str">
        <f t="shared" si="159"/>
        <v/>
      </c>
      <c r="AS109" s="47" t="s">
        <v>0</v>
      </c>
      <c r="AT109" s="19" t="str">
        <f t="shared" si="160"/>
        <v/>
      </c>
      <c r="AU109" s="47" t="s">
        <v>0</v>
      </c>
      <c r="AV109" s="103"/>
      <c r="AW109" s="105"/>
      <c r="AX109" s="47" t="s">
        <v>0</v>
      </c>
      <c r="AY109" s="259" t="str">
        <f t="shared" si="183"/>
        <v/>
      </c>
      <c r="AZ109" s="47" t="s">
        <v>0</v>
      </c>
      <c r="BA109" s="52" t="str">
        <f t="shared" si="120"/>
        <v/>
      </c>
      <c r="BB109" s="73" t="str">
        <f>IF(AV109&amp;AW109="","",MAX(BB$12:BB108)+1)</f>
        <v/>
      </c>
      <c r="BC109" s="272" t="str">
        <f t="shared" si="121"/>
        <v/>
      </c>
      <c r="BD109" s="53" t="str">
        <f>IF(AND(AM109="NEMA",AN109="NEMA",OR(AV109&amp;AW109="",BC109="NEMA")),MAX(BD$12:BD108)+1,"")</f>
        <v/>
      </c>
      <c r="BE109" s="47" t="s">
        <v>0</v>
      </c>
      <c r="BF109" s="52" t="str">
        <f t="shared" si="161"/>
        <v>Lino</v>
      </c>
      <c r="BG109" s="66" t="str">
        <f t="shared" si="162"/>
        <v>Legac</v>
      </c>
      <c r="BH109" s="47" t="s">
        <v>0</v>
      </c>
      <c r="BI109" s="52" t="str">
        <f t="shared" si="122"/>
        <v>JAP</v>
      </c>
      <c r="BJ109" s="31" t="str">
        <f t="shared" si="123"/>
        <v>OK Japetic</v>
      </c>
      <c r="BK109" s="73">
        <f t="shared" si="124"/>
        <v>1</v>
      </c>
      <c r="BL109" s="31" t="str" cm="1">
        <f t="array" ref="BL109">IF(BK109="",""&amp;BJ109,IF(BK109="NEMA",BJ109,INDEX(regKlub_naziv,MATCH(INDEX(regKlub_alias_klubId,BK109),regKlub_id,0))))</f>
        <v>OK Japetić</v>
      </c>
      <c r="BM109" s="31" t="str" cm="1">
        <f t="array" ref="BM109">IFERROR(""&amp;INDEX(regNatjecatelj_klub,DV109),"")</f>
        <v>OK Japetić</v>
      </c>
      <c r="BN109" s="73" t="str">
        <f t="shared" si="163"/>
        <v/>
      </c>
      <c r="BO109" s="66" t="str">
        <f t="shared" si="164"/>
        <v>OK Japetić</v>
      </c>
      <c r="BP109" s="47" t="s">
        <v>0</v>
      </c>
      <c r="BQ109" s="52" t="str">
        <f>IF(X109&lt;&gt;"NEMA","",IF(IFERROR(MATCH(W109,W$12:W108,0),0)&lt;&gt;0,"",W109))</f>
        <v/>
      </c>
      <c r="BR109" s="73" t="str">
        <f t="shared" si="165"/>
        <v/>
      </c>
      <c r="BS109" s="31" t="str">
        <f>IF(OR(BR109="",BR109&lt;&gt;"NEMA"),"",MAX(BS$12:BS108)+1)</f>
        <v/>
      </c>
      <c r="BT109" s="66" t="str">
        <f t="shared" si="166"/>
        <v/>
      </c>
      <c r="BU109" s="47" t="s">
        <v>0</v>
      </c>
      <c r="BV109" s="19" t="str">
        <f t="shared" si="167"/>
        <v/>
      </c>
      <c r="BW109" s="47" t="s">
        <v>0</v>
      </c>
      <c r="BX109" s="82" t="str">
        <f>IF(BK109&lt;&gt;"NEMA","",IF(IFERROR(MATCH(BJ109,BJ$12:BJ108,0),0)&lt;&gt;0,"",BJ109))</f>
        <v/>
      </c>
      <c r="BY109" s="47" t="s">
        <v>0</v>
      </c>
      <c r="BZ109" s="125"/>
      <c r="CA109" s="47" t="s">
        <v>0</v>
      </c>
      <c r="CB109" s="58" t="str">
        <f t="shared" si="168"/>
        <v/>
      </c>
      <c r="CC109" s="31" t="str">
        <f t="shared" si="169"/>
        <v/>
      </c>
      <c r="CD109" s="31" t="str">
        <f>IF(CC109="","",MAX(CD$12:CD108)+1)</f>
        <v/>
      </c>
      <c r="CE109" s="31" t="str">
        <f t="shared" si="125"/>
        <v/>
      </c>
      <c r="CF109" s="31" t="str">
        <f t="shared" si="170"/>
        <v/>
      </c>
      <c r="CG109" s="31" t="str">
        <f>IF(BZ109="","",MAX(CG$12:CG108)+1)</f>
        <v/>
      </c>
      <c r="CH109" s="31" t="str">
        <f t="shared" si="171"/>
        <v/>
      </c>
      <c r="CI109" s="66" t="str">
        <f t="shared" si="172"/>
        <v/>
      </c>
      <c r="CJ109" s="47" t="s">
        <v>0</v>
      </c>
      <c r="CK109" s="73" t="str">
        <f t="shared" si="126"/>
        <v/>
      </c>
      <c r="CL109" s="47"/>
      <c r="CM109" s="19" t="str">
        <f t="shared" si="173"/>
        <v/>
      </c>
      <c r="CN109" s="47" t="s">
        <v>0</v>
      </c>
      <c r="CO109" s="143" t="str">
        <f t="shared" si="174"/>
        <v>OK Japetić</v>
      </c>
      <c r="CP109" s="47" t="s">
        <v>0</v>
      </c>
      <c r="CQ109" s="58" t="str">
        <f t="shared" si="190"/>
        <v>50:53</v>
      </c>
      <c r="CR109" s="73" t="str">
        <f t="shared" si="191"/>
        <v>0</v>
      </c>
      <c r="CS109" s="229" t="str">
        <f t="shared" si="127"/>
        <v/>
      </c>
      <c r="CT109" s="230">
        <f t="shared" si="112"/>
        <v>3053</v>
      </c>
      <c r="CU109" s="163">
        <f t="shared" si="128"/>
        <v>1</v>
      </c>
      <c r="CV109" s="47" t="s">
        <v>0</v>
      </c>
      <c r="CW109" s="222" t="str">
        <f t="shared" si="175"/>
        <v xml:space="preserve">
</v>
      </c>
      <c r="CX109" s="223">
        <f t="shared" si="176"/>
        <v>6</v>
      </c>
      <c r="CY109" s="47" t="s">
        <v>0</v>
      </c>
      <c r="CZ109" s="47"/>
      <c r="DA109" s="47"/>
      <c r="DB109" s="47"/>
      <c r="DC109" s="47" t="s">
        <v>0</v>
      </c>
      <c r="DD109" s="53" t="str">
        <f t="shared" si="184"/>
        <v/>
      </c>
      <c r="DE109" t="s">
        <v>0</v>
      </c>
      <c r="DF109" s="128" t="str">
        <f t="shared" si="185"/>
        <v>M</v>
      </c>
      <c r="DG109" t="s">
        <v>0</v>
      </c>
      <c r="DH109" s="52" t="str">
        <f t="shared" si="186"/>
        <v/>
      </c>
      <c r="DI109" s="66" t="str">
        <f t="shared" si="187"/>
        <v/>
      </c>
      <c r="DJ109" t="s">
        <v>0</v>
      </c>
      <c r="DK109" s="19" t="str">
        <f t="shared" si="188"/>
        <v/>
      </c>
      <c r="DL109" s="47" t="s">
        <v>0</v>
      </c>
      <c r="DM109" s="19" t="str">
        <f t="shared" si="189"/>
        <v/>
      </c>
      <c r="DN109" s="47" t="s">
        <v>0</v>
      </c>
      <c r="DO109" s="52" t="str">
        <f t="shared" si="129"/>
        <v>Lino – Legac – OK Japetić – M35</v>
      </c>
      <c r="DP109" s="53">
        <f t="shared" si="130"/>
        <v>103</v>
      </c>
      <c r="DQ109" s="47" t="s">
        <v>0</v>
      </c>
      <c r="DR109" s="52" t="str">
        <f t="shared" si="131"/>
        <v>Lino – Legac – OK Japetić</v>
      </c>
      <c r="DS109" s="53">
        <f t="shared" si="132"/>
        <v>103</v>
      </c>
      <c r="DT109" s="47" t="s">
        <v>0</v>
      </c>
      <c r="DU109" s="52" t="str">
        <f t="shared" si="133"/>
        <v>Lino – Legac</v>
      </c>
      <c r="DV109" s="53">
        <f t="shared" si="134"/>
        <v>103</v>
      </c>
      <c r="DW109" s="47" t="s">
        <v>0</v>
      </c>
      <c r="DX109" s="58">
        <f t="shared" si="177"/>
        <v>103</v>
      </c>
      <c r="DY109" s="53" cm="1">
        <f t="array" ref="DY109">IF(DX109&lt;&gt;"",INDEX(regNatjecatelj_id,DX109,0),IF(BD109&lt;&gt;"",BD109,""))</f>
        <v>1370</v>
      </c>
      <c r="DZ109" s="47" t="s">
        <v>0</v>
      </c>
      <c r="EA109" s="58" t="str">
        <f t="shared" si="135"/>
        <v>imepre</v>
      </c>
      <c r="EB109" s="73" t="str">
        <f t="shared" si="136"/>
        <v>klu(ali)</v>
      </c>
      <c r="EC109" s="73" t="str">
        <f t="shared" si="137"/>
        <v>kat</v>
      </c>
      <c r="ED109" s="73" t="str">
        <f t="shared" si="138"/>
        <v/>
      </c>
      <c r="EE109" s="66" t="str">
        <f t="shared" si="139"/>
        <v>imepre-klu(ali)-kat</v>
      </c>
      <c r="EF109" s="47" t="s">
        <v>0</v>
      </c>
      <c r="EG109" s="58">
        <f>IF(AL109="","",MAX(EG$12:EG108)+1)</f>
        <v>277</v>
      </c>
      <c r="EH109" s="73">
        <f t="shared" si="140"/>
        <v>29</v>
      </c>
      <c r="EI109" s="73">
        <f t="shared" si="178"/>
        <v>1370</v>
      </c>
      <c r="EJ109" s="73">
        <f t="shared" si="141"/>
        <v>3053</v>
      </c>
      <c r="EK109" s="73">
        <f t="shared" si="142"/>
        <v>1</v>
      </c>
      <c r="EL109" s="73">
        <f t="shared" si="179"/>
        <v>1</v>
      </c>
      <c r="EM109" s="73">
        <f t="shared" si="180"/>
        <v>3</v>
      </c>
      <c r="EN109" s="73" t="str">
        <f t="shared" si="143"/>
        <v>0</v>
      </c>
      <c r="EO109" s="73" t="str">
        <f t="shared" si="144"/>
        <v/>
      </c>
      <c r="EP109" s="73">
        <f t="shared" si="145"/>
        <v>1</v>
      </c>
      <c r="EQ109" s="53" t="str">
        <f t="shared" si="146"/>
        <v/>
      </c>
      <c r="ER109" s="47" t="s">
        <v>0</v>
      </c>
      <c r="ES109" s="19" t="str">
        <f t="shared" si="181"/>
        <v>INSERT INTO rezultat(id,stazakategorija_id,imeprezime_id,vrijeme_sec,status_id,registracija,uparivanje_id,originalstatus_id,imeprezimealias_id,klubalias_id,kategorijaalias_id) VALUES (277,29,1370,3053,1,1,3,0,Null,1,Null);</v>
      </c>
      <c r="ET109" s="47" t="s">
        <v>0</v>
      </c>
      <c r="EU109" s="19" t="str">
        <f t="shared" si="182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09" s="47" t="s">
        <v>0</v>
      </c>
      <c r="EW109" s="180" t="str">
        <f t="shared" si="147"/>
        <v xml:space="preserve">
INSERT INTO rezultat(id,stazakategorija_id,imeprezime_id,vrijeme_sec,status_id,registracija,uparivanje_id,originalstatus_id,imeprezimealias_id,klubalias_id,kategorijaalias_id) VALUES (277,29,1370,3053,1,1,3,0,Null,1,Null);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09" s="47" t="s">
        <v>0</v>
      </c>
    </row>
    <row r="110" spans="1:154" x14ac:dyDescent="0.25">
      <c r="A110" t="s">
        <v>0</v>
      </c>
      <c r="B110" s="52" t="str">
        <f>IF(csv!F100="","",csv!T100)</f>
        <v>M35</v>
      </c>
      <c r="C110" s="31" t="s">
        <v>0</v>
      </c>
      <c r="D110" s="31" t="str">
        <f>IF(csv!F100="","",csv!F100)</f>
        <v>Petar</v>
      </c>
      <c r="E110" s="31" t="str">
        <f>IF(csv!E100="","",csv!E100)</f>
        <v>Delić</v>
      </c>
      <c r="F110" s="31" t="s">
        <v>0</v>
      </c>
      <c r="G110" s="73" t="str">
        <f>IF(csv!M100="","",csv!M100)</f>
        <v>57:59</v>
      </c>
      <c r="H110" s="73" t="str">
        <f>IF(csv!N100="","",csv!N100)</f>
        <v>0</v>
      </c>
      <c r="I110" s="31" t="s">
        <v>0</v>
      </c>
      <c r="J110" s="31" t="str">
        <f>IF(csv!P100="","",csv!P100)</f>
        <v>Maksimir</v>
      </c>
      <c r="K110" s="31" t="str">
        <f>IF(csv!Q100="","",csv!Q100)</f>
        <v>OK Maksimir</v>
      </c>
      <c r="L110" s="31" t="s">
        <v>0</v>
      </c>
      <c r="M110" s="66" t="str">
        <f>IF(csv!R100="","",csv!R100)</f>
        <v>CRO</v>
      </c>
      <c r="N110" s="47" t="s">
        <v>0</v>
      </c>
      <c r="O110" s="246" t="str">
        <f t="shared" si="148"/>
        <v>ok</v>
      </c>
      <c r="P110" s="47"/>
      <c r="Q110" s="52" t="str">
        <f t="shared" si="149"/>
        <v>M35</v>
      </c>
      <c r="R110" s="73">
        <f>IF(Q110="","",IF(COUNTIF(Q$12:Q109,Q110)=0,R109+1,R109))</f>
        <v>7</v>
      </c>
      <c r="S110" s="73">
        <f t="shared" si="150"/>
        <v>107</v>
      </c>
      <c r="T110" s="73">
        <f t="shared" si="113"/>
        <v>18</v>
      </c>
      <c r="U110" s="66" t="str">
        <f t="shared" si="114"/>
        <v>M35</v>
      </c>
      <c r="V110" s="47" t="s">
        <v>0</v>
      </c>
      <c r="W110" s="222" t="str">
        <f t="shared" si="115"/>
        <v>M35</v>
      </c>
      <c r="X110" s="223">
        <f t="shared" si="116"/>
        <v>29</v>
      </c>
      <c r="Y110" s="47" t="s">
        <v>0</v>
      </c>
      <c r="Z110" s="52" t="str">
        <f t="shared" si="151"/>
        <v>CRO</v>
      </c>
      <c r="AA110" s="73">
        <f t="shared" si="117"/>
        <v>1</v>
      </c>
      <c r="AB110" s="31" t="str">
        <f t="shared" si="152"/>
        <v/>
      </c>
      <c r="AC110" s="66" t="str">
        <f>IF(AB110="","",MAX(AC$12:AC109)+1)</f>
        <v/>
      </c>
      <c r="AD110" s="47" t="s">
        <v>0</v>
      </c>
      <c r="AE110" s="125"/>
      <c r="AF110" s="47" t="s">
        <v>0</v>
      </c>
      <c r="AG110" s="19" t="str">
        <f t="shared" si="153"/>
        <v/>
      </c>
      <c r="AH110" s="47" t="s">
        <v>0</v>
      </c>
      <c r="AI110" s="143" t="str">
        <f t="shared" si="154"/>
        <v>CRO</v>
      </c>
      <c r="AJ110" s="47"/>
      <c r="AK110" s="52" t="str">
        <f t="shared" si="155"/>
        <v>Petar</v>
      </c>
      <c r="AL110" s="31" t="str">
        <f t="shared" si="156"/>
        <v>Delić</v>
      </c>
      <c r="AM110" s="73">
        <f t="shared" si="157"/>
        <v>1418</v>
      </c>
      <c r="AN110" s="73" t="str">
        <f t="shared" si="158"/>
        <v/>
      </c>
      <c r="AO110" s="31" t="str">
        <f t="shared" si="118"/>
        <v>Petar</v>
      </c>
      <c r="AP110" s="66" t="str">
        <f t="shared" si="119"/>
        <v>Delić</v>
      </c>
      <c r="AQ110" s="47" t="s">
        <v>0</v>
      </c>
      <c r="AR110" s="82" t="str">
        <f t="shared" si="159"/>
        <v/>
      </c>
      <c r="AS110" s="47" t="s">
        <v>0</v>
      </c>
      <c r="AT110" s="19" t="str">
        <f t="shared" si="160"/>
        <v/>
      </c>
      <c r="AU110" s="47" t="s">
        <v>0</v>
      </c>
      <c r="AV110" s="103"/>
      <c r="AW110" s="105"/>
      <c r="AX110" s="47" t="s">
        <v>0</v>
      </c>
      <c r="AY110" s="259" t="str">
        <f t="shared" si="183"/>
        <v/>
      </c>
      <c r="AZ110" s="47" t="s">
        <v>0</v>
      </c>
      <c r="BA110" s="52" t="str">
        <f t="shared" si="120"/>
        <v/>
      </c>
      <c r="BB110" s="73" t="str">
        <f>IF(AV110&amp;AW110="","",MAX(BB$12:BB109)+1)</f>
        <v/>
      </c>
      <c r="BC110" s="272" t="str">
        <f t="shared" si="121"/>
        <v/>
      </c>
      <c r="BD110" s="53" t="str">
        <f>IF(AND(AM110="NEMA",AN110="NEMA",OR(AV110&amp;AW110="",BC110="NEMA")),MAX(BD$12:BD109)+1,"")</f>
        <v/>
      </c>
      <c r="BE110" s="47" t="s">
        <v>0</v>
      </c>
      <c r="BF110" s="52" t="str">
        <f t="shared" si="161"/>
        <v>Petar</v>
      </c>
      <c r="BG110" s="66" t="str">
        <f t="shared" si="162"/>
        <v>Delić</v>
      </c>
      <c r="BH110" s="47" t="s">
        <v>0</v>
      </c>
      <c r="BI110" s="52" t="str">
        <f t="shared" si="122"/>
        <v>Maksimir</v>
      </c>
      <c r="BJ110" s="31" t="str">
        <f t="shared" si="123"/>
        <v>OK Maksimir</v>
      </c>
      <c r="BK110" s="73" t="str">
        <f t="shared" si="124"/>
        <v/>
      </c>
      <c r="BL110" s="31" t="str" cm="1">
        <f t="array" ref="BL110">IF(BK110="",""&amp;BJ110,IF(BK110="NEMA",BJ110,INDEX(regKlub_naziv,MATCH(INDEX(regKlub_alias_klubId,BK110),regKlub_id,0))))</f>
        <v>OK Maksimir</v>
      </c>
      <c r="BM110" s="31" t="str" cm="1">
        <f t="array" ref="BM110">IFERROR(""&amp;INDEX(regNatjecatelj_klub,DV110),"")</f>
        <v>OK Maksimir</v>
      </c>
      <c r="BN110" s="73" t="str">
        <f t="shared" si="163"/>
        <v/>
      </c>
      <c r="BO110" s="66" t="str">
        <f t="shared" si="164"/>
        <v>OK Maksimir</v>
      </c>
      <c r="BP110" s="47" t="s">
        <v>0</v>
      </c>
      <c r="BQ110" s="52" t="str">
        <f>IF(X110&lt;&gt;"NEMA","",IF(IFERROR(MATCH(W110,W$12:W109,0),0)&lt;&gt;0,"",W110))</f>
        <v/>
      </c>
      <c r="BR110" s="73" t="str">
        <f t="shared" si="165"/>
        <v/>
      </c>
      <c r="BS110" s="31" t="str">
        <f>IF(OR(BR110="",BR110&lt;&gt;"NEMA"),"",MAX(BS$12:BS109)+1)</f>
        <v/>
      </c>
      <c r="BT110" s="66" t="str">
        <f t="shared" si="166"/>
        <v/>
      </c>
      <c r="BU110" s="47" t="s">
        <v>0</v>
      </c>
      <c r="BV110" s="19" t="str">
        <f t="shared" si="167"/>
        <v/>
      </c>
      <c r="BW110" s="47" t="s">
        <v>0</v>
      </c>
      <c r="BX110" s="82" t="str">
        <f>IF(BK110&lt;&gt;"NEMA","",IF(IFERROR(MATCH(BJ110,BJ$12:BJ109,0),0)&lt;&gt;0,"",BJ110))</f>
        <v/>
      </c>
      <c r="BY110" s="47" t="s">
        <v>0</v>
      </c>
      <c r="BZ110" s="125"/>
      <c r="CA110" s="47" t="s">
        <v>0</v>
      </c>
      <c r="CB110" s="58" t="str">
        <f t="shared" si="168"/>
        <v/>
      </c>
      <c r="CC110" s="31" t="str">
        <f t="shared" si="169"/>
        <v/>
      </c>
      <c r="CD110" s="31" t="str">
        <f>IF(CC110="","",MAX(CD$12:CD109)+1)</f>
        <v/>
      </c>
      <c r="CE110" s="31" t="str">
        <f t="shared" si="125"/>
        <v/>
      </c>
      <c r="CF110" s="31" t="str">
        <f t="shared" si="170"/>
        <v/>
      </c>
      <c r="CG110" s="31" t="str">
        <f>IF(BZ110="","",MAX(CG$12:CG109)+1)</f>
        <v/>
      </c>
      <c r="CH110" s="31" t="str">
        <f t="shared" si="171"/>
        <v/>
      </c>
      <c r="CI110" s="66" t="str">
        <f t="shared" si="172"/>
        <v/>
      </c>
      <c r="CJ110" s="47" t="s">
        <v>0</v>
      </c>
      <c r="CK110" s="73" t="str">
        <f t="shared" si="126"/>
        <v/>
      </c>
      <c r="CL110" s="47"/>
      <c r="CM110" s="19" t="str">
        <f t="shared" si="173"/>
        <v/>
      </c>
      <c r="CN110" s="47" t="s">
        <v>0</v>
      </c>
      <c r="CO110" s="143" t="str">
        <f t="shared" si="174"/>
        <v>OK Maksimir</v>
      </c>
      <c r="CP110" s="47" t="s">
        <v>0</v>
      </c>
      <c r="CQ110" s="58" t="str">
        <f t="shared" si="190"/>
        <v>57:59</v>
      </c>
      <c r="CR110" s="73" t="str">
        <f t="shared" si="191"/>
        <v>0</v>
      </c>
      <c r="CS110" s="229" t="str">
        <f t="shared" si="127"/>
        <v/>
      </c>
      <c r="CT110" s="230">
        <f t="shared" si="112"/>
        <v>3479</v>
      </c>
      <c r="CU110" s="163">
        <f t="shared" si="128"/>
        <v>1</v>
      </c>
      <c r="CV110" s="47" t="s">
        <v>0</v>
      </c>
      <c r="CW110" s="222" t="str">
        <f t="shared" si="175"/>
        <v xml:space="preserve">
</v>
      </c>
      <c r="CX110" s="223">
        <f t="shared" si="176"/>
        <v>6</v>
      </c>
      <c r="CY110" s="47" t="s">
        <v>0</v>
      </c>
      <c r="CZ110" s="47"/>
      <c r="DA110" s="47"/>
      <c r="DB110" s="47"/>
      <c r="DC110" s="47" t="s">
        <v>0</v>
      </c>
      <c r="DD110" s="53" t="str">
        <f t="shared" si="184"/>
        <v/>
      </c>
      <c r="DE110" t="s">
        <v>0</v>
      </c>
      <c r="DF110" s="128" t="str">
        <f t="shared" si="185"/>
        <v>M</v>
      </c>
      <c r="DG110" t="s">
        <v>0</v>
      </c>
      <c r="DH110" s="52" t="str">
        <f t="shared" si="186"/>
        <v/>
      </c>
      <c r="DI110" s="66" t="str">
        <f t="shared" si="187"/>
        <v/>
      </c>
      <c r="DJ110" t="s">
        <v>0</v>
      </c>
      <c r="DK110" s="19" t="str">
        <f t="shared" si="188"/>
        <v/>
      </c>
      <c r="DL110" s="47" t="s">
        <v>0</v>
      </c>
      <c r="DM110" s="19" t="str">
        <f t="shared" si="189"/>
        <v/>
      </c>
      <c r="DN110" s="47" t="s">
        <v>0</v>
      </c>
      <c r="DO110" s="52" t="str">
        <f t="shared" si="129"/>
        <v>Petar – Delić – OK Maksimir – M35</v>
      </c>
      <c r="DP110" s="53">
        <f t="shared" si="130"/>
        <v>343</v>
      </c>
      <c r="DQ110" s="47" t="s">
        <v>0</v>
      </c>
      <c r="DR110" s="52" t="str">
        <f t="shared" si="131"/>
        <v>Petar – Delić – OK Maksimir</v>
      </c>
      <c r="DS110" s="53">
        <f t="shared" si="132"/>
        <v>343</v>
      </c>
      <c r="DT110" s="47" t="s">
        <v>0</v>
      </c>
      <c r="DU110" s="52" t="str">
        <f t="shared" si="133"/>
        <v>Petar – Delić</v>
      </c>
      <c r="DV110" s="53">
        <f t="shared" si="134"/>
        <v>343</v>
      </c>
      <c r="DW110" s="47" t="s">
        <v>0</v>
      </c>
      <c r="DX110" s="58">
        <f t="shared" si="177"/>
        <v>343</v>
      </c>
      <c r="DY110" s="53" cm="1">
        <f t="array" ref="DY110">IF(DX110&lt;&gt;"",INDEX(regNatjecatelj_id,DX110,0),IF(BD110&lt;&gt;"",BD110,""))</f>
        <v>1418</v>
      </c>
      <c r="DZ110" s="47" t="s">
        <v>0</v>
      </c>
      <c r="EA110" s="58" t="str">
        <f t="shared" si="135"/>
        <v>imepre</v>
      </c>
      <c r="EB110" s="73" t="str">
        <f t="shared" si="136"/>
        <v>klu</v>
      </c>
      <c r="EC110" s="73" t="str">
        <f t="shared" si="137"/>
        <v>kat</v>
      </c>
      <c r="ED110" s="73" t="str">
        <f t="shared" si="138"/>
        <v/>
      </c>
      <c r="EE110" s="66" t="str">
        <f t="shared" si="139"/>
        <v>imepre-klu-kat</v>
      </c>
      <c r="EF110" s="47" t="s">
        <v>0</v>
      </c>
      <c r="EG110" s="58">
        <f>IF(AL110="","",MAX(EG$12:EG109)+1)</f>
        <v>278</v>
      </c>
      <c r="EH110" s="73">
        <f t="shared" si="140"/>
        <v>29</v>
      </c>
      <c r="EI110" s="73">
        <f t="shared" si="178"/>
        <v>1418</v>
      </c>
      <c r="EJ110" s="73">
        <f t="shared" si="141"/>
        <v>3479</v>
      </c>
      <c r="EK110" s="73">
        <f t="shared" si="142"/>
        <v>1</v>
      </c>
      <c r="EL110" s="73">
        <f t="shared" si="179"/>
        <v>1</v>
      </c>
      <c r="EM110" s="73">
        <f t="shared" si="180"/>
        <v>1</v>
      </c>
      <c r="EN110" s="73" t="str">
        <f t="shared" si="143"/>
        <v>0</v>
      </c>
      <c r="EO110" s="73" t="str">
        <f t="shared" si="144"/>
        <v/>
      </c>
      <c r="EP110" s="73" t="str">
        <f t="shared" si="145"/>
        <v/>
      </c>
      <c r="EQ110" s="53" t="str">
        <f t="shared" si="146"/>
        <v/>
      </c>
      <c r="ER110" s="47" t="s">
        <v>0</v>
      </c>
      <c r="ES110" s="19" t="str">
        <f t="shared" si="181"/>
        <v>INSERT INTO rezultat(id,stazakategorija_id,imeprezime_id,vrijeme_sec,status_id,registracija,uparivanje_id,originalstatus_id,imeprezimealias_id,klubalias_id,kategorijaalias_id) VALUES (278,29,1418,3479,1,1,1,0,Null,Null,Null);</v>
      </c>
      <c r="ET110" s="47" t="s">
        <v>0</v>
      </c>
      <c r="EU110" s="19" t="str">
        <f t="shared" si="182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0" s="47" t="s">
        <v>0</v>
      </c>
      <c r="EW110" s="180" t="str">
        <f t="shared" si="147"/>
        <v xml:space="preserve">
INSERT INTO rezultat(id,stazakategorija_id,imeprezime_id,vrijeme_sec,status_id,registracija,uparivanje_id,originalstatus_id,imeprezimealias_id,klubalias_id,kategorijaalias_id) VALUES (278,29,1418,3479,1,1,1,0,Null,Null,Null);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0" s="47" t="s">
        <v>0</v>
      </c>
    </row>
    <row r="111" spans="1:154" x14ac:dyDescent="0.25">
      <c r="A111" t="s">
        <v>0</v>
      </c>
      <c r="B111" s="52" t="str">
        <f>IF(csv!F101="","",csv!T101)</f>
        <v>M35</v>
      </c>
      <c r="C111" s="31" t="s">
        <v>0</v>
      </c>
      <c r="D111" s="31" t="str">
        <f>IF(csv!F101="","",csv!F101)</f>
        <v>Branimir</v>
      </c>
      <c r="E111" s="31" t="str">
        <f>IF(csv!E101="","",csv!E101)</f>
        <v>Pongrac</v>
      </c>
      <c r="F111" s="31" t="s">
        <v>0</v>
      </c>
      <c r="G111" s="73" t="str">
        <f>IF(csv!M101="","",csv!M101)</f>
        <v>59:57</v>
      </c>
      <c r="H111" s="73" t="str">
        <f>IF(csv!N101="","",csv!N101)</f>
        <v>0</v>
      </c>
      <c r="I111" s="31" t="s">
        <v>0</v>
      </c>
      <c r="J111" s="31" t="str">
        <f>IF(csv!P101="","",csv!P101)</f>
        <v>JAP</v>
      </c>
      <c r="K111" s="31" t="str">
        <f>IF(csv!Q101="","",csv!Q101)</f>
        <v>OK Japetic</v>
      </c>
      <c r="L111" s="31" t="s">
        <v>0</v>
      </c>
      <c r="M111" s="66" t="str">
        <f>IF(csv!R101="","",csv!R101)</f>
        <v>CRO</v>
      </c>
      <c r="N111" s="47" t="s">
        <v>0</v>
      </c>
      <c r="O111" s="246" t="str">
        <f t="shared" si="148"/>
        <v>ok</v>
      </c>
      <c r="P111" s="47"/>
      <c r="Q111" s="52" t="str">
        <f t="shared" si="149"/>
        <v>M35</v>
      </c>
      <c r="R111" s="73">
        <f>IF(Q111="","",IF(COUNTIF(Q$12:Q110,Q111)=0,R110+1,R110))</f>
        <v>7</v>
      </c>
      <c r="S111" s="73">
        <f t="shared" si="150"/>
        <v>107</v>
      </c>
      <c r="T111" s="73">
        <f t="shared" si="113"/>
        <v>18</v>
      </c>
      <c r="U111" s="66" t="str">
        <f t="shared" si="114"/>
        <v>M35</v>
      </c>
      <c r="V111" s="47" t="s">
        <v>0</v>
      </c>
      <c r="W111" s="222" t="str">
        <f t="shared" si="115"/>
        <v>M35</v>
      </c>
      <c r="X111" s="223">
        <f t="shared" si="116"/>
        <v>29</v>
      </c>
      <c r="Y111" s="47" t="s">
        <v>0</v>
      </c>
      <c r="Z111" s="52" t="str">
        <f t="shared" si="151"/>
        <v>CRO</v>
      </c>
      <c r="AA111" s="73">
        <f t="shared" si="117"/>
        <v>1</v>
      </c>
      <c r="AB111" s="31" t="str">
        <f t="shared" si="152"/>
        <v/>
      </c>
      <c r="AC111" s="66" t="str">
        <f>IF(AB111="","",MAX(AC$12:AC110)+1)</f>
        <v/>
      </c>
      <c r="AD111" s="47" t="s">
        <v>0</v>
      </c>
      <c r="AE111" s="125"/>
      <c r="AF111" s="47" t="s">
        <v>0</v>
      </c>
      <c r="AG111" s="19" t="str">
        <f t="shared" si="153"/>
        <v/>
      </c>
      <c r="AH111" s="47" t="s">
        <v>0</v>
      </c>
      <c r="AI111" s="143" t="str">
        <f t="shared" si="154"/>
        <v>CRO</v>
      </c>
      <c r="AJ111" s="47"/>
      <c r="AK111" s="52" t="str">
        <f t="shared" si="155"/>
        <v>Branimir</v>
      </c>
      <c r="AL111" s="31" t="str">
        <f t="shared" si="156"/>
        <v>Pongrac</v>
      </c>
      <c r="AM111" s="73">
        <f t="shared" si="157"/>
        <v>1206</v>
      </c>
      <c r="AN111" s="73" t="str">
        <f t="shared" si="158"/>
        <v/>
      </c>
      <c r="AO111" s="31" t="str">
        <f t="shared" si="118"/>
        <v>Branimir</v>
      </c>
      <c r="AP111" s="66" t="str">
        <f t="shared" si="119"/>
        <v>Pongrac</v>
      </c>
      <c r="AQ111" s="47" t="s">
        <v>0</v>
      </c>
      <c r="AR111" s="82" t="str">
        <f t="shared" si="159"/>
        <v/>
      </c>
      <c r="AS111" s="47" t="s">
        <v>0</v>
      </c>
      <c r="AT111" s="19" t="str">
        <f t="shared" si="160"/>
        <v/>
      </c>
      <c r="AU111" s="47" t="s">
        <v>0</v>
      </c>
      <c r="AV111" s="103"/>
      <c r="AW111" s="105"/>
      <c r="AX111" s="47" t="s">
        <v>0</v>
      </c>
      <c r="AY111" s="259" t="str">
        <f t="shared" si="183"/>
        <v/>
      </c>
      <c r="AZ111" s="47" t="s">
        <v>0</v>
      </c>
      <c r="BA111" s="52" t="str">
        <f t="shared" si="120"/>
        <v/>
      </c>
      <c r="BB111" s="73" t="str">
        <f>IF(AV111&amp;AW111="","",MAX(BB$12:BB110)+1)</f>
        <v/>
      </c>
      <c r="BC111" s="272" t="str">
        <f t="shared" si="121"/>
        <v/>
      </c>
      <c r="BD111" s="53" t="str">
        <f>IF(AND(AM111="NEMA",AN111="NEMA",OR(AV111&amp;AW111="",BC111="NEMA")),MAX(BD$12:BD110)+1,"")</f>
        <v/>
      </c>
      <c r="BE111" s="47" t="s">
        <v>0</v>
      </c>
      <c r="BF111" s="52" t="str">
        <f t="shared" si="161"/>
        <v>Branimir</v>
      </c>
      <c r="BG111" s="66" t="str">
        <f t="shared" si="162"/>
        <v>Pongrac</v>
      </c>
      <c r="BH111" s="47" t="s">
        <v>0</v>
      </c>
      <c r="BI111" s="52" t="str">
        <f t="shared" si="122"/>
        <v>JAP</v>
      </c>
      <c r="BJ111" s="31" t="str">
        <f t="shared" si="123"/>
        <v>OK Japetic</v>
      </c>
      <c r="BK111" s="73">
        <f t="shared" si="124"/>
        <v>1</v>
      </c>
      <c r="BL111" s="31" t="str" cm="1">
        <f t="array" ref="BL111">IF(BK111="",""&amp;BJ111,IF(BK111="NEMA",BJ111,INDEX(regKlub_naziv,MATCH(INDEX(regKlub_alias_klubId,BK111),regKlub_id,0))))</f>
        <v>OK Japetić</v>
      </c>
      <c r="BM111" s="31" t="str" cm="1">
        <f t="array" ref="BM111">IFERROR(""&amp;INDEX(regNatjecatelj_klub,DV111),"")</f>
        <v>OK Japetić</v>
      </c>
      <c r="BN111" s="73" t="str">
        <f t="shared" si="163"/>
        <v/>
      </c>
      <c r="BO111" s="66" t="str">
        <f t="shared" si="164"/>
        <v>OK Japetić</v>
      </c>
      <c r="BP111" s="47" t="s">
        <v>0</v>
      </c>
      <c r="BQ111" s="52" t="str">
        <f>IF(X111&lt;&gt;"NEMA","",IF(IFERROR(MATCH(W111,W$12:W110,0),0)&lt;&gt;0,"",W111))</f>
        <v/>
      </c>
      <c r="BR111" s="73" t="str">
        <f t="shared" si="165"/>
        <v/>
      </c>
      <c r="BS111" s="31" t="str">
        <f>IF(OR(BR111="",BR111&lt;&gt;"NEMA"),"",MAX(BS$12:BS110)+1)</f>
        <v/>
      </c>
      <c r="BT111" s="66" t="str">
        <f t="shared" si="166"/>
        <v/>
      </c>
      <c r="BU111" s="47" t="s">
        <v>0</v>
      </c>
      <c r="BV111" s="19" t="str">
        <f t="shared" si="167"/>
        <v/>
      </c>
      <c r="BW111" s="47" t="s">
        <v>0</v>
      </c>
      <c r="BX111" s="82" t="str">
        <f>IF(BK111&lt;&gt;"NEMA","",IF(IFERROR(MATCH(BJ111,BJ$12:BJ110,0),0)&lt;&gt;0,"",BJ111))</f>
        <v/>
      </c>
      <c r="BY111" s="47" t="s">
        <v>0</v>
      </c>
      <c r="BZ111" s="125"/>
      <c r="CA111" s="47" t="s">
        <v>0</v>
      </c>
      <c r="CB111" s="58" t="str">
        <f t="shared" si="168"/>
        <v/>
      </c>
      <c r="CC111" s="31" t="str">
        <f t="shared" si="169"/>
        <v/>
      </c>
      <c r="CD111" s="31" t="str">
        <f>IF(CC111="","",MAX(CD$12:CD110)+1)</f>
        <v/>
      </c>
      <c r="CE111" s="31" t="str">
        <f t="shared" si="125"/>
        <v/>
      </c>
      <c r="CF111" s="31" t="str">
        <f t="shared" si="170"/>
        <v/>
      </c>
      <c r="CG111" s="31" t="str">
        <f>IF(BZ111="","",MAX(CG$12:CG110)+1)</f>
        <v/>
      </c>
      <c r="CH111" s="31" t="str">
        <f t="shared" si="171"/>
        <v/>
      </c>
      <c r="CI111" s="66" t="str">
        <f t="shared" si="172"/>
        <v/>
      </c>
      <c r="CJ111" s="47" t="s">
        <v>0</v>
      </c>
      <c r="CK111" s="73" t="str">
        <f t="shared" si="126"/>
        <v/>
      </c>
      <c r="CL111" s="47"/>
      <c r="CM111" s="19" t="str">
        <f t="shared" si="173"/>
        <v/>
      </c>
      <c r="CN111" s="47" t="s">
        <v>0</v>
      </c>
      <c r="CO111" s="143" t="str">
        <f t="shared" si="174"/>
        <v>OK Japetić</v>
      </c>
      <c r="CP111" s="47" t="s">
        <v>0</v>
      </c>
      <c r="CQ111" s="58" t="str">
        <f t="shared" si="190"/>
        <v>59:57</v>
      </c>
      <c r="CR111" s="73" t="str">
        <f t="shared" si="191"/>
        <v>0</v>
      </c>
      <c r="CS111" s="229" t="str">
        <f t="shared" si="127"/>
        <v/>
      </c>
      <c r="CT111" s="230">
        <f t="shared" si="112"/>
        <v>3597</v>
      </c>
      <c r="CU111" s="163">
        <f t="shared" si="128"/>
        <v>1</v>
      </c>
      <c r="CV111" s="47" t="s">
        <v>0</v>
      </c>
      <c r="CW111" s="222" t="str">
        <f t="shared" si="175"/>
        <v xml:space="preserve">
</v>
      </c>
      <c r="CX111" s="223">
        <f t="shared" si="176"/>
        <v>6</v>
      </c>
      <c r="CY111" s="47" t="s">
        <v>0</v>
      </c>
      <c r="CZ111" s="47"/>
      <c r="DA111" s="47"/>
      <c r="DB111" s="47"/>
      <c r="DC111" s="47" t="s">
        <v>0</v>
      </c>
      <c r="DD111" s="53" t="str">
        <f t="shared" si="184"/>
        <v/>
      </c>
      <c r="DE111" t="s">
        <v>0</v>
      </c>
      <c r="DF111" s="128" t="str">
        <f t="shared" si="185"/>
        <v>M</v>
      </c>
      <c r="DG111" t="s">
        <v>0</v>
      </c>
      <c r="DH111" s="52" t="str">
        <f t="shared" si="186"/>
        <v/>
      </c>
      <c r="DI111" s="66" t="str">
        <f t="shared" si="187"/>
        <v/>
      </c>
      <c r="DJ111" t="s">
        <v>0</v>
      </c>
      <c r="DK111" s="19" t="str">
        <f t="shared" si="188"/>
        <v/>
      </c>
      <c r="DL111" s="47" t="s">
        <v>0</v>
      </c>
      <c r="DM111" s="19" t="str">
        <f t="shared" si="189"/>
        <v/>
      </c>
      <c r="DN111" s="47" t="s">
        <v>0</v>
      </c>
      <c r="DO111" s="52" t="str">
        <f t="shared" si="129"/>
        <v>Branimir – Pongrac – OK Japetić – M35</v>
      </c>
      <c r="DP111" s="53">
        <f t="shared" si="130"/>
        <v>130</v>
      </c>
      <c r="DQ111" s="47" t="s">
        <v>0</v>
      </c>
      <c r="DR111" s="52" t="str">
        <f t="shared" si="131"/>
        <v>Branimir – Pongrac – OK Japetić</v>
      </c>
      <c r="DS111" s="53">
        <f t="shared" si="132"/>
        <v>130</v>
      </c>
      <c r="DT111" s="47" t="s">
        <v>0</v>
      </c>
      <c r="DU111" s="52" t="str">
        <f t="shared" si="133"/>
        <v>Branimir – Pongrac</v>
      </c>
      <c r="DV111" s="53">
        <f t="shared" si="134"/>
        <v>130</v>
      </c>
      <c r="DW111" s="47" t="s">
        <v>0</v>
      </c>
      <c r="DX111" s="58">
        <f t="shared" si="177"/>
        <v>130</v>
      </c>
      <c r="DY111" s="53" cm="1">
        <f t="array" ref="DY111">IF(DX111&lt;&gt;"",INDEX(regNatjecatelj_id,DX111,0),IF(BD111&lt;&gt;"",BD111,""))</f>
        <v>1206</v>
      </c>
      <c r="DZ111" s="47" t="s">
        <v>0</v>
      </c>
      <c r="EA111" s="58" t="str">
        <f t="shared" si="135"/>
        <v>imepre</v>
      </c>
      <c r="EB111" s="73" t="str">
        <f t="shared" si="136"/>
        <v>klu(ali)</v>
      </c>
      <c r="EC111" s="73" t="str">
        <f t="shared" si="137"/>
        <v>kat</v>
      </c>
      <c r="ED111" s="73" t="str">
        <f t="shared" si="138"/>
        <v/>
      </c>
      <c r="EE111" s="66" t="str">
        <f t="shared" si="139"/>
        <v>imepre-klu(ali)-kat</v>
      </c>
      <c r="EF111" s="47" t="s">
        <v>0</v>
      </c>
      <c r="EG111" s="58">
        <f>IF(AL111="","",MAX(EG$12:EG110)+1)</f>
        <v>279</v>
      </c>
      <c r="EH111" s="73">
        <f t="shared" si="140"/>
        <v>29</v>
      </c>
      <c r="EI111" s="73">
        <f t="shared" si="178"/>
        <v>1206</v>
      </c>
      <c r="EJ111" s="73">
        <f t="shared" si="141"/>
        <v>3597</v>
      </c>
      <c r="EK111" s="73">
        <f t="shared" si="142"/>
        <v>1</v>
      </c>
      <c r="EL111" s="73">
        <f t="shared" si="179"/>
        <v>1</v>
      </c>
      <c r="EM111" s="73">
        <f t="shared" si="180"/>
        <v>3</v>
      </c>
      <c r="EN111" s="73" t="str">
        <f t="shared" si="143"/>
        <v>0</v>
      </c>
      <c r="EO111" s="73" t="str">
        <f t="shared" si="144"/>
        <v/>
      </c>
      <c r="EP111" s="73">
        <f t="shared" si="145"/>
        <v>1</v>
      </c>
      <c r="EQ111" s="53" t="str">
        <f t="shared" si="146"/>
        <v/>
      </c>
      <c r="ER111" s="47" t="s">
        <v>0</v>
      </c>
      <c r="ES111" s="19" t="str">
        <f t="shared" si="181"/>
        <v>INSERT INTO rezultat(id,stazakategorija_id,imeprezime_id,vrijeme_sec,status_id,registracija,uparivanje_id,originalstatus_id,imeprezimealias_id,klubalias_id,kategorijaalias_id) VALUES (279,29,1206,3597,1,1,3,0,Null,1,Null);</v>
      </c>
      <c r="ET111" s="47" t="s">
        <v>0</v>
      </c>
      <c r="EU111" s="19" t="str">
        <f t="shared" si="182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1" s="47" t="s">
        <v>0</v>
      </c>
      <c r="EW111" s="180" t="str">
        <f t="shared" si="147"/>
        <v xml:space="preserve">
INSERT INTO rezultat(id,stazakategorija_id,imeprezime_id,vrijeme_sec,status_id,registracija,uparivanje_id,originalstatus_id,imeprezimealias_id,klubalias_id,kategorijaalias_id) VALUES (279,29,1206,3597,1,1,3,0,Null,1,Null);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1" s="47" t="s">
        <v>0</v>
      </c>
    </row>
    <row r="112" spans="1:154" x14ac:dyDescent="0.25">
      <c r="A112" t="s">
        <v>0</v>
      </c>
      <c r="B112" s="52" t="str">
        <f>IF(csv!F102="","",csv!T102)</f>
        <v>M35</v>
      </c>
      <c r="C112" s="31" t="s">
        <v>0</v>
      </c>
      <c r="D112" s="31" t="str">
        <f>IF(csv!F102="","",csv!F102)</f>
        <v>Vedran</v>
      </c>
      <c r="E112" s="31" t="str">
        <f>IF(csv!E102="","",csv!E102)</f>
        <v>Bijelić</v>
      </c>
      <c r="F112" s="31" t="s">
        <v>0</v>
      </c>
      <c r="G112" s="73" t="str">
        <f>IF(csv!M102="","",csv!M102)</f>
        <v>60:35</v>
      </c>
      <c r="H112" s="73" t="str">
        <f>IF(csv!N102="","",csv!N102)</f>
        <v>0</v>
      </c>
      <c r="I112" s="31" t="s">
        <v>0</v>
      </c>
      <c r="J112" s="31" t="str">
        <f>IF(csv!P102="","",csv!P102)</f>
        <v>BJE</v>
      </c>
      <c r="K112" s="31" t="str">
        <f>IF(csv!Q102="","",csv!Q102)</f>
        <v>OK Bjelovar</v>
      </c>
      <c r="L112" s="31" t="s">
        <v>0</v>
      </c>
      <c r="M112" s="66" t="str">
        <f>IF(csv!R102="","",csv!R102)</f>
        <v>CRO</v>
      </c>
      <c r="N112" s="47" t="s">
        <v>0</v>
      </c>
      <c r="O112" s="246" t="str">
        <f t="shared" si="148"/>
        <v>ok</v>
      </c>
      <c r="P112" s="47"/>
      <c r="Q112" s="52" t="str">
        <f t="shared" si="149"/>
        <v>M35</v>
      </c>
      <c r="R112" s="73">
        <f>IF(Q112="","",IF(COUNTIF(Q$12:Q111,Q112)=0,R111+1,R111))</f>
        <v>7</v>
      </c>
      <c r="S112" s="73">
        <f t="shared" si="150"/>
        <v>107</v>
      </c>
      <c r="T112" s="73">
        <f t="shared" si="113"/>
        <v>18</v>
      </c>
      <c r="U112" s="66" t="str">
        <f t="shared" si="114"/>
        <v>M35</v>
      </c>
      <c r="V112" s="47" t="s">
        <v>0</v>
      </c>
      <c r="W112" s="222" t="str">
        <f t="shared" si="115"/>
        <v>M35</v>
      </c>
      <c r="X112" s="223">
        <f t="shared" si="116"/>
        <v>29</v>
      </c>
      <c r="Y112" s="47" t="s">
        <v>0</v>
      </c>
      <c r="Z112" s="52" t="str">
        <f t="shared" si="151"/>
        <v>CRO</v>
      </c>
      <c r="AA112" s="73">
        <f t="shared" si="117"/>
        <v>1</v>
      </c>
      <c r="AB112" s="31" t="str">
        <f t="shared" si="152"/>
        <v/>
      </c>
      <c r="AC112" s="66" t="str">
        <f>IF(AB112="","",MAX(AC$12:AC111)+1)</f>
        <v/>
      </c>
      <c r="AD112" s="47" t="s">
        <v>0</v>
      </c>
      <c r="AE112" s="125"/>
      <c r="AF112" s="47" t="s">
        <v>0</v>
      </c>
      <c r="AG112" s="19" t="str">
        <f t="shared" si="153"/>
        <v/>
      </c>
      <c r="AH112" s="47" t="s">
        <v>0</v>
      </c>
      <c r="AI112" s="143" t="str">
        <f t="shared" si="154"/>
        <v>CRO</v>
      </c>
      <c r="AJ112" s="47"/>
      <c r="AK112" s="52" t="str">
        <f t="shared" si="155"/>
        <v>Vedran</v>
      </c>
      <c r="AL112" s="31" t="str">
        <f t="shared" si="156"/>
        <v>Bijelić</v>
      </c>
      <c r="AM112" s="73">
        <f t="shared" si="157"/>
        <v>1537</v>
      </c>
      <c r="AN112" s="73" t="str">
        <f t="shared" si="158"/>
        <v/>
      </c>
      <c r="AO112" s="31" t="str">
        <f t="shared" si="118"/>
        <v>Vedran</v>
      </c>
      <c r="AP112" s="66" t="str">
        <f t="shared" si="119"/>
        <v>Bijelić</v>
      </c>
      <c r="AQ112" s="47" t="s">
        <v>0</v>
      </c>
      <c r="AR112" s="82" t="str">
        <f t="shared" si="159"/>
        <v/>
      </c>
      <c r="AS112" s="47" t="s">
        <v>0</v>
      </c>
      <c r="AT112" s="19" t="str">
        <f t="shared" si="160"/>
        <v/>
      </c>
      <c r="AU112" s="47" t="s">
        <v>0</v>
      </c>
      <c r="AV112" s="103"/>
      <c r="AW112" s="105"/>
      <c r="AX112" s="47" t="s">
        <v>0</v>
      </c>
      <c r="AY112" s="259" t="str">
        <f t="shared" si="183"/>
        <v/>
      </c>
      <c r="AZ112" s="47" t="s">
        <v>0</v>
      </c>
      <c r="BA112" s="52" t="str">
        <f t="shared" si="120"/>
        <v/>
      </c>
      <c r="BB112" s="73" t="str">
        <f>IF(AV112&amp;AW112="","",MAX(BB$12:BB111)+1)</f>
        <v/>
      </c>
      <c r="BC112" s="272" t="str">
        <f t="shared" si="121"/>
        <v/>
      </c>
      <c r="BD112" s="53" t="str">
        <f>IF(AND(AM112="NEMA",AN112="NEMA",OR(AV112&amp;AW112="",BC112="NEMA")),MAX(BD$12:BD111)+1,"")</f>
        <v/>
      </c>
      <c r="BE112" s="47" t="s">
        <v>0</v>
      </c>
      <c r="BF112" s="52" t="str">
        <f t="shared" si="161"/>
        <v>Vedran</v>
      </c>
      <c r="BG112" s="66" t="str">
        <f t="shared" si="162"/>
        <v>Bijelić</v>
      </c>
      <c r="BH112" s="47" t="s">
        <v>0</v>
      </c>
      <c r="BI112" s="52" t="str">
        <f t="shared" si="122"/>
        <v>BJE</v>
      </c>
      <c r="BJ112" s="31" t="str">
        <f t="shared" si="123"/>
        <v>OK Bjelovar</v>
      </c>
      <c r="BK112" s="73" t="str">
        <f t="shared" si="124"/>
        <v/>
      </c>
      <c r="BL112" s="31" t="str" cm="1">
        <f t="array" ref="BL112">IF(BK112="",""&amp;BJ112,IF(BK112="NEMA",BJ112,INDEX(regKlub_naziv,MATCH(INDEX(regKlub_alias_klubId,BK112),regKlub_id,0))))</f>
        <v>OK Bjelovar</v>
      </c>
      <c r="BM112" s="31" t="str" cm="1">
        <f t="array" ref="BM112">IFERROR(""&amp;INDEX(regNatjecatelj_klub,DV112),"")</f>
        <v>OK Bjelovar</v>
      </c>
      <c r="BN112" s="73" t="str">
        <f t="shared" si="163"/>
        <v/>
      </c>
      <c r="BO112" s="66" t="str">
        <f t="shared" si="164"/>
        <v>OK Bjelovar</v>
      </c>
      <c r="BP112" s="47" t="s">
        <v>0</v>
      </c>
      <c r="BQ112" s="52" t="str">
        <f>IF(X112&lt;&gt;"NEMA","",IF(IFERROR(MATCH(W112,W$12:W111,0),0)&lt;&gt;0,"",W112))</f>
        <v/>
      </c>
      <c r="BR112" s="73" t="str">
        <f t="shared" si="165"/>
        <v/>
      </c>
      <c r="BS112" s="31" t="str">
        <f>IF(OR(BR112="",BR112&lt;&gt;"NEMA"),"",MAX(BS$12:BS111)+1)</f>
        <v/>
      </c>
      <c r="BT112" s="66" t="str">
        <f t="shared" si="166"/>
        <v/>
      </c>
      <c r="BU112" s="47" t="s">
        <v>0</v>
      </c>
      <c r="BV112" s="19" t="str">
        <f t="shared" si="167"/>
        <v/>
      </c>
      <c r="BW112" s="47" t="s">
        <v>0</v>
      </c>
      <c r="BX112" s="82" t="str">
        <f>IF(BK112&lt;&gt;"NEMA","",IF(IFERROR(MATCH(BJ112,BJ$12:BJ111,0),0)&lt;&gt;0,"",BJ112))</f>
        <v/>
      </c>
      <c r="BY112" s="47" t="s">
        <v>0</v>
      </c>
      <c r="BZ112" s="125"/>
      <c r="CA112" s="47" t="s">
        <v>0</v>
      </c>
      <c r="CB112" s="58" t="str">
        <f t="shared" si="168"/>
        <v/>
      </c>
      <c r="CC112" s="31" t="str">
        <f t="shared" si="169"/>
        <v/>
      </c>
      <c r="CD112" s="31" t="str">
        <f>IF(CC112="","",MAX(CD$12:CD111)+1)</f>
        <v/>
      </c>
      <c r="CE112" s="31" t="str">
        <f t="shared" si="125"/>
        <v/>
      </c>
      <c r="CF112" s="31" t="str">
        <f t="shared" si="170"/>
        <v/>
      </c>
      <c r="CG112" s="31" t="str">
        <f>IF(BZ112="","",MAX(CG$12:CG111)+1)</f>
        <v/>
      </c>
      <c r="CH112" s="31" t="str">
        <f t="shared" si="171"/>
        <v/>
      </c>
      <c r="CI112" s="66" t="str">
        <f t="shared" si="172"/>
        <v/>
      </c>
      <c r="CJ112" s="47" t="s">
        <v>0</v>
      </c>
      <c r="CK112" s="73" t="str">
        <f t="shared" si="126"/>
        <v/>
      </c>
      <c r="CL112" s="47"/>
      <c r="CM112" s="19" t="str">
        <f t="shared" si="173"/>
        <v/>
      </c>
      <c r="CN112" s="47" t="s">
        <v>0</v>
      </c>
      <c r="CO112" s="143" t="str">
        <f t="shared" si="174"/>
        <v>OK Bjelovar</v>
      </c>
      <c r="CP112" s="47" t="s">
        <v>0</v>
      </c>
      <c r="CQ112" s="58" t="str">
        <f t="shared" si="190"/>
        <v>60:35</v>
      </c>
      <c r="CR112" s="73" t="str">
        <f t="shared" si="191"/>
        <v>0</v>
      </c>
      <c r="CS112" s="229" t="str">
        <f t="shared" si="127"/>
        <v/>
      </c>
      <c r="CT112" s="230">
        <f t="shared" si="112"/>
        <v>3635</v>
      </c>
      <c r="CU112" s="163">
        <f t="shared" si="128"/>
        <v>1</v>
      </c>
      <c r="CV112" s="47" t="s">
        <v>0</v>
      </c>
      <c r="CW112" s="222" t="str">
        <f t="shared" si="175"/>
        <v xml:space="preserve">
</v>
      </c>
      <c r="CX112" s="223">
        <f t="shared" si="176"/>
        <v>6</v>
      </c>
      <c r="CY112" s="47" t="s">
        <v>0</v>
      </c>
      <c r="CZ112" s="47"/>
      <c r="DA112" s="47"/>
      <c r="DB112" s="47"/>
      <c r="DC112" s="47" t="s">
        <v>0</v>
      </c>
      <c r="DD112" s="53" t="str">
        <f t="shared" si="184"/>
        <v/>
      </c>
      <c r="DE112" t="s">
        <v>0</v>
      </c>
      <c r="DF112" s="128" t="str">
        <f t="shared" si="185"/>
        <v>M</v>
      </c>
      <c r="DG112" t="s">
        <v>0</v>
      </c>
      <c r="DH112" s="52" t="str">
        <f t="shared" si="186"/>
        <v/>
      </c>
      <c r="DI112" s="66" t="str">
        <f t="shared" si="187"/>
        <v/>
      </c>
      <c r="DJ112" t="s">
        <v>0</v>
      </c>
      <c r="DK112" s="19" t="str">
        <f t="shared" si="188"/>
        <v/>
      </c>
      <c r="DL112" s="47" t="s">
        <v>0</v>
      </c>
      <c r="DM112" s="19" t="str">
        <f t="shared" si="189"/>
        <v/>
      </c>
      <c r="DN112" s="47" t="s">
        <v>0</v>
      </c>
      <c r="DO112" s="52" t="str">
        <f t="shared" si="129"/>
        <v>Vedran – Bijelić – OK Bjelovar – M35</v>
      </c>
      <c r="DP112" s="53">
        <f t="shared" si="130"/>
        <v>5</v>
      </c>
      <c r="DQ112" s="47" t="s">
        <v>0</v>
      </c>
      <c r="DR112" s="52" t="str">
        <f t="shared" si="131"/>
        <v>Vedran – Bijelić – OK Bjelovar</v>
      </c>
      <c r="DS112" s="53">
        <f t="shared" si="132"/>
        <v>5</v>
      </c>
      <c r="DT112" s="47" t="s">
        <v>0</v>
      </c>
      <c r="DU112" s="52" t="str">
        <f t="shared" si="133"/>
        <v>Vedran – Bijelić</v>
      </c>
      <c r="DV112" s="53">
        <f t="shared" si="134"/>
        <v>5</v>
      </c>
      <c r="DW112" s="47" t="s">
        <v>0</v>
      </c>
      <c r="DX112" s="58">
        <f t="shared" si="177"/>
        <v>5</v>
      </c>
      <c r="DY112" s="53" cm="1">
        <f t="array" ref="DY112">IF(DX112&lt;&gt;"",INDEX(regNatjecatelj_id,DX112,0),IF(BD112&lt;&gt;"",BD112,""))</f>
        <v>1537</v>
      </c>
      <c r="DZ112" s="47" t="s">
        <v>0</v>
      </c>
      <c r="EA112" s="58" t="str">
        <f t="shared" si="135"/>
        <v>imepre</v>
      </c>
      <c r="EB112" s="73" t="str">
        <f t="shared" si="136"/>
        <v>klu</v>
      </c>
      <c r="EC112" s="73" t="str">
        <f t="shared" si="137"/>
        <v>kat</v>
      </c>
      <c r="ED112" s="73" t="str">
        <f t="shared" si="138"/>
        <v/>
      </c>
      <c r="EE112" s="66" t="str">
        <f t="shared" si="139"/>
        <v>imepre-klu-kat</v>
      </c>
      <c r="EF112" s="47" t="s">
        <v>0</v>
      </c>
      <c r="EG112" s="58">
        <f>IF(AL112="","",MAX(EG$12:EG111)+1)</f>
        <v>280</v>
      </c>
      <c r="EH112" s="73">
        <f t="shared" si="140"/>
        <v>29</v>
      </c>
      <c r="EI112" s="73">
        <f t="shared" si="178"/>
        <v>1537</v>
      </c>
      <c r="EJ112" s="73">
        <f t="shared" si="141"/>
        <v>3635</v>
      </c>
      <c r="EK112" s="73">
        <f t="shared" si="142"/>
        <v>1</v>
      </c>
      <c r="EL112" s="73">
        <f t="shared" si="179"/>
        <v>1</v>
      </c>
      <c r="EM112" s="73">
        <f t="shared" si="180"/>
        <v>1</v>
      </c>
      <c r="EN112" s="73" t="str">
        <f t="shared" si="143"/>
        <v>0</v>
      </c>
      <c r="EO112" s="73" t="str">
        <f t="shared" si="144"/>
        <v/>
      </c>
      <c r="EP112" s="73" t="str">
        <f t="shared" si="145"/>
        <v/>
      </c>
      <c r="EQ112" s="53" t="str">
        <f t="shared" si="146"/>
        <v/>
      </c>
      <c r="ER112" s="47" t="s">
        <v>0</v>
      </c>
      <c r="ES112" s="19" t="str">
        <f t="shared" si="181"/>
        <v>INSERT INTO rezultat(id,stazakategorija_id,imeprezime_id,vrijeme_sec,status_id,registracija,uparivanje_id,originalstatus_id,imeprezimealias_id,klubalias_id,kategorijaalias_id) VALUES (280,29,1537,3635,1,1,1,0,Null,Null,Null);</v>
      </c>
      <c r="ET112" s="47" t="s">
        <v>0</v>
      </c>
      <c r="EU112" s="19" t="str">
        <f t="shared" si="182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2" s="47" t="s">
        <v>0</v>
      </c>
      <c r="EW112" s="180" t="str">
        <f t="shared" si="147"/>
        <v xml:space="preserve">
INSERT INTO rezultat(id,stazakategorija_id,imeprezime_id,vrijeme_sec,status_id,registracija,uparivanje_id,originalstatus_id,imeprezimealias_id,klubalias_id,kategorijaalias_id) VALUES (280,29,1537,3635,1,1,1,0,Null,Null,Null);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2" s="47" t="s">
        <v>0</v>
      </c>
    </row>
    <row r="113" spans="1:154" x14ac:dyDescent="0.25">
      <c r="A113" t="s">
        <v>0</v>
      </c>
      <c r="B113" s="52" t="str">
        <f>IF(csv!F103="","",csv!T103)</f>
        <v>M35</v>
      </c>
      <c r="C113" s="31" t="s">
        <v>0</v>
      </c>
      <c r="D113" s="31" t="str">
        <f>IF(csv!F103="","",csv!F103)</f>
        <v>Franjo</v>
      </c>
      <c r="E113" s="31" t="str">
        <f>IF(csv!E103="","",csv!E103)</f>
        <v>Budi</v>
      </c>
      <c r="F113" s="31" t="s">
        <v>0</v>
      </c>
      <c r="G113" s="73" t="str">
        <f>IF(csv!M103="","",csv!M103)</f>
        <v>61:54</v>
      </c>
      <c r="H113" s="73" t="str">
        <f>IF(csv!N103="","",csv!N103)</f>
        <v>0</v>
      </c>
      <c r="I113" s="31" t="s">
        <v>0</v>
      </c>
      <c r="J113" s="31" t="str">
        <f>IF(csv!P103="","",csv!P103)</f>
        <v>JAP</v>
      </c>
      <c r="K113" s="31" t="str">
        <f>IF(csv!Q103="","",csv!Q103)</f>
        <v>OK Japetic</v>
      </c>
      <c r="L113" s="31" t="s">
        <v>0</v>
      </c>
      <c r="M113" s="66" t="str">
        <f>IF(csv!R103="","",csv!R103)</f>
        <v>CRO</v>
      </c>
      <c r="N113" s="47" t="s">
        <v>0</v>
      </c>
      <c r="O113" s="246" t="str">
        <f t="shared" si="148"/>
        <v>ok</v>
      </c>
      <c r="P113" s="47"/>
      <c r="Q113" s="52" t="str">
        <f t="shared" si="149"/>
        <v>M35</v>
      </c>
      <c r="R113" s="73">
        <f>IF(Q113="","",IF(COUNTIF(Q$12:Q112,Q113)=0,R112+1,R112))</f>
        <v>7</v>
      </c>
      <c r="S113" s="73">
        <f t="shared" si="150"/>
        <v>107</v>
      </c>
      <c r="T113" s="73">
        <f t="shared" si="113"/>
        <v>18</v>
      </c>
      <c r="U113" s="66" t="str">
        <f t="shared" si="114"/>
        <v>M35</v>
      </c>
      <c r="V113" s="47" t="s">
        <v>0</v>
      </c>
      <c r="W113" s="222" t="str">
        <f t="shared" si="115"/>
        <v>M35</v>
      </c>
      <c r="X113" s="223">
        <f t="shared" si="116"/>
        <v>29</v>
      </c>
      <c r="Y113" s="47" t="s">
        <v>0</v>
      </c>
      <c r="Z113" s="52" t="str">
        <f t="shared" si="151"/>
        <v>CRO</v>
      </c>
      <c r="AA113" s="73">
        <f t="shared" si="117"/>
        <v>1</v>
      </c>
      <c r="AB113" s="31" t="str">
        <f t="shared" si="152"/>
        <v/>
      </c>
      <c r="AC113" s="66" t="str">
        <f>IF(AB113="","",MAX(AC$12:AC112)+1)</f>
        <v/>
      </c>
      <c r="AD113" s="47" t="s">
        <v>0</v>
      </c>
      <c r="AE113" s="125"/>
      <c r="AF113" s="47" t="s">
        <v>0</v>
      </c>
      <c r="AG113" s="19" t="str">
        <f t="shared" si="153"/>
        <v/>
      </c>
      <c r="AH113" s="47" t="s">
        <v>0</v>
      </c>
      <c r="AI113" s="143" t="str">
        <f t="shared" si="154"/>
        <v>CRO</v>
      </c>
      <c r="AJ113" s="47"/>
      <c r="AK113" s="52" t="str">
        <f t="shared" si="155"/>
        <v>Franjo</v>
      </c>
      <c r="AL113" s="31" t="str">
        <f t="shared" si="156"/>
        <v>Budi</v>
      </c>
      <c r="AM113" s="73">
        <f t="shared" si="157"/>
        <v>1385</v>
      </c>
      <c r="AN113" s="73" t="str">
        <f t="shared" si="158"/>
        <v/>
      </c>
      <c r="AO113" s="31" t="str">
        <f t="shared" si="118"/>
        <v>Franjo</v>
      </c>
      <c r="AP113" s="66" t="str">
        <f t="shared" si="119"/>
        <v>Budi</v>
      </c>
      <c r="AQ113" s="47" t="s">
        <v>0</v>
      </c>
      <c r="AR113" s="82" t="str">
        <f t="shared" si="159"/>
        <v/>
      </c>
      <c r="AS113" s="47" t="s">
        <v>0</v>
      </c>
      <c r="AT113" s="19" t="str">
        <f t="shared" si="160"/>
        <v/>
      </c>
      <c r="AU113" s="47" t="s">
        <v>0</v>
      </c>
      <c r="AV113" s="103"/>
      <c r="AW113" s="105"/>
      <c r="AX113" s="47" t="s">
        <v>0</v>
      </c>
      <c r="AY113" s="259" t="str">
        <f t="shared" si="183"/>
        <v/>
      </c>
      <c r="AZ113" s="47" t="s">
        <v>0</v>
      </c>
      <c r="BA113" s="52" t="str">
        <f t="shared" si="120"/>
        <v/>
      </c>
      <c r="BB113" s="73" t="str">
        <f>IF(AV113&amp;AW113="","",MAX(BB$12:BB112)+1)</f>
        <v/>
      </c>
      <c r="BC113" s="272" t="str">
        <f t="shared" si="121"/>
        <v/>
      </c>
      <c r="BD113" s="53" t="str">
        <f>IF(AND(AM113="NEMA",AN113="NEMA",OR(AV113&amp;AW113="",BC113="NEMA")),MAX(BD$12:BD112)+1,"")</f>
        <v/>
      </c>
      <c r="BE113" s="47" t="s">
        <v>0</v>
      </c>
      <c r="BF113" s="52" t="str">
        <f t="shared" si="161"/>
        <v>Franjo</v>
      </c>
      <c r="BG113" s="66" t="str">
        <f t="shared" si="162"/>
        <v>Budi</v>
      </c>
      <c r="BH113" s="47" t="s">
        <v>0</v>
      </c>
      <c r="BI113" s="52" t="str">
        <f t="shared" si="122"/>
        <v>JAP</v>
      </c>
      <c r="BJ113" s="31" t="str">
        <f t="shared" si="123"/>
        <v>OK Japetic</v>
      </c>
      <c r="BK113" s="73">
        <f t="shared" si="124"/>
        <v>1</v>
      </c>
      <c r="BL113" s="31" t="str" cm="1">
        <f t="array" ref="BL113">IF(BK113="",""&amp;BJ113,IF(BK113="NEMA",BJ113,INDEX(regKlub_naziv,MATCH(INDEX(regKlub_alias_klubId,BK113),regKlub_id,0))))</f>
        <v>OK Japetić</v>
      </c>
      <c r="BM113" s="31" t="str" cm="1">
        <f t="array" ref="BM113">IFERROR(""&amp;INDEX(regNatjecatelj_klub,DV113),"")</f>
        <v>OK Japetić</v>
      </c>
      <c r="BN113" s="73" t="str">
        <f t="shared" si="163"/>
        <v/>
      </c>
      <c r="BO113" s="66" t="str">
        <f t="shared" si="164"/>
        <v>OK Japetić</v>
      </c>
      <c r="BP113" s="47" t="s">
        <v>0</v>
      </c>
      <c r="BQ113" s="52" t="str">
        <f>IF(X113&lt;&gt;"NEMA","",IF(IFERROR(MATCH(W113,W$12:W112,0),0)&lt;&gt;0,"",W113))</f>
        <v/>
      </c>
      <c r="BR113" s="73" t="str">
        <f t="shared" si="165"/>
        <v/>
      </c>
      <c r="BS113" s="31" t="str">
        <f>IF(OR(BR113="",BR113&lt;&gt;"NEMA"),"",MAX(BS$12:BS112)+1)</f>
        <v/>
      </c>
      <c r="BT113" s="66" t="str">
        <f t="shared" si="166"/>
        <v/>
      </c>
      <c r="BU113" s="47" t="s">
        <v>0</v>
      </c>
      <c r="BV113" s="19" t="str">
        <f t="shared" si="167"/>
        <v/>
      </c>
      <c r="BW113" s="47" t="s">
        <v>0</v>
      </c>
      <c r="BX113" s="82" t="str">
        <f>IF(BK113&lt;&gt;"NEMA","",IF(IFERROR(MATCH(BJ113,BJ$12:BJ112,0),0)&lt;&gt;0,"",BJ113))</f>
        <v/>
      </c>
      <c r="BY113" s="47" t="s">
        <v>0</v>
      </c>
      <c r="BZ113" s="125"/>
      <c r="CA113" s="47" t="s">
        <v>0</v>
      </c>
      <c r="CB113" s="58" t="str">
        <f t="shared" si="168"/>
        <v/>
      </c>
      <c r="CC113" s="31" t="str">
        <f t="shared" si="169"/>
        <v/>
      </c>
      <c r="CD113" s="31" t="str">
        <f>IF(CC113="","",MAX(CD$12:CD112)+1)</f>
        <v/>
      </c>
      <c r="CE113" s="31" t="str">
        <f t="shared" si="125"/>
        <v/>
      </c>
      <c r="CF113" s="31" t="str">
        <f t="shared" si="170"/>
        <v/>
      </c>
      <c r="CG113" s="31" t="str">
        <f>IF(BZ113="","",MAX(CG$12:CG112)+1)</f>
        <v/>
      </c>
      <c r="CH113" s="31" t="str">
        <f t="shared" si="171"/>
        <v/>
      </c>
      <c r="CI113" s="66" t="str">
        <f t="shared" si="172"/>
        <v/>
      </c>
      <c r="CJ113" s="47" t="s">
        <v>0</v>
      </c>
      <c r="CK113" s="73" t="str">
        <f t="shared" si="126"/>
        <v/>
      </c>
      <c r="CL113" s="47"/>
      <c r="CM113" s="19" t="str">
        <f t="shared" si="173"/>
        <v/>
      </c>
      <c r="CN113" s="47" t="s">
        <v>0</v>
      </c>
      <c r="CO113" s="143" t="str">
        <f t="shared" si="174"/>
        <v>OK Japetić</v>
      </c>
      <c r="CP113" s="47" t="s">
        <v>0</v>
      </c>
      <c r="CQ113" s="58" t="str">
        <f t="shared" si="190"/>
        <v>61:54</v>
      </c>
      <c r="CR113" s="73" t="str">
        <f t="shared" si="191"/>
        <v>0</v>
      </c>
      <c r="CS113" s="229" t="str">
        <f t="shared" si="127"/>
        <v/>
      </c>
      <c r="CT113" s="230">
        <f t="shared" si="112"/>
        <v>3714</v>
      </c>
      <c r="CU113" s="163">
        <f t="shared" si="128"/>
        <v>1</v>
      </c>
      <c r="CV113" s="47" t="s">
        <v>0</v>
      </c>
      <c r="CW113" s="222" t="str">
        <f t="shared" si="175"/>
        <v xml:space="preserve">
</v>
      </c>
      <c r="CX113" s="223">
        <f t="shared" si="176"/>
        <v>6</v>
      </c>
      <c r="CY113" s="47" t="s">
        <v>0</v>
      </c>
      <c r="CZ113" s="47"/>
      <c r="DA113" s="47"/>
      <c r="DB113" s="47"/>
      <c r="DC113" s="47" t="s">
        <v>0</v>
      </c>
      <c r="DD113" s="53" t="str">
        <f t="shared" si="184"/>
        <v/>
      </c>
      <c r="DE113" t="s">
        <v>0</v>
      </c>
      <c r="DF113" s="128" t="str">
        <f t="shared" si="185"/>
        <v>M</v>
      </c>
      <c r="DG113" t="s">
        <v>0</v>
      </c>
      <c r="DH113" s="52" t="str">
        <f t="shared" si="186"/>
        <v/>
      </c>
      <c r="DI113" s="66" t="str">
        <f t="shared" si="187"/>
        <v/>
      </c>
      <c r="DJ113" t="s">
        <v>0</v>
      </c>
      <c r="DK113" s="19" t="str">
        <f t="shared" si="188"/>
        <v/>
      </c>
      <c r="DL113" s="47" t="s">
        <v>0</v>
      </c>
      <c r="DM113" s="19" t="str">
        <f t="shared" si="189"/>
        <v/>
      </c>
      <c r="DN113" s="47" t="s">
        <v>0</v>
      </c>
      <c r="DO113" s="52" t="str">
        <f t="shared" si="129"/>
        <v>Franjo – Budi – OK Japetić – M35</v>
      </c>
      <c r="DP113" s="53">
        <f t="shared" si="130"/>
        <v>78</v>
      </c>
      <c r="DQ113" s="47" t="s">
        <v>0</v>
      </c>
      <c r="DR113" s="52" t="str">
        <f t="shared" si="131"/>
        <v>Franjo – Budi – OK Japetić</v>
      </c>
      <c r="DS113" s="53">
        <f t="shared" si="132"/>
        <v>78</v>
      </c>
      <c r="DT113" s="47" t="s">
        <v>0</v>
      </c>
      <c r="DU113" s="52" t="str">
        <f t="shared" si="133"/>
        <v>Franjo – Budi</v>
      </c>
      <c r="DV113" s="53">
        <f t="shared" si="134"/>
        <v>78</v>
      </c>
      <c r="DW113" s="47" t="s">
        <v>0</v>
      </c>
      <c r="DX113" s="58">
        <f t="shared" si="177"/>
        <v>78</v>
      </c>
      <c r="DY113" s="53" cm="1">
        <f t="array" ref="DY113">IF(DX113&lt;&gt;"",INDEX(regNatjecatelj_id,DX113,0),IF(BD113&lt;&gt;"",BD113,""))</f>
        <v>1385</v>
      </c>
      <c r="DZ113" s="47" t="s">
        <v>0</v>
      </c>
      <c r="EA113" s="58" t="str">
        <f t="shared" si="135"/>
        <v>imepre</v>
      </c>
      <c r="EB113" s="73" t="str">
        <f t="shared" si="136"/>
        <v>klu(ali)</v>
      </c>
      <c r="EC113" s="73" t="str">
        <f t="shared" si="137"/>
        <v>kat</v>
      </c>
      <c r="ED113" s="73" t="str">
        <f t="shared" si="138"/>
        <v/>
      </c>
      <c r="EE113" s="66" t="str">
        <f t="shared" si="139"/>
        <v>imepre-klu(ali)-kat</v>
      </c>
      <c r="EF113" s="47" t="s">
        <v>0</v>
      </c>
      <c r="EG113" s="58">
        <f>IF(AL113="","",MAX(EG$12:EG112)+1)</f>
        <v>281</v>
      </c>
      <c r="EH113" s="73">
        <f t="shared" si="140"/>
        <v>29</v>
      </c>
      <c r="EI113" s="73">
        <f t="shared" si="178"/>
        <v>1385</v>
      </c>
      <c r="EJ113" s="73">
        <f t="shared" si="141"/>
        <v>3714</v>
      </c>
      <c r="EK113" s="73">
        <f t="shared" si="142"/>
        <v>1</v>
      </c>
      <c r="EL113" s="73">
        <f t="shared" si="179"/>
        <v>1</v>
      </c>
      <c r="EM113" s="73">
        <f t="shared" si="180"/>
        <v>3</v>
      </c>
      <c r="EN113" s="73" t="str">
        <f t="shared" si="143"/>
        <v>0</v>
      </c>
      <c r="EO113" s="73" t="str">
        <f t="shared" si="144"/>
        <v/>
      </c>
      <c r="EP113" s="73">
        <f t="shared" si="145"/>
        <v>1</v>
      </c>
      <c r="EQ113" s="53" t="str">
        <f t="shared" si="146"/>
        <v/>
      </c>
      <c r="ER113" s="47" t="s">
        <v>0</v>
      </c>
      <c r="ES113" s="19" t="str">
        <f t="shared" si="181"/>
        <v>INSERT INTO rezultat(id,stazakategorija_id,imeprezime_id,vrijeme_sec,status_id,registracija,uparivanje_id,originalstatus_id,imeprezimealias_id,klubalias_id,kategorijaalias_id) VALUES (281,29,1385,3714,1,1,3,0,Null,1,Null);</v>
      </c>
      <c r="ET113" s="47" t="s">
        <v>0</v>
      </c>
      <c r="EU113" s="19" t="str">
        <f t="shared" si="182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3" s="47" t="s">
        <v>0</v>
      </c>
      <c r="EW113" s="180" t="str">
        <f t="shared" si="147"/>
        <v xml:space="preserve">
INSERT INTO rezultat(id,stazakategorija_id,imeprezime_id,vrijeme_sec,status_id,registracija,uparivanje_id,originalstatus_id,imeprezimealias_id,klubalias_id,kategorijaalias_id) VALUES (281,29,1385,3714,1,1,3,0,Null,1,Null);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3" s="47" t="s">
        <v>0</v>
      </c>
    </row>
    <row r="114" spans="1:154" x14ac:dyDescent="0.25">
      <c r="A114" t="s">
        <v>0</v>
      </c>
      <c r="B114" s="52" t="str">
        <f>IF(csv!F104="","",csv!T104)</f>
        <v>M35</v>
      </c>
      <c r="C114" s="31" t="s">
        <v>0</v>
      </c>
      <c r="D114" s="31" t="str">
        <f>IF(csv!F104="","",csv!F104)</f>
        <v>Krunoslav</v>
      </c>
      <c r="E114" s="31" t="str">
        <f>IF(csv!E104="","",csv!E104)</f>
        <v>Canjuga</v>
      </c>
      <c r="F114" s="31" t="s">
        <v>0</v>
      </c>
      <c r="G114" s="73" t="str">
        <f>IF(csv!M104="","",csv!M104)</f>
        <v>66:09</v>
      </c>
      <c r="H114" s="73" t="str">
        <f>IF(csv!N104="","",csv!N104)</f>
        <v>0</v>
      </c>
      <c r="I114" s="31" t="s">
        <v>0</v>
      </c>
      <c r="J114" s="31" t="str">
        <f>IF(csv!P104="","",csv!P104)</f>
        <v>OK Varaždin</v>
      </c>
      <c r="K114" s="31" t="str">
        <f>IF(csv!Q104="","",csv!Q104)</f>
        <v>OK Varaždin</v>
      </c>
      <c r="L114" s="31" t="s">
        <v>0</v>
      </c>
      <c r="M114" s="66" t="str">
        <f>IF(csv!R104="","",csv!R104)</f>
        <v>CRO</v>
      </c>
      <c r="N114" s="47" t="s">
        <v>0</v>
      </c>
      <c r="O114" s="246" t="str">
        <f t="shared" si="148"/>
        <v>ok</v>
      </c>
      <c r="P114" s="47"/>
      <c r="Q114" s="52" t="str">
        <f t="shared" si="149"/>
        <v>M35</v>
      </c>
      <c r="R114" s="73">
        <f>IF(Q114="","",IF(COUNTIF(Q$12:Q113,Q114)=0,R113+1,R113))</f>
        <v>7</v>
      </c>
      <c r="S114" s="73">
        <f t="shared" si="150"/>
        <v>107</v>
      </c>
      <c r="T114" s="73">
        <f t="shared" si="113"/>
        <v>18</v>
      </c>
      <c r="U114" s="66" t="str">
        <f t="shared" si="114"/>
        <v>M35</v>
      </c>
      <c r="V114" s="47" t="s">
        <v>0</v>
      </c>
      <c r="W114" s="222" t="str">
        <f t="shared" si="115"/>
        <v>M35</v>
      </c>
      <c r="X114" s="223">
        <f t="shared" si="116"/>
        <v>29</v>
      </c>
      <c r="Y114" s="47" t="s">
        <v>0</v>
      </c>
      <c r="Z114" s="52" t="str">
        <f t="shared" si="151"/>
        <v>CRO</v>
      </c>
      <c r="AA114" s="73">
        <f t="shared" si="117"/>
        <v>1</v>
      </c>
      <c r="AB114" s="31" t="str">
        <f t="shared" si="152"/>
        <v/>
      </c>
      <c r="AC114" s="66" t="str">
        <f>IF(AB114="","",MAX(AC$12:AC113)+1)</f>
        <v/>
      </c>
      <c r="AD114" s="47" t="s">
        <v>0</v>
      </c>
      <c r="AE114" s="125"/>
      <c r="AF114" s="47" t="s">
        <v>0</v>
      </c>
      <c r="AG114" s="19" t="str">
        <f t="shared" si="153"/>
        <v/>
      </c>
      <c r="AH114" s="47" t="s">
        <v>0</v>
      </c>
      <c r="AI114" s="143" t="str">
        <f t="shared" si="154"/>
        <v>CRO</v>
      </c>
      <c r="AJ114" s="47"/>
      <c r="AK114" s="52" t="str">
        <f t="shared" si="155"/>
        <v>Krunoslav</v>
      </c>
      <c r="AL114" s="31" t="str">
        <f t="shared" si="156"/>
        <v>Canjuga</v>
      </c>
      <c r="AM114" s="73">
        <f t="shared" si="157"/>
        <v>1099</v>
      </c>
      <c r="AN114" s="73" t="str">
        <f t="shared" si="158"/>
        <v/>
      </c>
      <c r="AO114" s="31" t="str">
        <f t="shared" si="118"/>
        <v>Krunoslav</v>
      </c>
      <c r="AP114" s="66" t="str">
        <f t="shared" si="119"/>
        <v>Canjuga</v>
      </c>
      <c r="AQ114" s="47" t="s">
        <v>0</v>
      </c>
      <c r="AR114" s="82" t="str">
        <f t="shared" si="159"/>
        <v/>
      </c>
      <c r="AS114" s="47" t="s">
        <v>0</v>
      </c>
      <c r="AT114" s="19" t="str">
        <f t="shared" si="160"/>
        <v/>
      </c>
      <c r="AU114" s="47" t="s">
        <v>0</v>
      </c>
      <c r="AV114" s="103"/>
      <c r="AW114" s="105"/>
      <c r="AX114" s="47" t="s">
        <v>0</v>
      </c>
      <c r="AY114" s="259" t="str">
        <f t="shared" si="183"/>
        <v/>
      </c>
      <c r="AZ114" s="47" t="s">
        <v>0</v>
      </c>
      <c r="BA114" s="52" t="str">
        <f t="shared" si="120"/>
        <v/>
      </c>
      <c r="BB114" s="73" t="str">
        <f>IF(AV114&amp;AW114="","",MAX(BB$12:BB113)+1)</f>
        <v/>
      </c>
      <c r="BC114" s="272" t="str">
        <f t="shared" si="121"/>
        <v/>
      </c>
      <c r="BD114" s="53" t="str">
        <f>IF(AND(AM114="NEMA",AN114="NEMA",OR(AV114&amp;AW114="",BC114="NEMA")),MAX(BD$12:BD113)+1,"")</f>
        <v/>
      </c>
      <c r="BE114" s="47" t="s">
        <v>0</v>
      </c>
      <c r="BF114" s="52" t="str">
        <f t="shared" si="161"/>
        <v>Krunoslav</v>
      </c>
      <c r="BG114" s="66" t="str">
        <f t="shared" si="162"/>
        <v>Canjuga</v>
      </c>
      <c r="BH114" s="47" t="s">
        <v>0</v>
      </c>
      <c r="BI114" s="52" t="str">
        <f t="shared" si="122"/>
        <v>OK Varaždin</v>
      </c>
      <c r="BJ114" s="31" t="str">
        <f t="shared" si="123"/>
        <v>OK Varaždin</v>
      </c>
      <c r="BK114" s="73" t="str">
        <f t="shared" si="124"/>
        <v/>
      </c>
      <c r="BL114" s="31" t="str" cm="1">
        <f t="array" ref="BL114">IF(BK114="",""&amp;BJ114,IF(BK114="NEMA",BJ114,INDEX(regKlub_naziv,MATCH(INDEX(regKlub_alias_klubId,BK114),regKlub_id,0))))</f>
        <v>OK Varaždin</v>
      </c>
      <c r="BM114" s="31" t="str" cm="1">
        <f t="array" ref="BM114">IFERROR(""&amp;INDEX(regNatjecatelj_klub,DV114),"")</f>
        <v>OK Varaždin</v>
      </c>
      <c r="BN114" s="73" t="str">
        <f t="shared" si="163"/>
        <v/>
      </c>
      <c r="BO114" s="66" t="str">
        <f t="shared" si="164"/>
        <v>OK Varaždin</v>
      </c>
      <c r="BP114" s="47" t="s">
        <v>0</v>
      </c>
      <c r="BQ114" s="52" t="str">
        <f>IF(X114&lt;&gt;"NEMA","",IF(IFERROR(MATCH(W114,W$12:W113,0),0)&lt;&gt;0,"",W114))</f>
        <v/>
      </c>
      <c r="BR114" s="73" t="str">
        <f t="shared" si="165"/>
        <v/>
      </c>
      <c r="BS114" s="31" t="str">
        <f>IF(OR(BR114="",BR114&lt;&gt;"NEMA"),"",MAX(BS$12:BS113)+1)</f>
        <v/>
      </c>
      <c r="BT114" s="66" t="str">
        <f t="shared" si="166"/>
        <v/>
      </c>
      <c r="BU114" s="47" t="s">
        <v>0</v>
      </c>
      <c r="BV114" s="19" t="str">
        <f t="shared" si="167"/>
        <v/>
      </c>
      <c r="BW114" s="47" t="s">
        <v>0</v>
      </c>
      <c r="BX114" s="82" t="str">
        <f>IF(BK114&lt;&gt;"NEMA","",IF(IFERROR(MATCH(BJ114,BJ$12:BJ113,0),0)&lt;&gt;0,"",BJ114))</f>
        <v/>
      </c>
      <c r="BY114" s="47" t="s">
        <v>0</v>
      </c>
      <c r="BZ114" s="125"/>
      <c r="CA114" s="47" t="s">
        <v>0</v>
      </c>
      <c r="CB114" s="58" t="str">
        <f t="shared" si="168"/>
        <v/>
      </c>
      <c r="CC114" s="31" t="str">
        <f t="shared" si="169"/>
        <v/>
      </c>
      <c r="CD114" s="31" t="str">
        <f>IF(CC114="","",MAX(CD$12:CD113)+1)</f>
        <v/>
      </c>
      <c r="CE114" s="31" t="str">
        <f t="shared" si="125"/>
        <v/>
      </c>
      <c r="CF114" s="31" t="str">
        <f t="shared" si="170"/>
        <v/>
      </c>
      <c r="CG114" s="31" t="str">
        <f>IF(BZ114="","",MAX(CG$12:CG113)+1)</f>
        <v/>
      </c>
      <c r="CH114" s="31" t="str">
        <f t="shared" si="171"/>
        <v/>
      </c>
      <c r="CI114" s="66" t="str">
        <f t="shared" si="172"/>
        <v/>
      </c>
      <c r="CJ114" s="47" t="s">
        <v>0</v>
      </c>
      <c r="CK114" s="73" t="str">
        <f t="shared" si="126"/>
        <v/>
      </c>
      <c r="CL114" s="47"/>
      <c r="CM114" s="19" t="str">
        <f t="shared" si="173"/>
        <v/>
      </c>
      <c r="CN114" s="47" t="s">
        <v>0</v>
      </c>
      <c r="CO114" s="143" t="str">
        <f t="shared" si="174"/>
        <v>OK Varaždin</v>
      </c>
      <c r="CP114" s="47" t="s">
        <v>0</v>
      </c>
      <c r="CQ114" s="58" t="str">
        <f t="shared" si="190"/>
        <v>66:09</v>
      </c>
      <c r="CR114" s="73" t="str">
        <f t="shared" si="191"/>
        <v>0</v>
      </c>
      <c r="CS114" s="229" t="str">
        <f t="shared" si="127"/>
        <v/>
      </c>
      <c r="CT114" s="230">
        <f t="shared" si="112"/>
        <v>3969</v>
      </c>
      <c r="CU114" s="163">
        <f t="shared" si="128"/>
        <v>1</v>
      </c>
      <c r="CV114" s="47" t="s">
        <v>0</v>
      </c>
      <c r="CW114" s="222" t="str">
        <f t="shared" si="175"/>
        <v xml:space="preserve">
</v>
      </c>
      <c r="CX114" s="223">
        <f t="shared" si="176"/>
        <v>6</v>
      </c>
      <c r="CY114" s="47" t="s">
        <v>0</v>
      </c>
      <c r="CZ114" s="47"/>
      <c r="DA114" s="47"/>
      <c r="DB114" s="47"/>
      <c r="DC114" s="47" t="s">
        <v>0</v>
      </c>
      <c r="DD114" s="53" t="str">
        <f t="shared" si="184"/>
        <v/>
      </c>
      <c r="DE114" t="s">
        <v>0</v>
      </c>
      <c r="DF114" s="128" t="str">
        <f t="shared" si="185"/>
        <v>M</v>
      </c>
      <c r="DG114" t="s">
        <v>0</v>
      </c>
      <c r="DH114" s="52" t="str">
        <f t="shared" si="186"/>
        <v/>
      </c>
      <c r="DI114" s="66" t="str">
        <f t="shared" si="187"/>
        <v/>
      </c>
      <c r="DJ114" t="s">
        <v>0</v>
      </c>
      <c r="DK114" s="19" t="str">
        <f t="shared" si="188"/>
        <v/>
      </c>
      <c r="DL114" s="47" t="s">
        <v>0</v>
      </c>
      <c r="DM114" s="19" t="str">
        <f t="shared" si="189"/>
        <v/>
      </c>
      <c r="DN114" s="47" t="s">
        <v>0</v>
      </c>
      <c r="DO114" s="52" t="str">
        <f t="shared" si="129"/>
        <v>Krunoslav – Canjuga – OK Varaždin – M35</v>
      </c>
      <c r="DP114" s="53">
        <f t="shared" si="130"/>
        <v>523</v>
      </c>
      <c r="DQ114" s="47" t="s">
        <v>0</v>
      </c>
      <c r="DR114" s="52" t="str">
        <f t="shared" si="131"/>
        <v>Krunoslav – Canjuga – OK Varaždin</v>
      </c>
      <c r="DS114" s="53">
        <f t="shared" si="132"/>
        <v>523</v>
      </c>
      <c r="DT114" s="47" t="s">
        <v>0</v>
      </c>
      <c r="DU114" s="52" t="str">
        <f t="shared" si="133"/>
        <v>Krunoslav – Canjuga</v>
      </c>
      <c r="DV114" s="53">
        <f t="shared" si="134"/>
        <v>523</v>
      </c>
      <c r="DW114" s="47" t="s">
        <v>0</v>
      </c>
      <c r="DX114" s="58">
        <f t="shared" si="177"/>
        <v>523</v>
      </c>
      <c r="DY114" s="53" cm="1">
        <f t="array" ref="DY114">IF(DX114&lt;&gt;"",INDEX(regNatjecatelj_id,DX114,0),IF(BD114&lt;&gt;"",BD114,""))</f>
        <v>1099</v>
      </c>
      <c r="DZ114" s="47" t="s">
        <v>0</v>
      </c>
      <c r="EA114" s="58" t="str">
        <f t="shared" si="135"/>
        <v>imepre</v>
      </c>
      <c r="EB114" s="73" t="str">
        <f t="shared" si="136"/>
        <v>klu</v>
      </c>
      <c r="EC114" s="73" t="str">
        <f t="shared" si="137"/>
        <v>kat</v>
      </c>
      <c r="ED114" s="73" t="str">
        <f t="shared" si="138"/>
        <v/>
      </c>
      <c r="EE114" s="66" t="str">
        <f t="shared" si="139"/>
        <v>imepre-klu-kat</v>
      </c>
      <c r="EF114" s="47" t="s">
        <v>0</v>
      </c>
      <c r="EG114" s="58">
        <f>IF(AL114="","",MAX(EG$12:EG113)+1)</f>
        <v>282</v>
      </c>
      <c r="EH114" s="73">
        <f t="shared" si="140"/>
        <v>29</v>
      </c>
      <c r="EI114" s="73">
        <f t="shared" si="178"/>
        <v>1099</v>
      </c>
      <c r="EJ114" s="73">
        <f t="shared" si="141"/>
        <v>3969</v>
      </c>
      <c r="EK114" s="73">
        <f t="shared" si="142"/>
        <v>1</v>
      </c>
      <c r="EL114" s="73">
        <f t="shared" si="179"/>
        <v>1</v>
      </c>
      <c r="EM114" s="73">
        <f t="shared" si="180"/>
        <v>1</v>
      </c>
      <c r="EN114" s="73" t="str">
        <f t="shared" si="143"/>
        <v>0</v>
      </c>
      <c r="EO114" s="73" t="str">
        <f t="shared" si="144"/>
        <v/>
      </c>
      <c r="EP114" s="73" t="str">
        <f t="shared" si="145"/>
        <v/>
      </c>
      <c r="EQ114" s="53" t="str">
        <f t="shared" si="146"/>
        <v/>
      </c>
      <c r="ER114" s="47" t="s">
        <v>0</v>
      </c>
      <c r="ES114" s="19" t="str">
        <f t="shared" si="181"/>
        <v>INSERT INTO rezultat(id,stazakategorija_id,imeprezime_id,vrijeme_sec,status_id,registracija,uparivanje_id,originalstatus_id,imeprezimealias_id,klubalias_id,kategorijaalias_id) VALUES (282,29,1099,3969,1,1,1,0,Null,Null,Null);</v>
      </c>
      <c r="ET114" s="47" t="s">
        <v>0</v>
      </c>
      <c r="EU114" s="19" t="str">
        <f t="shared" si="182"/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4" s="47" t="s">
        <v>0</v>
      </c>
      <c r="EW114" s="180" t="str">
        <f t="shared" si="147"/>
        <v xml:space="preserve">
INSERT INTO rezultat(id,stazakategorija_id,imeprezime_id,vrijeme_sec,status_id,registracija,uparivanje_id,originalstatus_id,imeprezimealias_id,klubalias_id,kategorijaalias_id) VALUES (282,29,1099,3969,1,1,1,0,Null,Null,Null);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4" s="47" t="s">
        <v>0</v>
      </c>
    </row>
    <row r="115" spans="1:154" x14ac:dyDescent="0.25">
      <c r="A115" t="s">
        <v>0</v>
      </c>
      <c r="B115" s="52" t="str">
        <f>IF(csv!F105="","",csv!T105)</f>
        <v>M35</v>
      </c>
      <c r="C115" s="31" t="s">
        <v>0</v>
      </c>
      <c r="D115" s="31" t="str">
        <f>IF(csv!F105="","",csv!F105)</f>
        <v>Ivan</v>
      </c>
      <c r="E115" s="31" t="str">
        <f>IF(csv!E105="","",csv!E105)</f>
        <v>Bublić</v>
      </c>
      <c r="F115" s="31" t="s">
        <v>0</v>
      </c>
      <c r="G115" s="73" t="str">
        <f>IF(csv!M105="","",csv!M105)</f>
        <v>69:07</v>
      </c>
      <c r="H115" s="73" t="str">
        <f>IF(csv!N105="","",csv!N105)</f>
        <v>0</v>
      </c>
      <c r="I115" s="31" t="s">
        <v>0</v>
      </c>
      <c r="J115" s="31" t="str">
        <f>IF(csv!P105="","",csv!P105)</f>
        <v>KAP</v>
      </c>
      <c r="K115" s="31" t="str">
        <f>IF(csv!Q105="","",csv!Q105)</f>
        <v>OK Kapela</v>
      </c>
      <c r="L115" s="31" t="s">
        <v>0</v>
      </c>
      <c r="M115" s="66" t="str">
        <f>IF(csv!R105="","",csv!R105)</f>
        <v>CRO</v>
      </c>
      <c r="N115" s="47" t="s">
        <v>0</v>
      </c>
      <c r="O115" s="246" t="str">
        <f t="shared" si="148"/>
        <v>ok</v>
      </c>
      <c r="P115" s="47"/>
      <c r="Q115" s="52" t="str">
        <f t="shared" si="149"/>
        <v>M35</v>
      </c>
      <c r="R115" s="73">
        <f>IF(Q115="","",IF(COUNTIF(Q$12:Q114,Q115)=0,R114+1,R114))</f>
        <v>7</v>
      </c>
      <c r="S115" s="73">
        <f t="shared" si="150"/>
        <v>107</v>
      </c>
      <c r="T115" s="73">
        <f t="shared" si="113"/>
        <v>18</v>
      </c>
      <c r="U115" s="66" t="str">
        <f t="shared" si="114"/>
        <v>M35</v>
      </c>
      <c r="V115" s="47" t="s">
        <v>0</v>
      </c>
      <c r="W115" s="222" t="str">
        <f t="shared" si="115"/>
        <v>M35</v>
      </c>
      <c r="X115" s="223">
        <f t="shared" si="116"/>
        <v>29</v>
      </c>
      <c r="Y115" s="47" t="s">
        <v>0</v>
      </c>
      <c r="Z115" s="52" t="str">
        <f t="shared" si="151"/>
        <v>CRO</v>
      </c>
      <c r="AA115" s="73">
        <f t="shared" si="117"/>
        <v>1</v>
      </c>
      <c r="AB115" s="31" t="str">
        <f t="shared" si="152"/>
        <v/>
      </c>
      <c r="AC115" s="66" t="str">
        <f>IF(AB115="","",MAX(AC$12:AC114)+1)</f>
        <v/>
      </c>
      <c r="AD115" s="47" t="s">
        <v>0</v>
      </c>
      <c r="AE115" s="125"/>
      <c r="AF115" s="47" t="s">
        <v>0</v>
      </c>
      <c r="AG115" s="19" t="str">
        <f t="shared" si="153"/>
        <v/>
      </c>
      <c r="AH115" s="47" t="s">
        <v>0</v>
      </c>
      <c r="AI115" s="143" t="str">
        <f t="shared" si="154"/>
        <v>CRO</v>
      </c>
      <c r="AJ115" s="47"/>
      <c r="AK115" s="52" t="str">
        <f t="shared" si="155"/>
        <v>Ivan</v>
      </c>
      <c r="AL115" s="31" t="str">
        <f t="shared" si="156"/>
        <v>Bublić</v>
      </c>
      <c r="AM115" s="73">
        <f t="shared" si="157"/>
        <v>1125</v>
      </c>
      <c r="AN115" s="73" t="str">
        <f t="shared" si="158"/>
        <v/>
      </c>
      <c r="AO115" s="31" t="str">
        <f t="shared" si="118"/>
        <v>Ivan</v>
      </c>
      <c r="AP115" s="66" t="str">
        <f t="shared" si="119"/>
        <v>Bublić</v>
      </c>
      <c r="AQ115" s="47" t="s">
        <v>0</v>
      </c>
      <c r="AR115" s="82" t="str">
        <f t="shared" si="159"/>
        <v/>
      </c>
      <c r="AS115" s="47" t="s">
        <v>0</v>
      </c>
      <c r="AT115" s="19" t="str">
        <f t="shared" si="160"/>
        <v/>
      </c>
      <c r="AU115" s="47" t="s">
        <v>0</v>
      </c>
      <c r="AV115" s="103"/>
      <c r="AW115" s="105"/>
      <c r="AX115" s="47" t="s">
        <v>0</v>
      </c>
      <c r="AY115" s="259" t="str">
        <f t="shared" si="183"/>
        <v/>
      </c>
      <c r="AZ115" s="47" t="s">
        <v>0</v>
      </c>
      <c r="BA115" s="52" t="str">
        <f t="shared" si="120"/>
        <v/>
      </c>
      <c r="BB115" s="73" t="str">
        <f>IF(AV115&amp;AW115="","",MAX(BB$12:BB114)+1)</f>
        <v/>
      </c>
      <c r="BC115" s="272" t="str">
        <f t="shared" si="121"/>
        <v/>
      </c>
      <c r="BD115" s="53" t="str">
        <f>IF(AND(AM115="NEMA",AN115="NEMA",OR(AV115&amp;AW115="",BC115="NEMA")),MAX(BD$12:BD114)+1,"")</f>
        <v/>
      </c>
      <c r="BE115" s="47" t="s">
        <v>0</v>
      </c>
      <c r="BF115" s="52" t="str">
        <f t="shared" si="161"/>
        <v>Ivan</v>
      </c>
      <c r="BG115" s="66" t="str">
        <f t="shared" si="162"/>
        <v>Bublić</v>
      </c>
      <c r="BH115" s="47" t="s">
        <v>0</v>
      </c>
      <c r="BI115" s="52" t="str">
        <f t="shared" si="122"/>
        <v>KAP</v>
      </c>
      <c r="BJ115" s="31" t="str">
        <f t="shared" si="123"/>
        <v>OK Kapela</v>
      </c>
      <c r="BK115" s="73" t="str">
        <f t="shared" si="124"/>
        <v/>
      </c>
      <c r="BL115" s="31" t="str" cm="1">
        <f t="array" ref="BL115">IF(BK115="",""&amp;BJ115,IF(BK115="NEMA",BJ115,INDEX(regKlub_naziv,MATCH(INDEX(regKlub_alias_klubId,BK115),regKlub_id,0))))</f>
        <v>OK Kapela</v>
      </c>
      <c r="BM115" s="31" t="str" cm="1">
        <f t="array" ref="BM115">IFERROR(""&amp;INDEX(regNatjecatelj_klub,DV115),"")</f>
        <v>OK Kapela</v>
      </c>
      <c r="BN115" s="73" t="str">
        <f t="shared" si="163"/>
        <v/>
      </c>
      <c r="BO115" s="66" t="str">
        <f t="shared" si="164"/>
        <v>OK Kapela</v>
      </c>
      <c r="BP115" s="47" t="s">
        <v>0</v>
      </c>
      <c r="BQ115" s="52" t="str">
        <f>IF(X115&lt;&gt;"NEMA","",IF(IFERROR(MATCH(W115,W$12:W114,0),0)&lt;&gt;0,"",W115))</f>
        <v/>
      </c>
      <c r="BR115" s="73" t="str">
        <f t="shared" si="165"/>
        <v/>
      </c>
      <c r="BS115" s="31" t="str">
        <f>IF(OR(BR115="",BR115&lt;&gt;"NEMA"),"",MAX(BS$12:BS114)+1)</f>
        <v/>
      </c>
      <c r="BT115" s="66" t="str">
        <f t="shared" si="166"/>
        <v/>
      </c>
      <c r="BU115" s="47" t="s">
        <v>0</v>
      </c>
      <c r="BV115" s="19" t="str">
        <f t="shared" si="167"/>
        <v/>
      </c>
      <c r="BW115" s="47" t="s">
        <v>0</v>
      </c>
      <c r="BX115" s="82" t="str">
        <f>IF(BK115&lt;&gt;"NEMA","",IF(IFERROR(MATCH(BJ115,BJ$12:BJ114,0),0)&lt;&gt;0,"",BJ115))</f>
        <v/>
      </c>
      <c r="BY115" s="47" t="s">
        <v>0</v>
      </c>
      <c r="BZ115" s="125"/>
      <c r="CA115" s="47" t="s">
        <v>0</v>
      </c>
      <c r="CB115" s="58" t="str">
        <f t="shared" si="168"/>
        <v/>
      </c>
      <c r="CC115" s="31" t="str">
        <f t="shared" si="169"/>
        <v/>
      </c>
      <c r="CD115" s="31" t="str">
        <f>IF(CC115="","",MAX(CD$12:CD114)+1)</f>
        <v/>
      </c>
      <c r="CE115" s="31" t="str">
        <f t="shared" si="125"/>
        <v/>
      </c>
      <c r="CF115" s="31" t="str">
        <f t="shared" si="170"/>
        <v/>
      </c>
      <c r="CG115" s="31" t="str">
        <f>IF(BZ115="","",MAX(CG$12:CG114)+1)</f>
        <v/>
      </c>
      <c r="CH115" s="31" t="str">
        <f t="shared" si="171"/>
        <v/>
      </c>
      <c r="CI115" s="66" t="str">
        <f t="shared" si="172"/>
        <v/>
      </c>
      <c r="CJ115" s="47" t="s">
        <v>0</v>
      </c>
      <c r="CK115" s="73" t="str">
        <f t="shared" si="126"/>
        <v/>
      </c>
      <c r="CL115" s="47"/>
      <c r="CM115" s="19" t="str">
        <f t="shared" si="173"/>
        <v/>
      </c>
      <c r="CN115" s="47" t="s">
        <v>0</v>
      </c>
      <c r="CO115" s="143" t="str">
        <f t="shared" si="174"/>
        <v>OK Kapela</v>
      </c>
      <c r="CP115" s="47" t="s">
        <v>0</v>
      </c>
      <c r="CQ115" s="58" t="str">
        <f t="shared" si="190"/>
        <v>69:07</v>
      </c>
      <c r="CR115" s="73" t="str">
        <f t="shared" si="191"/>
        <v>0</v>
      </c>
      <c r="CS115" s="229" t="str">
        <f t="shared" si="127"/>
        <v/>
      </c>
      <c r="CT115" s="230">
        <f t="shared" si="112"/>
        <v>4147</v>
      </c>
      <c r="CU115" s="163">
        <f t="shared" si="128"/>
        <v>1</v>
      </c>
      <c r="CV115" s="47" t="s">
        <v>0</v>
      </c>
      <c r="CW115" s="222" t="str">
        <f t="shared" si="175"/>
        <v xml:space="preserve">
</v>
      </c>
      <c r="CX115" s="223">
        <f t="shared" si="176"/>
        <v>6</v>
      </c>
      <c r="CY115" s="47" t="s">
        <v>0</v>
      </c>
      <c r="CZ115" s="47"/>
      <c r="DA115" s="47"/>
      <c r="DB115" s="47"/>
      <c r="DC115" s="47" t="s">
        <v>0</v>
      </c>
      <c r="DD115" s="53" t="str">
        <f t="shared" si="184"/>
        <v/>
      </c>
      <c r="DE115" t="s">
        <v>0</v>
      </c>
      <c r="DF115" s="128" t="str">
        <f t="shared" si="185"/>
        <v>M</v>
      </c>
      <c r="DG115" t="s">
        <v>0</v>
      </c>
      <c r="DH115" s="52" t="str">
        <f t="shared" si="186"/>
        <v/>
      </c>
      <c r="DI115" s="66" t="str">
        <f t="shared" si="187"/>
        <v/>
      </c>
      <c r="DJ115" t="s">
        <v>0</v>
      </c>
      <c r="DK115" s="19" t="str">
        <f t="shared" si="188"/>
        <v/>
      </c>
      <c r="DL115" s="47" t="s">
        <v>0</v>
      </c>
      <c r="DM115" s="19" t="str">
        <f t="shared" si="189"/>
        <v/>
      </c>
      <c r="DN115" s="47" t="s">
        <v>0</v>
      </c>
      <c r="DO115" s="52" t="str">
        <f t="shared" si="129"/>
        <v>Ivan – Bublić – OK Kapela – M35</v>
      </c>
      <c r="DP115" s="53">
        <f t="shared" si="130"/>
        <v>217</v>
      </c>
      <c r="DQ115" s="47" t="s">
        <v>0</v>
      </c>
      <c r="DR115" s="52" t="str">
        <f t="shared" si="131"/>
        <v>Ivan – Bublić – OK Kapela</v>
      </c>
      <c r="DS115" s="53">
        <f t="shared" si="132"/>
        <v>217</v>
      </c>
      <c r="DT115" s="47" t="s">
        <v>0</v>
      </c>
      <c r="DU115" s="52" t="str">
        <f t="shared" si="133"/>
        <v>Ivan – Bublić</v>
      </c>
      <c r="DV115" s="53">
        <f t="shared" si="134"/>
        <v>217</v>
      </c>
      <c r="DW115" s="47" t="s">
        <v>0</v>
      </c>
      <c r="DX115" s="58">
        <f t="shared" si="177"/>
        <v>217</v>
      </c>
      <c r="DY115" s="53" cm="1">
        <f t="array" ref="DY115">IF(DX115&lt;&gt;"",INDEX(regNatjecatelj_id,DX115,0),IF(BD115&lt;&gt;"",BD115,""))</f>
        <v>1125</v>
      </c>
      <c r="DZ115" s="47" t="s">
        <v>0</v>
      </c>
      <c r="EA115" s="58" t="str">
        <f t="shared" si="135"/>
        <v>imepre</v>
      </c>
      <c r="EB115" s="73" t="str">
        <f t="shared" si="136"/>
        <v>klu</v>
      </c>
      <c r="EC115" s="73" t="str">
        <f t="shared" si="137"/>
        <v>kat</v>
      </c>
      <c r="ED115" s="73" t="str">
        <f t="shared" si="138"/>
        <v/>
      </c>
      <c r="EE115" s="66" t="str">
        <f t="shared" si="139"/>
        <v>imepre-klu-kat</v>
      </c>
      <c r="EF115" s="47" t="s">
        <v>0</v>
      </c>
      <c r="EG115" s="58">
        <f>IF(AL115="","",MAX(EG$12:EG114)+1)</f>
        <v>283</v>
      </c>
      <c r="EH115" s="73">
        <f t="shared" si="140"/>
        <v>29</v>
      </c>
      <c r="EI115" s="73">
        <f t="shared" si="178"/>
        <v>1125</v>
      </c>
      <c r="EJ115" s="73">
        <f t="shared" si="141"/>
        <v>4147</v>
      </c>
      <c r="EK115" s="73">
        <f t="shared" si="142"/>
        <v>1</v>
      </c>
      <c r="EL115" s="73">
        <f t="shared" si="179"/>
        <v>1</v>
      </c>
      <c r="EM115" s="73">
        <f t="shared" si="180"/>
        <v>1</v>
      </c>
      <c r="EN115" s="73" t="str">
        <f t="shared" si="143"/>
        <v>0</v>
      </c>
      <c r="EO115" s="73" t="str">
        <f t="shared" si="144"/>
        <v/>
      </c>
      <c r="EP115" s="73" t="str">
        <f t="shared" si="145"/>
        <v/>
      </c>
      <c r="EQ115" s="53" t="str">
        <f t="shared" si="146"/>
        <v/>
      </c>
      <c r="ER115" s="47" t="s">
        <v>0</v>
      </c>
      <c r="ES115" s="19" t="str">
        <f t="shared" si="181"/>
        <v>INSERT INTO rezultat(id,stazakategorija_id,imeprezime_id,vrijeme_sec,status_id,registracija,uparivanje_id,originalstatus_id,imeprezimealias_id,klubalias_id,kategorijaalias_id) VALUES (283,29,1125,4147,1,1,1,0,Null,Null,Null);</v>
      </c>
      <c r="ET115" s="47" t="s">
        <v>0</v>
      </c>
      <c r="EU115" s="19" t="str">
        <f t="shared" si="182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5" s="47" t="s">
        <v>0</v>
      </c>
      <c r="EW115" s="180" t="str">
        <f t="shared" si="147"/>
        <v xml:space="preserve">
INSERT INTO rezultat(id,stazakategorija_id,imeprezime_id,vrijeme_sec,status_id,registracija,uparivanje_id,originalstatus_id,imeprezimealias_id,klubalias_id,kategorijaalias_id) VALUES (283,29,1125,4147,1,1,1,0,Null,Null,Null);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5" s="47" t="s">
        <v>0</v>
      </c>
    </row>
    <row r="116" spans="1:154" x14ac:dyDescent="0.25">
      <c r="A116" t="s">
        <v>0</v>
      </c>
      <c r="B116" s="52" t="str">
        <f>IF(csv!F106="","",csv!T106)</f>
        <v>M35</v>
      </c>
      <c r="C116" s="31" t="s">
        <v>0</v>
      </c>
      <c r="D116" s="31" t="str">
        <f>IF(csv!F106="","",csv!F106)</f>
        <v>Ivan</v>
      </c>
      <c r="E116" s="31" t="str">
        <f>IF(csv!E106="","",csv!E106)</f>
        <v>Gverić</v>
      </c>
      <c r="F116" s="31" t="s">
        <v>0</v>
      </c>
      <c r="G116" s="73" t="str">
        <f>IF(csv!M106="","",csv!M106)</f>
        <v>69:22</v>
      </c>
      <c r="H116" s="73" t="str">
        <f>IF(csv!N106="","",csv!N106)</f>
        <v>0</v>
      </c>
      <c r="I116" s="31" t="s">
        <v>0</v>
      </c>
      <c r="J116" s="31" t="str">
        <f>IF(csv!P106="","",csv!P106)</f>
        <v>KAP</v>
      </c>
      <c r="K116" s="31" t="str">
        <f>IF(csv!Q106="","",csv!Q106)</f>
        <v>OK Kapela</v>
      </c>
      <c r="L116" s="31" t="s">
        <v>0</v>
      </c>
      <c r="M116" s="66" t="str">
        <f>IF(csv!R106="","",csv!R106)</f>
        <v>CRO</v>
      </c>
      <c r="N116" s="47" t="s">
        <v>0</v>
      </c>
      <c r="O116" s="246" t="str">
        <f t="shared" si="148"/>
        <v>ok</v>
      </c>
      <c r="P116" s="47"/>
      <c r="Q116" s="52" t="str">
        <f t="shared" si="149"/>
        <v>M35</v>
      </c>
      <c r="R116" s="73">
        <f>IF(Q116="","",IF(COUNTIF(Q$12:Q115,Q116)=0,R115+1,R115))</f>
        <v>7</v>
      </c>
      <c r="S116" s="73">
        <f t="shared" si="150"/>
        <v>107</v>
      </c>
      <c r="T116" s="73">
        <f t="shared" si="113"/>
        <v>18</v>
      </c>
      <c r="U116" s="66" t="str">
        <f t="shared" si="114"/>
        <v>M35</v>
      </c>
      <c r="V116" s="47" t="s">
        <v>0</v>
      </c>
      <c r="W116" s="222" t="str">
        <f t="shared" si="115"/>
        <v>M35</v>
      </c>
      <c r="X116" s="223">
        <f t="shared" si="116"/>
        <v>29</v>
      </c>
      <c r="Y116" s="47" t="s">
        <v>0</v>
      </c>
      <c r="Z116" s="52" t="str">
        <f t="shared" si="151"/>
        <v>CRO</v>
      </c>
      <c r="AA116" s="73">
        <f t="shared" si="117"/>
        <v>1</v>
      </c>
      <c r="AB116" s="31" t="str">
        <f t="shared" si="152"/>
        <v/>
      </c>
      <c r="AC116" s="66" t="str">
        <f>IF(AB116="","",MAX(AC$12:AC115)+1)</f>
        <v/>
      </c>
      <c r="AD116" s="47" t="s">
        <v>0</v>
      </c>
      <c r="AE116" s="125"/>
      <c r="AF116" s="47" t="s">
        <v>0</v>
      </c>
      <c r="AG116" s="19" t="str">
        <f t="shared" si="153"/>
        <v/>
      </c>
      <c r="AH116" s="47" t="s">
        <v>0</v>
      </c>
      <c r="AI116" s="143" t="str">
        <f t="shared" si="154"/>
        <v>CRO</v>
      </c>
      <c r="AJ116" s="47"/>
      <c r="AK116" s="52" t="str">
        <f t="shared" si="155"/>
        <v>Ivan</v>
      </c>
      <c r="AL116" s="31" t="str">
        <f t="shared" si="156"/>
        <v>Gverić</v>
      </c>
      <c r="AM116" s="73">
        <f t="shared" si="157"/>
        <v>1205</v>
      </c>
      <c r="AN116" s="73" t="str">
        <f t="shared" si="158"/>
        <v/>
      </c>
      <c r="AO116" s="31" t="str">
        <f t="shared" si="118"/>
        <v>Ivan</v>
      </c>
      <c r="AP116" s="66" t="str">
        <f t="shared" si="119"/>
        <v>Gverić</v>
      </c>
      <c r="AQ116" s="47" t="s">
        <v>0</v>
      </c>
      <c r="AR116" s="82" t="str">
        <f t="shared" si="159"/>
        <v/>
      </c>
      <c r="AS116" s="47" t="s">
        <v>0</v>
      </c>
      <c r="AT116" s="19" t="str">
        <f t="shared" si="160"/>
        <v/>
      </c>
      <c r="AU116" s="47" t="s">
        <v>0</v>
      </c>
      <c r="AV116" s="103"/>
      <c r="AW116" s="105"/>
      <c r="AX116" s="47" t="s">
        <v>0</v>
      </c>
      <c r="AY116" s="259" t="str">
        <f t="shared" si="183"/>
        <v/>
      </c>
      <c r="AZ116" s="47" t="s">
        <v>0</v>
      </c>
      <c r="BA116" s="52" t="str">
        <f t="shared" si="120"/>
        <v/>
      </c>
      <c r="BB116" s="73" t="str">
        <f>IF(AV116&amp;AW116="","",MAX(BB$12:BB115)+1)</f>
        <v/>
      </c>
      <c r="BC116" s="272" t="str">
        <f t="shared" si="121"/>
        <v/>
      </c>
      <c r="BD116" s="53" t="str">
        <f>IF(AND(AM116="NEMA",AN116="NEMA",OR(AV116&amp;AW116="",BC116="NEMA")),MAX(BD$12:BD115)+1,"")</f>
        <v/>
      </c>
      <c r="BE116" s="47" t="s">
        <v>0</v>
      </c>
      <c r="BF116" s="52" t="str">
        <f t="shared" si="161"/>
        <v>Ivan</v>
      </c>
      <c r="BG116" s="66" t="str">
        <f t="shared" si="162"/>
        <v>Gverić</v>
      </c>
      <c r="BH116" s="47" t="s">
        <v>0</v>
      </c>
      <c r="BI116" s="52" t="str">
        <f t="shared" si="122"/>
        <v>KAP</v>
      </c>
      <c r="BJ116" s="31" t="str">
        <f t="shared" si="123"/>
        <v>OK Kapela</v>
      </c>
      <c r="BK116" s="73" t="str">
        <f t="shared" si="124"/>
        <v/>
      </c>
      <c r="BL116" s="31" t="str" cm="1">
        <f t="array" ref="BL116">IF(BK116="",""&amp;BJ116,IF(BK116="NEMA",BJ116,INDEX(regKlub_naziv,MATCH(INDEX(regKlub_alias_klubId,BK116),regKlub_id,0))))</f>
        <v>OK Kapela</v>
      </c>
      <c r="BM116" s="31" t="str" cm="1">
        <f t="array" ref="BM116">IFERROR(""&amp;INDEX(regNatjecatelj_klub,DV116),"")</f>
        <v>OK Kapela</v>
      </c>
      <c r="BN116" s="73" t="str">
        <f t="shared" si="163"/>
        <v/>
      </c>
      <c r="BO116" s="66" t="str">
        <f t="shared" si="164"/>
        <v>OK Kapela</v>
      </c>
      <c r="BP116" s="47" t="s">
        <v>0</v>
      </c>
      <c r="BQ116" s="52" t="str">
        <f>IF(X116&lt;&gt;"NEMA","",IF(IFERROR(MATCH(W116,W$12:W115,0),0)&lt;&gt;0,"",W116))</f>
        <v/>
      </c>
      <c r="BR116" s="73" t="str">
        <f t="shared" si="165"/>
        <v/>
      </c>
      <c r="BS116" s="31" t="str">
        <f>IF(OR(BR116="",BR116&lt;&gt;"NEMA"),"",MAX(BS$12:BS115)+1)</f>
        <v/>
      </c>
      <c r="BT116" s="66" t="str">
        <f t="shared" si="166"/>
        <v/>
      </c>
      <c r="BU116" s="47" t="s">
        <v>0</v>
      </c>
      <c r="BV116" s="19" t="str">
        <f t="shared" si="167"/>
        <v/>
      </c>
      <c r="BW116" s="47" t="s">
        <v>0</v>
      </c>
      <c r="BX116" s="82" t="str">
        <f>IF(BK116&lt;&gt;"NEMA","",IF(IFERROR(MATCH(BJ116,BJ$12:BJ115,0),0)&lt;&gt;0,"",BJ116))</f>
        <v/>
      </c>
      <c r="BY116" s="47" t="s">
        <v>0</v>
      </c>
      <c r="BZ116" s="125"/>
      <c r="CA116" s="47" t="s">
        <v>0</v>
      </c>
      <c r="CB116" s="58" t="str">
        <f t="shared" si="168"/>
        <v/>
      </c>
      <c r="CC116" s="31" t="str">
        <f t="shared" si="169"/>
        <v/>
      </c>
      <c r="CD116" s="31" t="str">
        <f>IF(CC116="","",MAX(CD$12:CD115)+1)</f>
        <v/>
      </c>
      <c r="CE116" s="31" t="str">
        <f t="shared" si="125"/>
        <v/>
      </c>
      <c r="CF116" s="31" t="str">
        <f t="shared" si="170"/>
        <v/>
      </c>
      <c r="CG116" s="31" t="str">
        <f>IF(BZ116="","",MAX(CG$12:CG115)+1)</f>
        <v/>
      </c>
      <c r="CH116" s="31" t="str">
        <f t="shared" si="171"/>
        <v/>
      </c>
      <c r="CI116" s="66" t="str">
        <f t="shared" si="172"/>
        <v/>
      </c>
      <c r="CJ116" s="47" t="s">
        <v>0</v>
      </c>
      <c r="CK116" s="73" t="str">
        <f t="shared" si="126"/>
        <v/>
      </c>
      <c r="CL116" s="47"/>
      <c r="CM116" s="19" t="str">
        <f t="shared" si="173"/>
        <v/>
      </c>
      <c r="CN116" s="47" t="s">
        <v>0</v>
      </c>
      <c r="CO116" s="143" t="str">
        <f t="shared" si="174"/>
        <v>OK Kapela</v>
      </c>
      <c r="CP116" s="47" t="s">
        <v>0</v>
      </c>
      <c r="CQ116" s="58" t="str">
        <f t="shared" si="190"/>
        <v>69:22</v>
      </c>
      <c r="CR116" s="73" t="str">
        <f t="shared" si="191"/>
        <v>0</v>
      </c>
      <c r="CS116" s="229" t="str">
        <f t="shared" si="127"/>
        <v/>
      </c>
      <c r="CT116" s="230">
        <f t="shared" si="112"/>
        <v>4162</v>
      </c>
      <c r="CU116" s="163">
        <f t="shared" si="128"/>
        <v>1</v>
      </c>
      <c r="CV116" s="47" t="s">
        <v>0</v>
      </c>
      <c r="CW116" s="222" t="str">
        <f t="shared" si="175"/>
        <v xml:space="preserve">
</v>
      </c>
      <c r="CX116" s="223">
        <f t="shared" si="176"/>
        <v>6</v>
      </c>
      <c r="CY116" s="47" t="s">
        <v>0</v>
      </c>
      <c r="CZ116" s="47"/>
      <c r="DA116" s="47"/>
      <c r="DB116" s="47"/>
      <c r="DC116" s="47" t="s">
        <v>0</v>
      </c>
      <c r="DD116" s="53" t="str">
        <f t="shared" si="184"/>
        <v/>
      </c>
      <c r="DE116" t="s">
        <v>0</v>
      </c>
      <c r="DF116" s="128" t="str">
        <f t="shared" si="185"/>
        <v>M</v>
      </c>
      <c r="DG116" t="s">
        <v>0</v>
      </c>
      <c r="DH116" s="52" t="str">
        <f t="shared" si="186"/>
        <v/>
      </c>
      <c r="DI116" s="66" t="str">
        <f t="shared" si="187"/>
        <v/>
      </c>
      <c r="DJ116" t="s">
        <v>0</v>
      </c>
      <c r="DK116" s="19" t="str">
        <f t="shared" si="188"/>
        <v/>
      </c>
      <c r="DL116" s="47" t="s">
        <v>0</v>
      </c>
      <c r="DM116" s="19" t="str">
        <f t="shared" si="189"/>
        <v/>
      </c>
      <c r="DN116" s="47" t="s">
        <v>0</v>
      </c>
      <c r="DO116" s="52" t="str">
        <f t="shared" si="129"/>
        <v>Ivan – Gverić – OK Kapela – M35</v>
      </c>
      <c r="DP116" s="53">
        <f t="shared" si="130"/>
        <v>249</v>
      </c>
      <c r="DQ116" s="47" t="s">
        <v>0</v>
      </c>
      <c r="DR116" s="52" t="str">
        <f t="shared" si="131"/>
        <v>Ivan – Gverić – OK Kapela</v>
      </c>
      <c r="DS116" s="53">
        <f t="shared" si="132"/>
        <v>249</v>
      </c>
      <c r="DT116" s="47" t="s">
        <v>0</v>
      </c>
      <c r="DU116" s="52" t="str">
        <f t="shared" si="133"/>
        <v>Ivan – Gverić</v>
      </c>
      <c r="DV116" s="53">
        <f t="shared" si="134"/>
        <v>249</v>
      </c>
      <c r="DW116" s="47" t="s">
        <v>0</v>
      </c>
      <c r="DX116" s="58">
        <f t="shared" si="177"/>
        <v>249</v>
      </c>
      <c r="DY116" s="53" cm="1">
        <f t="array" ref="DY116">IF(DX116&lt;&gt;"",INDEX(regNatjecatelj_id,DX116,0),IF(BD116&lt;&gt;"",BD116,""))</f>
        <v>1205</v>
      </c>
      <c r="DZ116" s="47" t="s">
        <v>0</v>
      </c>
      <c r="EA116" s="58" t="str">
        <f t="shared" si="135"/>
        <v>imepre</v>
      </c>
      <c r="EB116" s="73" t="str">
        <f t="shared" si="136"/>
        <v>klu</v>
      </c>
      <c r="EC116" s="73" t="str">
        <f t="shared" si="137"/>
        <v>kat</v>
      </c>
      <c r="ED116" s="73" t="str">
        <f t="shared" si="138"/>
        <v/>
      </c>
      <c r="EE116" s="66" t="str">
        <f t="shared" si="139"/>
        <v>imepre-klu-kat</v>
      </c>
      <c r="EF116" s="47" t="s">
        <v>0</v>
      </c>
      <c r="EG116" s="58">
        <f>IF(AL116="","",MAX(EG$12:EG115)+1)</f>
        <v>284</v>
      </c>
      <c r="EH116" s="73">
        <f t="shared" si="140"/>
        <v>29</v>
      </c>
      <c r="EI116" s="73">
        <f t="shared" si="178"/>
        <v>1205</v>
      </c>
      <c r="EJ116" s="73">
        <f t="shared" si="141"/>
        <v>4162</v>
      </c>
      <c r="EK116" s="73">
        <f t="shared" si="142"/>
        <v>1</v>
      </c>
      <c r="EL116" s="73">
        <f t="shared" si="179"/>
        <v>1</v>
      </c>
      <c r="EM116" s="73">
        <f t="shared" si="180"/>
        <v>1</v>
      </c>
      <c r="EN116" s="73" t="str">
        <f t="shared" si="143"/>
        <v>0</v>
      </c>
      <c r="EO116" s="73" t="str">
        <f t="shared" si="144"/>
        <v/>
      </c>
      <c r="EP116" s="73" t="str">
        <f t="shared" si="145"/>
        <v/>
      </c>
      <c r="EQ116" s="53" t="str">
        <f t="shared" si="146"/>
        <v/>
      </c>
      <c r="ER116" s="47" t="s">
        <v>0</v>
      </c>
      <c r="ES116" s="19" t="str">
        <f t="shared" si="181"/>
        <v>INSERT INTO rezultat(id,stazakategorija_id,imeprezime_id,vrijeme_sec,status_id,registracija,uparivanje_id,originalstatus_id,imeprezimealias_id,klubalias_id,kategorijaalias_id) VALUES (284,29,1205,4162,1,1,1,0,Null,Null,Null);</v>
      </c>
      <c r="ET116" s="47" t="s">
        <v>0</v>
      </c>
      <c r="EU116" s="19" t="str">
        <f t="shared" si="182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6" s="47" t="s">
        <v>0</v>
      </c>
      <c r="EW116" s="180" t="str">
        <f t="shared" si="147"/>
        <v xml:space="preserve">
INSERT INTO rezultat(id,stazakategorija_id,imeprezime_id,vrijeme_sec,status_id,registracija,uparivanje_id,originalstatus_id,imeprezimealias_id,klubalias_id,kategorijaalias_id) VALUES (284,29,1205,4162,1,1,1,0,Null,Null,Null);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6" s="47" t="s">
        <v>0</v>
      </c>
    </row>
    <row r="117" spans="1:154" x14ac:dyDescent="0.25">
      <c r="A117" t="s">
        <v>0</v>
      </c>
      <c r="B117" s="52" t="str">
        <f>IF(csv!F107="","",csv!T107)</f>
        <v>M35</v>
      </c>
      <c r="C117" s="31" t="s">
        <v>0</v>
      </c>
      <c r="D117" s="31" t="str">
        <f>IF(csv!F107="","",csv!F107)</f>
        <v>Vanja</v>
      </c>
      <c r="E117" s="31" t="str">
        <f>IF(csv!E107="","",csv!E107)</f>
        <v>Suhina</v>
      </c>
      <c r="F117" s="31" t="s">
        <v>0</v>
      </c>
      <c r="G117" s="73" t="str">
        <f>IF(csv!M107="","",csv!M107)</f>
        <v>69:24</v>
      </c>
      <c r="H117" s="73" t="str">
        <f>IF(csv!N107="","",csv!N107)</f>
        <v>0</v>
      </c>
      <c r="I117" s="31" t="s">
        <v>0</v>
      </c>
      <c r="J117" s="31" t="str">
        <f>IF(csv!P107="","",csv!P107)</f>
        <v>KAP</v>
      </c>
      <c r="K117" s="31" t="str">
        <f>IF(csv!Q107="","",csv!Q107)</f>
        <v>OK Kapela</v>
      </c>
      <c r="L117" s="31" t="s">
        <v>0</v>
      </c>
      <c r="M117" s="66" t="str">
        <f>IF(csv!R107="","",csv!R107)</f>
        <v>CRO</v>
      </c>
      <c r="N117" s="47" t="s">
        <v>0</v>
      </c>
      <c r="O117" s="246" t="str">
        <f t="shared" si="148"/>
        <v>ok</v>
      </c>
      <c r="P117" s="47"/>
      <c r="Q117" s="52" t="str">
        <f t="shared" si="149"/>
        <v>M35</v>
      </c>
      <c r="R117" s="73">
        <f>IF(Q117="","",IF(COUNTIF(Q$12:Q116,Q117)=0,R116+1,R116))</f>
        <v>7</v>
      </c>
      <c r="S117" s="73">
        <f t="shared" si="150"/>
        <v>107</v>
      </c>
      <c r="T117" s="73">
        <f t="shared" si="113"/>
        <v>18</v>
      </c>
      <c r="U117" s="66" t="str">
        <f t="shared" si="114"/>
        <v>M35</v>
      </c>
      <c r="V117" s="47" t="s">
        <v>0</v>
      </c>
      <c r="W117" s="222" t="str">
        <f t="shared" si="115"/>
        <v>M35</v>
      </c>
      <c r="X117" s="223">
        <f t="shared" si="116"/>
        <v>29</v>
      </c>
      <c r="Y117" s="47" t="s">
        <v>0</v>
      </c>
      <c r="Z117" s="52" t="str">
        <f t="shared" si="151"/>
        <v>CRO</v>
      </c>
      <c r="AA117" s="73">
        <f t="shared" si="117"/>
        <v>1</v>
      </c>
      <c r="AB117" s="31" t="str">
        <f t="shared" si="152"/>
        <v/>
      </c>
      <c r="AC117" s="66" t="str">
        <f>IF(AB117="","",MAX(AC$12:AC116)+1)</f>
        <v/>
      </c>
      <c r="AD117" s="47" t="s">
        <v>0</v>
      </c>
      <c r="AE117" s="125"/>
      <c r="AF117" s="47" t="s">
        <v>0</v>
      </c>
      <c r="AG117" s="19" t="str">
        <f t="shared" si="153"/>
        <v/>
      </c>
      <c r="AH117" s="47" t="s">
        <v>0</v>
      </c>
      <c r="AI117" s="143" t="str">
        <f t="shared" si="154"/>
        <v>CRO</v>
      </c>
      <c r="AJ117" s="47"/>
      <c r="AK117" s="52" t="str">
        <f t="shared" si="155"/>
        <v>Vanja</v>
      </c>
      <c r="AL117" s="31" t="str">
        <f t="shared" si="156"/>
        <v>Suhina</v>
      </c>
      <c r="AM117" s="73">
        <f t="shared" si="157"/>
        <v>1499</v>
      </c>
      <c r="AN117" s="73" t="str">
        <f t="shared" si="158"/>
        <v/>
      </c>
      <c r="AO117" s="31" t="str">
        <f t="shared" si="118"/>
        <v>Vanja</v>
      </c>
      <c r="AP117" s="66" t="str">
        <f t="shared" si="119"/>
        <v>Suhina</v>
      </c>
      <c r="AQ117" s="47" t="s">
        <v>0</v>
      </c>
      <c r="AR117" s="82" t="str">
        <f t="shared" si="159"/>
        <v/>
      </c>
      <c r="AS117" s="47" t="s">
        <v>0</v>
      </c>
      <c r="AT117" s="19" t="str">
        <f t="shared" si="160"/>
        <v/>
      </c>
      <c r="AU117" s="47" t="s">
        <v>0</v>
      </c>
      <c r="AV117" s="103"/>
      <c r="AW117" s="105"/>
      <c r="AX117" s="47" t="s">
        <v>0</v>
      </c>
      <c r="AY117" s="259" t="str">
        <f t="shared" si="183"/>
        <v/>
      </c>
      <c r="AZ117" s="47" t="s">
        <v>0</v>
      </c>
      <c r="BA117" s="52" t="str">
        <f t="shared" si="120"/>
        <v/>
      </c>
      <c r="BB117" s="73" t="str">
        <f>IF(AV117&amp;AW117="","",MAX(BB$12:BB116)+1)</f>
        <v/>
      </c>
      <c r="BC117" s="272" t="str">
        <f t="shared" si="121"/>
        <v/>
      </c>
      <c r="BD117" s="53" t="str">
        <f>IF(AND(AM117="NEMA",AN117="NEMA",OR(AV117&amp;AW117="",BC117="NEMA")),MAX(BD$12:BD116)+1,"")</f>
        <v/>
      </c>
      <c r="BE117" s="47" t="s">
        <v>0</v>
      </c>
      <c r="BF117" s="52" t="str">
        <f t="shared" si="161"/>
        <v>Vanja</v>
      </c>
      <c r="BG117" s="66" t="str">
        <f t="shared" si="162"/>
        <v>Suhina</v>
      </c>
      <c r="BH117" s="47" t="s">
        <v>0</v>
      </c>
      <c r="BI117" s="52" t="str">
        <f t="shared" si="122"/>
        <v>KAP</v>
      </c>
      <c r="BJ117" s="31" t="str">
        <f t="shared" si="123"/>
        <v>OK Kapela</v>
      </c>
      <c r="BK117" s="73" t="str">
        <f t="shared" si="124"/>
        <v/>
      </c>
      <c r="BL117" s="31" t="str" cm="1">
        <f t="array" ref="BL117">IF(BK117="",""&amp;BJ117,IF(BK117="NEMA",BJ117,INDEX(regKlub_naziv,MATCH(INDEX(regKlub_alias_klubId,BK117),regKlub_id,0))))</f>
        <v>OK Kapela</v>
      </c>
      <c r="BM117" s="31" t="str" cm="1">
        <f t="array" ref="BM117">IFERROR(""&amp;INDEX(regNatjecatelj_klub,DV117),"")</f>
        <v>OK Kapela</v>
      </c>
      <c r="BN117" s="73" t="str">
        <f t="shared" si="163"/>
        <v/>
      </c>
      <c r="BO117" s="66" t="str">
        <f t="shared" si="164"/>
        <v>OK Kapela</v>
      </c>
      <c r="BP117" s="47" t="s">
        <v>0</v>
      </c>
      <c r="BQ117" s="52" t="str">
        <f>IF(X117&lt;&gt;"NEMA","",IF(IFERROR(MATCH(W117,W$12:W116,0),0)&lt;&gt;0,"",W117))</f>
        <v/>
      </c>
      <c r="BR117" s="73" t="str">
        <f t="shared" si="165"/>
        <v/>
      </c>
      <c r="BS117" s="31" t="str">
        <f>IF(OR(BR117="",BR117&lt;&gt;"NEMA"),"",MAX(BS$12:BS116)+1)</f>
        <v/>
      </c>
      <c r="BT117" s="66" t="str">
        <f t="shared" si="166"/>
        <v/>
      </c>
      <c r="BU117" s="47" t="s">
        <v>0</v>
      </c>
      <c r="BV117" s="19" t="str">
        <f t="shared" si="167"/>
        <v/>
      </c>
      <c r="BW117" s="47" t="s">
        <v>0</v>
      </c>
      <c r="BX117" s="82" t="str">
        <f>IF(BK117&lt;&gt;"NEMA","",IF(IFERROR(MATCH(BJ117,BJ$12:BJ116,0),0)&lt;&gt;0,"",BJ117))</f>
        <v/>
      </c>
      <c r="BY117" s="47" t="s">
        <v>0</v>
      </c>
      <c r="BZ117" s="125"/>
      <c r="CA117" s="47" t="s">
        <v>0</v>
      </c>
      <c r="CB117" s="58" t="str">
        <f t="shared" si="168"/>
        <v/>
      </c>
      <c r="CC117" s="31" t="str">
        <f t="shared" si="169"/>
        <v/>
      </c>
      <c r="CD117" s="31" t="str">
        <f>IF(CC117="","",MAX(CD$12:CD116)+1)</f>
        <v/>
      </c>
      <c r="CE117" s="31" t="str">
        <f t="shared" si="125"/>
        <v/>
      </c>
      <c r="CF117" s="31" t="str">
        <f t="shared" si="170"/>
        <v/>
      </c>
      <c r="CG117" s="31" t="str">
        <f>IF(BZ117="","",MAX(CG$12:CG116)+1)</f>
        <v/>
      </c>
      <c r="CH117" s="31" t="str">
        <f t="shared" si="171"/>
        <v/>
      </c>
      <c r="CI117" s="66" t="str">
        <f t="shared" si="172"/>
        <v/>
      </c>
      <c r="CJ117" s="47" t="s">
        <v>0</v>
      </c>
      <c r="CK117" s="73" t="str">
        <f t="shared" si="126"/>
        <v/>
      </c>
      <c r="CL117" s="47"/>
      <c r="CM117" s="19" t="str">
        <f t="shared" si="173"/>
        <v/>
      </c>
      <c r="CN117" s="47" t="s">
        <v>0</v>
      </c>
      <c r="CO117" s="143" t="str">
        <f t="shared" si="174"/>
        <v>OK Kapela</v>
      </c>
      <c r="CP117" s="47" t="s">
        <v>0</v>
      </c>
      <c r="CQ117" s="58" t="str">
        <f t="shared" si="190"/>
        <v>69:24</v>
      </c>
      <c r="CR117" s="73" t="str">
        <f t="shared" si="191"/>
        <v>0</v>
      </c>
      <c r="CS117" s="229" t="str">
        <f t="shared" si="127"/>
        <v/>
      </c>
      <c r="CT117" s="230">
        <f t="shared" si="112"/>
        <v>4164</v>
      </c>
      <c r="CU117" s="163">
        <f t="shared" si="128"/>
        <v>1</v>
      </c>
      <c r="CV117" s="47" t="s">
        <v>0</v>
      </c>
      <c r="CW117" s="222" t="str">
        <f t="shared" si="175"/>
        <v xml:space="preserve">
</v>
      </c>
      <c r="CX117" s="223">
        <f t="shared" si="176"/>
        <v>6</v>
      </c>
      <c r="CY117" s="47" t="s">
        <v>0</v>
      </c>
      <c r="CZ117" s="47"/>
      <c r="DA117" s="47"/>
      <c r="DB117" s="47"/>
      <c r="DC117" s="47" t="s">
        <v>0</v>
      </c>
      <c r="DD117" s="53" t="str">
        <f t="shared" si="184"/>
        <v/>
      </c>
      <c r="DE117" t="s">
        <v>0</v>
      </c>
      <c r="DF117" s="128" t="str">
        <f t="shared" si="185"/>
        <v>M</v>
      </c>
      <c r="DG117" t="s">
        <v>0</v>
      </c>
      <c r="DH117" s="52" t="str">
        <f t="shared" si="186"/>
        <v/>
      </c>
      <c r="DI117" s="66" t="str">
        <f t="shared" si="187"/>
        <v/>
      </c>
      <c r="DJ117" t="s">
        <v>0</v>
      </c>
      <c r="DK117" s="19" t="str">
        <f t="shared" si="188"/>
        <v/>
      </c>
      <c r="DL117" s="47" t="s">
        <v>0</v>
      </c>
      <c r="DM117" s="19" t="str">
        <f t="shared" si="189"/>
        <v/>
      </c>
      <c r="DN117" s="47" t="s">
        <v>0</v>
      </c>
      <c r="DO117" s="52" t="str">
        <f t="shared" si="129"/>
        <v>Vanja – Suhina – OK Kapela – M35</v>
      </c>
      <c r="DP117" s="53">
        <f t="shared" si="130"/>
        <v>317</v>
      </c>
      <c r="DQ117" s="47" t="s">
        <v>0</v>
      </c>
      <c r="DR117" s="52" t="str">
        <f t="shared" si="131"/>
        <v>Vanja – Suhina – OK Kapela</v>
      </c>
      <c r="DS117" s="53">
        <f t="shared" si="132"/>
        <v>317</v>
      </c>
      <c r="DT117" s="47" t="s">
        <v>0</v>
      </c>
      <c r="DU117" s="52" t="str">
        <f t="shared" si="133"/>
        <v>Vanja – Suhina</v>
      </c>
      <c r="DV117" s="53">
        <f t="shared" si="134"/>
        <v>317</v>
      </c>
      <c r="DW117" s="47" t="s">
        <v>0</v>
      </c>
      <c r="DX117" s="58">
        <f t="shared" si="177"/>
        <v>317</v>
      </c>
      <c r="DY117" s="53" cm="1">
        <f t="array" ref="DY117">IF(DX117&lt;&gt;"",INDEX(regNatjecatelj_id,DX117,0),IF(BD117&lt;&gt;"",BD117,""))</f>
        <v>1499</v>
      </c>
      <c r="DZ117" s="47" t="s">
        <v>0</v>
      </c>
      <c r="EA117" s="58" t="str">
        <f t="shared" si="135"/>
        <v>imepre</v>
      </c>
      <c r="EB117" s="73" t="str">
        <f t="shared" si="136"/>
        <v>klu</v>
      </c>
      <c r="EC117" s="73" t="str">
        <f t="shared" si="137"/>
        <v>kat</v>
      </c>
      <c r="ED117" s="73" t="str">
        <f t="shared" si="138"/>
        <v/>
      </c>
      <c r="EE117" s="66" t="str">
        <f t="shared" si="139"/>
        <v>imepre-klu-kat</v>
      </c>
      <c r="EF117" s="47" t="s">
        <v>0</v>
      </c>
      <c r="EG117" s="58">
        <f>IF(AL117="","",MAX(EG$12:EG116)+1)</f>
        <v>285</v>
      </c>
      <c r="EH117" s="73">
        <f t="shared" si="140"/>
        <v>29</v>
      </c>
      <c r="EI117" s="73">
        <f t="shared" si="178"/>
        <v>1499</v>
      </c>
      <c r="EJ117" s="73">
        <f t="shared" si="141"/>
        <v>4164</v>
      </c>
      <c r="EK117" s="73">
        <f t="shared" si="142"/>
        <v>1</v>
      </c>
      <c r="EL117" s="73">
        <f t="shared" si="179"/>
        <v>1</v>
      </c>
      <c r="EM117" s="73">
        <f t="shared" si="180"/>
        <v>1</v>
      </c>
      <c r="EN117" s="73" t="str">
        <f t="shared" si="143"/>
        <v>0</v>
      </c>
      <c r="EO117" s="73" t="str">
        <f t="shared" si="144"/>
        <v/>
      </c>
      <c r="EP117" s="73" t="str">
        <f t="shared" si="145"/>
        <v/>
      </c>
      <c r="EQ117" s="53" t="str">
        <f t="shared" si="146"/>
        <v/>
      </c>
      <c r="ER117" s="47" t="s">
        <v>0</v>
      </c>
      <c r="ES117" s="19" t="str">
        <f t="shared" si="181"/>
        <v>INSERT INTO rezultat(id,stazakategorija_id,imeprezime_id,vrijeme_sec,status_id,registracija,uparivanje_id,originalstatus_id,imeprezimealias_id,klubalias_id,kategorijaalias_id) VALUES (285,29,1499,4164,1,1,1,0,Null,Null,Null);</v>
      </c>
      <c r="ET117" s="47" t="s">
        <v>0</v>
      </c>
      <c r="EU117" s="19" t="str">
        <f t="shared" si="182"/>
        <v>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7" s="47" t="s">
        <v>0</v>
      </c>
      <c r="EW117" s="180" t="str">
        <f t="shared" si="147"/>
        <v xml:space="preserve">
INSERT INTO rezultat(id,stazakategorija_id,imeprezime_id,vrijeme_sec,status_id,registracija,uparivanje_id,originalstatus_id,imeprezimealias_id,klubalias_id,kategorijaalias_id) VALUES (285,29,1499,4164,1,1,1,0,Null,Null,Null);
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7" s="47" t="s">
        <v>0</v>
      </c>
    </row>
    <row r="118" spans="1:154" x14ac:dyDescent="0.25">
      <c r="A118" t="s">
        <v>0</v>
      </c>
      <c r="B118" s="52" t="str">
        <f>IF(csv!F108="","",csv!T108)</f>
        <v>M35</v>
      </c>
      <c r="C118" s="31" t="s">
        <v>0</v>
      </c>
      <c r="D118" s="31" t="str">
        <f>IF(csv!F108="","",csv!F108)</f>
        <v>Duje</v>
      </c>
      <c r="E118" s="31" t="str">
        <f>IF(csv!E108="","",csv!E108)</f>
        <v>Rako</v>
      </c>
      <c r="F118" s="31" t="s">
        <v>0</v>
      </c>
      <c r="G118" s="73" t="str">
        <f>IF(csv!M108="","",csv!M108)</f>
        <v>69:30</v>
      </c>
      <c r="H118" s="73" t="str">
        <f>IF(csv!N108="","",csv!N108)</f>
        <v>0</v>
      </c>
      <c r="I118" s="31" t="s">
        <v>0</v>
      </c>
      <c r="J118" s="31" t="str">
        <f>IF(csv!P108="","",csv!P108)</f>
        <v>Vihor</v>
      </c>
      <c r="K118" s="31" t="str">
        <f>IF(csv!Q108="","",csv!Q108)</f>
        <v>OK Vihor</v>
      </c>
      <c r="L118" s="31" t="s">
        <v>0</v>
      </c>
      <c r="M118" s="66" t="str">
        <f>IF(csv!R108="","",csv!R108)</f>
        <v>CRO</v>
      </c>
      <c r="N118" s="47" t="s">
        <v>0</v>
      </c>
      <c r="O118" s="246" t="str">
        <f t="shared" si="148"/>
        <v>ok</v>
      </c>
      <c r="P118" s="47"/>
      <c r="Q118" s="52" t="str">
        <f t="shared" si="149"/>
        <v>M35</v>
      </c>
      <c r="R118" s="73">
        <f>IF(Q118="","",IF(COUNTIF(Q$12:Q117,Q118)=0,R117+1,R117))</f>
        <v>7</v>
      </c>
      <c r="S118" s="73">
        <f t="shared" si="150"/>
        <v>107</v>
      </c>
      <c r="T118" s="73">
        <f t="shared" si="113"/>
        <v>18</v>
      </c>
      <c r="U118" s="66" t="str">
        <f t="shared" si="114"/>
        <v>M35</v>
      </c>
      <c r="V118" s="47" t="s">
        <v>0</v>
      </c>
      <c r="W118" s="222" t="str">
        <f t="shared" si="115"/>
        <v>M35</v>
      </c>
      <c r="X118" s="223">
        <f t="shared" si="116"/>
        <v>29</v>
      </c>
      <c r="Y118" s="47" t="s">
        <v>0</v>
      </c>
      <c r="Z118" s="52" t="str">
        <f t="shared" si="151"/>
        <v>CRO</v>
      </c>
      <c r="AA118" s="73">
        <f t="shared" si="117"/>
        <v>1</v>
      </c>
      <c r="AB118" s="31" t="str">
        <f t="shared" si="152"/>
        <v/>
      </c>
      <c r="AC118" s="66" t="str">
        <f>IF(AB118="","",MAX(AC$12:AC117)+1)</f>
        <v/>
      </c>
      <c r="AD118" s="47" t="s">
        <v>0</v>
      </c>
      <c r="AE118" s="125"/>
      <c r="AF118" s="47" t="s">
        <v>0</v>
      </c>
      <c r="AG118" s="19" t="str">
        <f t="shared" si="153"/>
        <v/>
      </c>
      <c r="AH118" s="47" t="s">
        <v>0</v>
      </c>
      <c r="AI118" s="143" t="str">
        <f t="shared" si="154"/>
        <v>CRO</v>
      </c>
      <c r="AJ118" s="47"/>
      <c r="AK118" s="52" t="str">
        <f t="shared" si="155"/>
        <v>Duje</v>
      </c>
      <c r="AL118" s="31" t="str">
        <f t="shared" si="156"/>
        <v>Rako</v>
      </c>
      <c r="AM118" s="73">
        <f t="shared" si="157"/>
        <v>1374</v>
      </c>
      <c r="AN118" s="73" t="str">
        <f t="shared" si="158"/>
        <v/>
      </c>
      <c r="AO118" s="31" t="str">
        <f t="shared" si="118"/>
        <v>Duje</v>
      </c>
      <c r="AP118" s="66" t="str">
        <f t="shared" si="119"/>
        <v>Rako</v>
      </c>
      <c r="AQ118" s="47" t="s">
        <v>0</v>
      </c>
      <c r="AR118" s="82" t="str">
        <f t="shared" si="159"/>
        <v/>
      </c>
      <c r="AS118" s="47" t="s">
        <v>0</v>
      </c>
      <c r="AT118" s="19" t="str">
        <f t="shared" si="160"/>
        <v/>
      </c>
      <c r="AU118" s="47" t="s">
        <v>0</v>
      </c>
      <c r="AV118" s="103"/>
      <c r="AW118" s="105"/>
      <c r="AX118" s="47" t="s">
        <v>0</v>
      </c>
      <c r="AY118" s="259" t="str">
        <f t="shared" si="183"/>
        <v/>
      </c>
      <c r="AZ118" s="47" t="s">
        <v>0</v>
      </c>
      <c r="BA118" s="52" t="str">
        <f t="shared" si="120"/>
        <v/>
      </c>
      <c r="BB118" s="73" t="str">
        <f>IF(AV118&amp;AW118="","",MAX(BB$12:BB117)+1)</f>
        <v/>
      </c>
      <c r="BC118" s="272" t="str">
        <f t="shared" si="121"/>
        <v/>
      </c>
      <c r="BD118" s="53" t="str">
        <f>IF(AND(AM118="NEMA",AN118="NEMA",OR(AV118&amp;AW118="",BC118="NEMA")),MAX(BD$12:BD117)+1,"")</f>
        <v/>
      </c>
      <c r="BE118" s="47" t="s">
        <v>0</v>
      </c>
      <c r="BF118" s="52" t="str">
        <f t="shared" si="161"/>
        <v>Duje</v>
      </c>
      <c r="BG118" s="66" t="str">
        <f t="shared" si="162"/>
        <v>Rako</v>
      </c>
      <c r="BH118" s="47" t="s">
        <v>0</v>
      </c>
      <c r="BI118" s="52" t="str">
        <f t="shared" si="122"/>
        <v>Vihor</v>
      </c>
      <c r="BJ118" s="31" t="str">
        <f t="shared" si="123"/>
        <v>OK Vihor</v>
      </c>
      <c r="BK118" s="73" t="str">
        <f t="shared" si="124"/>
        <v/>
      </c>
      <c r="BL118" s="31" t="str" cm="1">
        <f t="array" ref="BL118">IF(BK118="",""&amp;BJ118,IF(BK118="NEMA",BJ118,INDEX(regKlub_naziv,MATCH(INDEX(regKlub_alias_klubId,BK118),regKlub_id,0))))</f>
        <v>OK Vihor</v>
      </c>
      <c r="BM118" s="31" t="str" cm="1">
        <f t="array" ref="BM118">IFERROR(""&amp;INDEX(regNatjecatelj_klub,DV118),"")</f>
        <v>OK Vihor</v>
      </c>
      <c r="BN118" s="73" t="str">
        <f t="shared" si="163"/>
        <v/>
      </c>
      <c r="BO118" s="66" t="str">
        <f t="shared" si="164"/>
        <v>OK Vihor</v>
      </c>
      <c r="BP118" s="47" t="s">
        <v>0</v>
      </c>
      <c r="BQ118" s="52" t="str">
        <f>IF(X118&lt;&gt;"NEMA","",IF(IFERROR(MATCH(W118,W$12:W117,0),0)&lt;&gt;0,"",W118))</f>
        <v/>
      </c>
      <c r="BR118" s="73" t="str">
        <f t="shared" si="165"/>
        <v/>
      </c>
      <c r="BS118" s="31" t="str">
        <f>IF(OR(BR118="",BR118&lt;&gt;"NEMA"),"",MAX(BS$12:BS117)+1)</f>
        <v/>
      </c>
      <c r="BT118" s="66" t="str">
        <f t="shared" si="166"/>
        <v/>
      </c>
      <c r="BU118" s="47" t="s">
        <v>0</v>
      </c>
      <c r="BV118" s="19" t="str">
        <f t="shared" si="167"/>
        <v/>
      </c>
      <c r="BW118" s="47" t="s">
        <v>0</v>
      </c>
      <c r="BX118" s="82" t="str">
        <f>IF(BK118&lt;&gt;"NEMA","",IF(IFERROR(MATCH(BJ118,BJ$12:BJ117,0),0)&lt;&gt;0,"",BJ118))</f>
        <v/>
      </c>
      <c r="BY118" s="47" t="s">
        <v>0</v>
      </c>
      <c r="BZ118" s="125"/>
      <c r="CA118" s="47" t="s">
        <v>0</v>
      </c>
      <c r="CB118" s="58" t="str">
        <f t="shared" si="168"/>
        <v/>
      </c>
      <c r="CC118" s="31" t="str">
        <f t="shared" si="169"/>
        <v/>
      </c>
      <c r="CD118" s="31" t="str">
        <f>IF(CC118="","",MAX(CD$12:CD117)+1)</f>
        <v/>
      </c>
      <c r="CE118" s="31" t="str">
        <f t="shared" si="125"/>
        <v/>
      </c>
      <c r="CF118" s="31" t="str">
        <f t="shared" si="170"/>
        <v/>
      </c>
      <c r="CG118" s="31" t="str">
        <f>IF(BZ118="","",MAX(CG$12:CG117)+1)</f>
        <v/>
      </c>
      <c r="CH118" s="31" t="str">
        <f t="shared" si="171"/>
        <v/>
      </c>
      <c r="CI118" s="66" t="str">
        <f t="shared" si="172"/>
        <v/>
      </c>
      <c r="CJ118" s="47" t="s">
        <v>0</v>
      </c>
      <c r="CK118" s="73" t="str">
        <f t="shared" si="126"/>
        <v/>
      </c>
      <c r="CL118" s="47"/>
      <c r="CM118" s="19" t="str">
        <f t="shared" si="173"/>
        <v/>
      </c>
      <c r="CN118" s="47" t="s">
        <v>0</v>
      </c>
      <c r="CO118" s="143" t="str">
        <f t="shared" si="174"/>
        <v>OK Vihor</v>
      </c>
      <c r="CP118" s="47" t="s">
        <v>0</v>
      </c>
      <c r="CQ118" s="58" t="str">
        <f t="shared" si="190"/>
        <v>69:30</v>
      </c>
      <c r="CR118" s="73" t="str">
        <f t="shared" si="191"/>
        <v>0</v>
      </c>
      <c r="CS118" s="229" t="str">
        <f t="shared" si="127"/>
        <v/>
      </c>
      <c r="CT118" s="230">
        <f t="shared" si="112"/>
        <v>4170</v>
      </c>
      <c r="CU118" s="163">
        <f t="shared" si="128"/>
        <v>1</v>
      </c>
      <c r="CV118" s="47" t="s">
        <v>0</v>
      </c>
      <c r="CW118" s="222" t="str">
        <f t="shared" si="175"/>
        <v xml:space="preserve">
</v>
      </c>
      <c r="CX118" s="223">
        <f t="shared" si="176"/>
        <v>6</v>
      </c>
      <c r="CY118" s="47" t="s">
        <v>0</v>
      </c>
      <c r="CZ118" s="47"/>
      <c r="DA118" s="47"/>
      <c r="DB118" s="47"/>
      <c r="DC118" s="47" t="s">
        <v>0</v>
      </c>
      <c r="DD118" s="53" t="str">
        <f t="shared" si="184"/>
        <v/>
      </c>
      <c r="DE118" t="s">
        <v>0</v>
      </c>
      <c r="DF118" s="128" t="str">
        <f t="shared" si="185"/>
        <v>M</v>
      </c>
      <c r="DG118" t="s">
        <v>0</v>
      </c>
      <c r="DH118" s="52" t="str">
        <f t="shared" si="186"/>
        <v/>
      </c>
      <c r="DI118" s="66" t="str">
        <f t="shared" si="187"/>
        <v/>
      </c>
      <c r="DJ118" t="s">
        <v>0</v>
      </c>
      <c r="DK118" s="19" t="str">
        <f t="shared" si="188"/>
        <v/>
      </c>
      <c r="DL118" s="47" t="s">
        <v>0</v>
      </c>
      <c r="DM118" s="19" t="str">
        <f t="shared" si="189"/>
        <v/>
      </c>
      <c r="DN118" s="47" t="s">
        <v>0</v>
      </c>
      <c r="DO118" s="52" t="str">
        <f t="shared" si="129"/>
        <v>Duje – Rako – OK Vihor – M35</v>
      </c>
      <c r="DP118" s="53">
        <f t="shared" si="130"/>
        <v>868</v>
      </c>
      <c r="DQ118" s="47" t="s">
        <v>0</v>
      </c>
      <c r="DR118" s="52" t="str">
        <f t="shared" si="131"/>
        <v>Duje – Rako – OK Vihor</v>
      </c>
      <c r="DS118" s="53">
        <f t="shared" si="132"/>
        <v>868</v>
      </c>
      <c r="DT118" s="47" t="s">
        <v>0</v>
      </c>
      <c r="DU118" s="52" t="str">
        <f t="shared" si="133"/>
        <v>Duje – Rako</v>
      </c>
      <c r="DV118" s="53">
        <f t="shared" si="134"/>
        <v>868</v>
      </c>
      <c r="DW118" s="47" t="s">
        <v>0</v>
      </c>
      <c r="DX118" s="58">
        <f t="shared" si="177"/>
        <v>868</v>
      </c>
      <c r="DY118" s="53" cm="1">
        <f t="array" ref="DY118">IF(DX118&lt;&gt;"",INDEX(regNatjecatelj_id,DX118,0),IF(BD118&lt;&gt;"",BD118,""))</f>
        <v>1374</v>
      </c>
      <c r="DZ118" s="47" t="s">
        <v>0</v>
      </c>
      <c r="EA118" s="58" t="str">
        <f t="shared" si="135"/>
        <v>imepre</v>
      </c>
      <c r="EB118" s="73" t="str">
        <f t="shared" si="136"/>
        <v>klu</v>
      </c>
      <c r="EC118" s="73" t="str">
        <f t="shared" si="137"/>
        <v>kat</v>
      </c>
      <c r="ED118" s="73" t="str">
        <f t="shared" si="138"/>
        <v/>
      </c>
      <c r="EE118" s="66" t="str">
        <f t="shared" si="139"/>
        <v>imepre-klu-kat</v>
      </c>
      <c r="EF118" s="47" t="s">
        <v>0</v>
      </c>
      <c r="EG118" s="58">
        <f>IF(AL118="","",MAX(EG$12:EG117)+1)</f>
        <v>286</v>
      </c>
      <c r="EH118" s="73">
        <f t="shared" si="140"/>
        <v>29</v>
      </c>
      <c r="EI118" s="73">
        <f t="shared" si="178"/>
        <v>1374</v>
      </c>
      <c r="EJ118" s="73">
        <f t="shared" si="141"/>
        <v>4170</v>
      </c>
      <c r="EK118" s="73">
        <f t="shared" si="142"/>
        <v>1</v>
      </c>
      <c r="EL118" s="73">
        <f t="shared" si="179"/>
        <v>1</v>
      </c>
      <c r="EM118" s="73">
        <f t="shared" si="180"/>
        <v>1</v>
      </c>
      <c r="EN118" s="73" t="str">
        <f t="shared" si="143"/>
        <v>0</v>
      </c>
      <c r="EO118" s="73" t="str">
        <f t="shared" si="144"/>
        <v/>
      </c>
      <c r="EP118" s="73" t="str">
        <f t="shared" si="145"/>
        <v/>
      </c>
      <c r="EQ118" s="53" t="str">
        <f t="shared" si="146"/>
        <v/>
      </c>
      <c r="ER118" s="47" t="s">
        <v>0</v>
      </c>
      <c r="ES118" s="19" t="str">
        <f t="shared" si="181"/>
        <v>INSERT INTO rezultat(id,stazakategorija_id,imeprezime_id,vrijeme_sec,status_id,registracija,uparivanje_id,originalstatus_id,imeprezimealias_id,klubalias_id,kategorijaalias_id) VALUES (286,29,1374,4170,1,1,1,0,Null,Null,Null);</v>
      </c>
      <c r="ET118" s="47" t="s">
        <v>0</v>
      </c>
      <c r="EU118" s="19" t="str">
        <f t="shared" si="182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8" s="47" t="s">
        <v>0</v>
      </c>
      <c r="EW118" s="180" t="str">
        <f t="shared" si="147"/>
        <v xml:space="preserve">
INSERT INTO rezultat(id,stazakategorija_id,imeprezime_id,vrijeme_sec,status_id,registracija,uparivanje_id,originalstatus_id,imeprezimealias_id,klubalias_id,kategorijaalias_id) VALUES (286,29,1374,4170,1,1,1,0,Null,Null,Null);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8" s="47" t="s">
        <v>0</v>
      </c>
    </row>
    <row r="119" spans="1:154" x14ac:dyDescent="0.25">
      <c r="A119" t="s">
        <v>0</v>
      </c>
      <c r="B119" s="52" t="str">
        <f>IF(csv!F109="","",csv!T109)</f>
        <v>M35</v>
      </c>
      <c r="C119" s="31" t="s">
        <v>0</v>
      </c>
      <c r="D119" s="31" t="str">
        <f>IF(csv!F109="","",csv!F109)</f>
        <v>Tomislav</v>
      </c>
      <c r="E119" s="31" t="str">
        <f>IF(csv!E109="","",csv!E109)</f>
        <v>Vuk</v>
      </c>
      <c r="F119" s="31" t="s">
        <v>0</v>
      </c>
      <c r="G119" s="73" t="str">
        <f>IF(csv!M109="","",csv!M109)</f>
        <v>75:11</v>
      </c>
      <c r="H119" s="73" t="str">
        <f>IF(csv!N109="","",csv!N109)</f>
        <v>0</v>
      </c>
      <c r="I119" s="31" t="s">
        <v>0</v>
      </c>
      <c r="J119" s="31" t="str">
        <f>IF(csv!P109="","",csv!P109)</f>
        <v>Vihor</v>
      </c>
      <c r="K119" s="31" t="str">
        <f>IF(csv!Q109="","",csv!Q109)</f>
        <v>OK Vihor</v>
      </c>
      <c r="L119" s="31" t="s">
        <v>0</v>
      </c>
      <c r="M119" s="66" t="str">
        <f>IF(csv!R109="","",csv!R109)</f>
        <v>CRO</v>
      </c>
      <c r="N119" s="47" t="s">
        <v>0</v>
      </c>
      <c r="O119" s="246" t="str">
        <f t="shared" si="148"/>
        <v>ok</v>
      </c>
      <c r="P119" s="47"/>
      <c r="Q119" s="52" t="str">
        <f t="shared" si="149"/>
        <v>M35</v>
      </c>
      <c r="R119" s="73">
        <f>IF(Q119="","",IF(COUNTIF(Q$12:Q118,Q119)=0,R118+1,R118))</f>
        <v>7</v>
      </c>
      <c r="S119" s="73">
        <f t="shared" si="150"/>
        <v>107</v>
      </c>
      <c r="T119" s="73">
        <f t="shared" si="113"/>
        <v>18</v>
      </c>
      <c r="U119" s="66" t="str">
        <f t="shared" si="114"/>
        <v>M35</v>
      </c>
      <c r="V119" s="47" t="s">
        <v>0</v>
      </c>
      <c r="W119" s="222" t="str">
        <f t="shared" si="115"/>
        <v>M35</v>
      </c>
      <c r="X119" s="223">
        <f t="shared" si="116"/>
        <v>29</v>
      </c>
      <c r="Y119" s="47" t="s">
        <v>0</v>
      </c>
      <c r="Z119" s="52" t="str">
        <f t="shared" si="151"/>
        <v>CRO</v>
      </c>
      <c r="AA119" s="73">
        <f t="shared" si="117"/>
        <v>1</v>
      </c>
      <c r="AB119" s="31" t="str">
        <f t="shared" si="152"/>
        <v/>
      </c>
      <c r="AC119" s="66" t="str">
        <f>IF(AB119="","",MAX(AC$12:AC118)+1)</f>
        <v/>
      </c>
      <c r="AD119" s="47" t="s">
        <v>0</v>
      </c>
      <c r="AE119" s="125"/>
      <c r="AF119" s="47" t="s">
        <v>0</v>
      </c>
      <c r="AG119" s="19" t="str">
        <f t="shared" si="153"/>
        <v/>
      </c>
      <c r="AH119" s="47" t="s">
        <v>0</v>
      </c>
      <c r="AI119" s="143" t="str">
        <f t="shared" si="154"/>
        <v>CRO</v>
      </c>
      <c r="AJ119" s="47"/>
      <c r="AK119" s="52" t="str">
        <f t="shared" si="155"/>
        <v>Tomislav</v>
      </c>
      <c r="AL119" s="31" t="str">
        <f t="shared" si="156"/>
        <v>Vuk</v>
      </c>
      <c r="AM119" s="73">
        <f t="shared" si="157"/>
        <v>1448</v>
      </c>
      <c r="AN119" s="73" t="str">
        <f t="shared" si="158"/>
        <v/>
      </c>
      <c r="AO119" s="31" t="str">
        <f t="shared" si="118"/>
        <v>Tomislav</v>
      </c>
      <c r="AP119" s="66" t="str">
        <f t="shared" si="119"/>
        <v>Vuk</v>
      </c>
      <c r="AQ119" s="47" t="s">
        <v>0</v>
      </c>
      <c r="AR119" s="82" t="str">
        <f t="shared" si="159"/>
        <v/>
      </c>
      <c r="AS119" s="47" t="s">
        <v>0</v>
      </c>
      <c r="AT119" s="19" t="str">
        <f t="shared" si="160"/>
        <v/>
      </c>
      <c r="AU119" s="47" t="s">
        <v>0</v>
      </c>
      <c r="AV119" s="103"/>
      <c r="AW119" s="105"/>
      <c r="AX119" s="47" t="s">
        <v>0</v>
      </c>
      <c r="AY119" s="259" t="str">
        <f t="shared" si="183"/>
        <v/>
      </c>
      <c r="AZ119" s="47" t="s">
        <v>0</v>
      </c>
      <c r="BA119" s="52" t="str">
        <f t="shared" si="120"/>
        <v/>
      </c>
      <c r="BB119" s="73" t="str">
        <f>IF(AV119&amp;AW119="","",MAX(BB$12:BB118)+1)</f>
        <v/>
      </c>
      <c r="BC119" s="272" t="str">
        <f t="shared" si="121"/>
        <v/>
      </c>
      <c r="BD119" s="53" t="str">
        <f>IF(AND(AM119="NEMA",AN119="NEMA",OR(AV119&amp;AW119="",BC119="NEMA")),MAX(BD$12:BD118)+1,"")</f>
        <v/>
      </c>
      <c r="BE119" s="47" t="s">
        <v>0</v>
      </c>
      <c r="BF119" s="52" t="str">
        <f t="shared" si="161"/>
        <v>Tomislav</v>
      </c>
      <c r="BG119" s="66" t="str">
        <f t="shared" si="162"/>
        <v>Vuk</v>
      </c>
      <c r="BH119" s="47" t="s">
        <v>0</v>
      </c>
      <c r="BI119" s="52" t="str">
        <f t="shared" si="122"/>
        <v>Vihor</v>
      </c>
      <c r="BJ119" s="31" t="str">
        <f t="shared" si="123"/>
        <v>OK Vihor</v>
      </c>
      <c r="BK119" s="73" t="str">
        <f t="shared" si="124"/>
        <v/>
      </c>
      <c r="BL119" s="31" t="str" cm="1">
        <f t="array" ref="BL119">IF(BK119="",""&amp;BJ119,IF(BK119="NEMA",BJ119,INDEX(regKlub_naziv,MATCH(INDEX(regKlub_alias_klubId,BK119),regKlub_id,0))))</f>
        <v>OK Vihor</v>
      </c>
      <c r="BM119" s="31" t="str" cm="1">
        <f t="array" ref="BM119">IFERROR(""&amp;INDEX(regNatjecatelj_klub,DV119),"")</f>
        <v>OK Vihor</v>
      </c>
      <c r="BN119" s="73" t="str">
        <f t="shared" si="163"/>
        <v/>
      </c>
      <c r="BO119" s="66" t="str">
        <f t="shared" si="164"/>
        <v>OK Vihor</v>
      </c>
      <c r="BP119" s="47" t="s">
        <v>0</v>
      </c>
      <c r="BQ119" s="52" t="str">
        <f>IF(X119&lt;&gt;"NEMA","",IF(IFERROR(MATCH(W119,W$12:W118,0),0)&lt;&gt;0,"",W119))</f>
        <v/>
      </c>
      <c r="BR119" s="73" t="str">
        <f t="shared" si="165"/>
        <v/>
      </c>
      <c r="BS119" s="31" t="str">
        <f>IF(OR(BR119="",BR119&lt;&gt;"NEMA"),"",MAX(BS$12:BS118)+1)</f>
        <v/>
      </c>
      <c r="BT119" s="66" t="str">
        <f t="shared" si="166"/>
        <v/>
      </c>
      <c r="BU119" s="47" t="s">
        <v>0</v>
      </c>
      <c r="BV119" s="19" t="str">
        <f t="shared" si="167"/>
        <v/>
      </c>
      <c r="BW119" s="47" t="s">
        <v>0</v>
      </c>
      <c r="BX119" s="82" t="str">
        <f>IF(BK119&lt;&gt;"NEMA","",IF(IFERROR(MATCH(BJ119,BJ$12:BJ118,0),0)&lt;&gt;0,"",BJ119))</f>
        <v/>
      </c>
      <c r="BY119" s="47" t="s">
        <v>0</v>
      </c>
      <c r="BZ119" s="125"/>
      <c r="CA119" s="47" t="s">
        <v>0</v>
      </c>
      <c r="CB119" s="58" t="str">
        <f t="shared" si="168"/>
        <v/>
      </c>
      <c r="CC119" s="31" t="str">
        <f t="shared" si="169"/>
        <v/>
      </c>
      <c r="CD119" s="31" t="str">
        <f>IF(CC119="","",MAX(CD$12:CD118)+1)</f>
        <v/>
      </c>
      <c r="CE119" s="31" t="str">
        <f t="shared" si="125"/>
        <v/>
      </c>
      <c r="CF119" s="31" t="str">
        <f t="shared" si="170"/>
        <v/>
      </c>
      <c r="CG119" s="31" t="str">
        <f>IF(BZ119="","",MAX(CG$12:CG118)+1)</f>
        <v/>
      </c>
      <c r="CH119" s="31" t="str">
        <f t="shared" si="171"/>
        <v/>
      </c>
      <c r="CI119" s="66" t="str">
        <f t="shared" si="172"/>
        <v/>
      </c>
      <c r="CJ119" s="47" t="s">
        <v>0</v>
      </c>
      <c r="CK119" s="73" t="str">
        <f t="shared" si="126"/>
        <v/>
      </c>
      <c r="CL119" s="47"/>
      <c r="CM119" s="19" t="str">
        <f t="shared" si="173"/>
        <v/>
      </c>
      <c r="CN119" s="47" t="s">
        <v>0</v>
      </c>
      <c r="CO119" s="143" t="str">
        <f t="shared" si="174"/>
        <v>OK Vihor</v>
      </c>
      <c r="CP119" s="47" t="s">
        <v>0</v>
      </c>
      <c r="CQ119" s="58" t="str">
        <f t="shared" si="190"/>
        <v>75:11</v>
      </c>
      <c r="CR119" s="73" t="str">
        <f t="shared" si="191"/>
        <v>0</v>
      </c>
      <c r="CS119" s="229" t="str">
        <f t="shared" si="127"/>
        <v/>
      </c>
      <c r="CT119" s="230">
        <f t="shared" si="112"/>
        <v>4511</v>
      </c>
      <c r="CU119" s="163">
        <f t="shared" si="128"/>
        <v>1</v>
      </c>
      <c r="CV119" s="47" t="s">
        <v>0</v>
      </c>
      <c r="CW119" s="222" t="str">
        <f t="shared" si="175"/>
        <v xml:space="preserve">
</v>
      </c>
      <c r="CX119" s="223">
        <f t="shared" si="176"/>
        <v>6</v>
      </c>
      <c r="CY119" s="47" t="s">
        <v>0</v>
      </c>
      <c r="CZ119" s="47"/>
      <c r="DA119" s="47"/>
      <c r="DB119" s="47"/>
      <c r="DC119" s="47" t="s">
        <v>0</v>
      </c>
      <c r="DD119" s="53" t="str">
        <f t="shared" si="184"/>
        <v/>
      </c>
      <c r="DE119" t="s">
        <v>0</v>
      </c>
      <c r="DF119" s="128" t="str">
        <f t="shared" si="185"/>
        <v>M</v>
      </c>
      <c r="DG119" t="s">
        <v>0</v>
      </c>
      <c r="DH119" s="52" t="str">
        <f t="shared" si="186"/>
        <v/>
      </c>
      <c r="DI119" s="66" t="str">
        <f t="shared" si="187"/>
        <v/>
      </c>
      <c r="DJ119" t="s">
        <v>0</v>
      </c>
      <c r="DK119" s="19" t="str">
        <f t="shared" si="188"/>
        <v/>
      </c>
      <c r="DL119" s="47" t="s">
        <v>0</v>
      </c>
      <c r="DM119" s="19" t="str">
        <f t="shared" si="189"/>
        <v/>
      </c>
      <c r="DN119" s="47" t="s">
        <v>0</v>
      </c>
      <c r="DO119" s="52" t="str">
        <f t="shared" si="129"/>
        <v>Tomislav – Vuk – OK Vihor – M35</v>
      </c>
      <c r="DP119" s="53">
        <f t="shared" si="130"/>
        <v>944</v>
      </c>
      <c r="DQ119" s="47" t="s">
        <v>0</v>
      </c>
      <c r="DR119" s="52" t="str">
        <f t="shared" si="131"/>
        <v>Tomislav – Vuk – OK Vihor</v>
      </c>
      <c r="DS119" s="53">
        <f t="shared" si="132"/>
        <v>944</v>
      </c>
      <c r="DT119" s="47" t="s">
        <v>0</v>
      </c>
      <c r="DU119" s="52" t="str">
        <f t="shared" si="133"/>
        <v>Tomislav – Vuk</v>
      </c>
      <c r="DV119" s="53">
        <f t="shared" si="134"/>
        <v>944</v>
      </c>
      <c r="DW119" s="47" t="s">
        <v>0</v>
      </c>
      <c r="DX119" s="58">
        <f t="shared" si="177"/>
        <v>944</v>
      </c>
      <c r="DY119" s="53" cm="1">
        <f t="array" ref="DY119">IF(DX119&lt;&gt;"",INDEX(regNatjecatelj_id,DX119,0),IF(BD119&lt;&gt;"",BD119,""))</f>
        <v>1448</v>
      </c>
      <c r="DZ119" s="47" t="s">
        <v>0</v>
      </c>
      <c r="EA119" s="58" t="str">
        <f t="shared" si="135"/>
        <v>imepre</v>
      </c>
      <c r="EB119" s="73" t="str">
        <f t="shared" si="136"/>
        <v>klu</v>
      </c>
      <c r="EC119" s="73" t="str">
        <f t="shared" si="137"/>
        <v>kat</v>
      </c>
      <c r="ED119" s="73" t="str">
        <f t="shared" si="138"/>
        <v/>
      </c>
      <c r="EE119" s="66" t="str">
        <f t="shared" si="139"/>
        <v>imepre-klu-kat</v>
      </c>
      <c r="EF119" s="47" t="s">
        <v>0</v>
      </c>
      <c r="EG119" s="58">
        <f>IF(AL119="","",MAX(EG$12:EG118)+1)</f>
        <v>287</v>
      </c>
      <c r="EH119" s="73">
        <f t="shared" si="140"/>
        <v>29</v>
      </c>
      <c r="EI119" s="73">
        <f t="shared" si="178"/>
        <v>1448</v>
      </c>
      <c r="EJ119" s="73">
        <f t="shared" si="141"/>
        <v>4511</v>
      </c>
      <c r="EK119" s="73">
        <f t="shared" si="142"/>
        <v>1</v>
      </c>
      <c r="EL119" s="73">
        <f t="shared" si="179"/>
        <v>1</v>
      </c>
      <c r="EM119" s="73">
        <f t="shared" si="180"/>
        <v>1</v>
      </c>
      <c r="EN119" s="73" t="str">
        <f t="shared" si="143"/>
        <v>0</v>
      </c>
      <c r="EO119" s="73" t="str">
        <f t="shared" si="144"/>
        <v/>
      </c>
      <c r="EP119" s="73" t="str">
        <f t="shared" si="145"/>
        <v/>
      </c>
      <c r="EQ119" s="53" t="str">
        <f t="shared" si="146"/>
        <v/>
      </c>
      <c r="ER119" s="47" t="s">
        <v>0</v>
      </c>
      <c r="ES119" s="19" t="str">
        <f t="shared" si="181"/>
        <v>INSERT INTO rezultat(id,stazakategorija_id,imeprezime_id,vrijeme_sec,status_id,registracija,uparivanje_id,originalstatus_id,imeprezimealias_id,klubalias_id,kategorijaalias_id) VALUES (287,29,1448,4511,1,1,1,0,Null,Null,Null);</v>
      </c>
      <c r="ET119" s="47" t="s">
        <v>0</v>
      </c>
      <c r="EU119" s="19" t="str">
        <f t="shared" si="182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9" s="47" t="s">
        <v>0</v>
      </c>
      <c r="EW119" s="180" t="str">
        <f t="shared" si="147"/>
        <v xml:space="preserve">
INSERT INTO rezultat(id,stazakategorija_id,imeprezime_id,vrijeme_sec,status_id,registracija,uparivanje_id,originalstatus_id,imeprezimealias_id,klubalias_id,kategorijaalias_id) VALUES (287,29,1448,4511,1,1,1,0,Null,Null,Null);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9" s="47" t="s">
        <v>0</v>
      </c>
    </row>
    <row r="120" spans="1:154" x14ac:dyDescent="0.25">
      <c r="A120" t="s">
        <v>0</v>
      </c>
      <c r="B120" s="52" t="str">
        <f>IF(csv!F110="","",csv!T110)</f>
        <v>M35</v>
      </c>
      <c r="C120" s="31" t="s">
        <v>0</v>
      </c>
      <c r="D120" s="31" t="str">
        <f>IF(csv!F110="","",csv!F110)</f>
        <v>Miroslav</v>
      </c>
      <c r="E120" s="31" t="str">
        <f>IF(csv!E110="","",csv!E110)</f>
        <v>Hainž</v>
      </c>
      <c r="F120" s="31" t="s">
        <v>0</v>
      </c>
      <c r="G120" s="73" t="str">
        <f>IF(csv!M110="","",csv!M110)</f>
        <v>78:12</v>
      </c>
      <c r="H120" s="73" t="str">
        <f>IF(csv!N110="","",csv!N110)</f>
        <v>0</v>
      </c>
      <c r="I120" s="31" t="s">
        <v>0</v>
      </c>
      <c r="J120" s="31" t="str">
        <f>IF(csv!P110="","",csv!P110)</f>
        <v>OK Varaždin</v>
      </c>
      <c r="K120" s="31" t="str">
        <f>IF(csv!Q110="","",csv!Q110)</f>
        <v>OK Varaždin</v>
      </c>
      <c r="L120" s="31" t="s">
        <v>0</v>
      </c>
      <c r="M120" s="66" t="str">
        <f>IF(csv!R110="","",csv!R110)</f>
        <v>CRO</v>
      </c>
      <c r="N120" s="47" t="s">
        <v>0</v>
      </c>
      <c r="O120" s="246" t="str">
        <f t="shared" si="148"/>
        <v>ok</v>
      </c>
      <c r="P120" s="47"/>
      <c r="Q120" s="52" t="str">
        <f t="shared" si="149"/>
        <v>M35</v>
      </c>
      <c r="R120" s="73">
        <f>IF(Q120="","",IF(COUNTIF(Q$12:Q119,Q120)=0,R119+1,R119))</f>
        <v>7</v>
      </c>
      <c r="S120" s="73">
        <f t="shared" si="150"/>
        <v>107</v>
      </c>
      <c r="T120" s="73">
        <f t="shared" si="113"/>
        <v>18</v>
      </c>
      <c r="U120" s="66" t="str">
        <f t="shared" si="114"/>
        <v>M35</v>
      </c>
      <c r="V120" s="47" t="s">
        <v>0</v>
      </c>
      <c r="W120" s="222" t="str">
        <f t="shared" si="115"/>
        <v>M35</v>
      </c>
      <c r="X120" s="223">
        <f t="shared" si="116"/>
        <v>29</v>
      </c>
      <c r="Y120" s="47" t="s">
        <v>0</v>
      </c>
      <c r="Z120" s="52" t="str">
        <f t="shared" si="151"/>
        <v>CRO</v>
      </c>
      <c r="AA120" s="73">
        <f t="shared" si="117"/>
        <v>1</v>
      </c>
      <c r="AB120" s="31" t="str">
        <f t="shared" si="152"/>
        <v/>
      </c>
      <c r="AC120" s="66" t="str">
        <f>IF(AB120="","",MAX(AC$12:AC119)+1)</f>
        <v/>
      </c>
      <c r="AD120" s="47" t="s">
        <v>0</v>
      </c>
      <c r="AE120" s="125"/>
      <c r="AF120" s="47" t="s">
        <v>0</v>
      </c>
      <c r="AG120" s="19" t="str">
        <f t="shared" si="153"/>
        <v/>
      </c>
      <c r="AH120" s="47" t="s">
        <v>0</v>
      </c>
      <c r="AI120" s="143" t="str">
        <f t="shared" si="154"/>
        <v>CRO</v>
      </c>
      <c r="AJ120" s="47"/>
      <c r="AK120" s="52" t="str">
        <f t="shared" si="155"/>
        <v>Miroslav</v>
      </c>
      <c r="AL120" s="31" t="str">
        <f t="shared" si="156"/>
        <v>Hainž</v>
      </c>
      <c r="AM120" s="73">
        <f t="shared" si="157"/>
        <v>1151</v>
      </c>
      <c r="AN120" s="73" t="str">
        <f t="shared" si="158"/>
        <v/>
      </c>
      <c r="AO120" s="31" t="str">
        <f t="shared" si="118"/>
        <v>Miroslav</v>
      </c>
      <c r="AP120" s="66" t="str">
        <f t="shared" si="119"/>
        <v>Hainž</v>
      </c>
      <c r="AQ120" s="47" t="s">
        <v>0</v>
      </c>
      <c r="AR120" s="82" t="str">
        <f t="shared" si="159"/>
        <v/>
      </c>
      <c r="AS120" s="47" t="s">
        <v>0</v>
      </c>
      <c r="AT120" s="19" t="str">
        <f t="shared" si="160"/>
        <v/>
      </c>
      <c r="AU120" s="47" t="s">
        <v>0</v>
      </c>
      <c r="AV120" s="103"/>
      <c r="AW120" s="105"/>
      <c r="AX120" s="47" t="s">
        <v>0</v>
      </c>
      <c r="AY120" s="259" t="str">
        <f t="shared" si="183"/>
        <v/>
      </c>
      <c r="AZ120" s="47" t="s">
        <v>0</v>
      </c>
      <c r="BA120" s="52" t="str">
        <f t="shared" si="120"/>
        <v/>
      </c>
      <c r="BB120" s="73" t="str">
        <f>IF(AV120&amp;AW120="","",MAX(BB$12:BB119)+1)</f>
        <v/>
      </c>
      <c r="BC120" s="272" t="str">
        <f t="shared" si="121"/>
        <v/>
      </c>
      <c r="BD120" s="53" t="str">
        <f>IF(AND(AM120="NEMA",AN120="NEMA",OR(AV120&amp;AW120="",BC120="NEMA")),MAX(BD$12:BD119)+1,"")</f>
        <v/>
      </c>
      <c r="BE120" s="47" t="s">
        <v>0</v>
      </c>
      <c r="BF120" s="52" t="str">
        <f t="shared" si="161"/>
        <v>Miroslav</v>
      </c>
      <c r="BG120" s="66" t="str">
        <f t="shared" si="162"/>
        <v>Hainž</v>
      </c>
      <c r="BH120" s="47" t="s">
        <v>0</v>
      </c>
      <c r="BI120" s="52" t="str">
        <f t="shared" si="122"/>
        <v>OK Varaždin</v>
      </c>
      <c r="BJ120" s="31" t="str">
        <f t="shared" si="123"/>
        <v>OK Varaždin</v>
      </c>
      <c r="BK120" s="73" t="str">
        <f t="shared" si="124"/>
        <v/>
      </c>
      <c r="BL120" s="31" t="str" cm="1">
        <f t="array" ref="BL120">IF(BK120="",""&amp;BJ120,IF(BK120="NEMA",BJ120,INDEX(regKlub_naziv,MATCH(INDEX(regKlub_alias_klubId,BK120),regKlub_id,0))))</f>
        <v>OK Varaždin</v>
      </c>
      <c r="BM120" s="31" t="str" cm="1">
        <f t="array" ref="BM120">IFERROR(""&amp;INDEX(regNatjecatelj_klub,DV120),"")</f>
        <v>OK Varaždin</v>
      </c>
      <c r="BN120" s="73" t="str">
        <f t="shared" si="163"/>
        <v/>
      </c>
      <c r="BO120" s="66" t="str">
        <f t="shared" si="164"/>
        <v>OK Varaždin</v>
      </c>
      <c r="BP120" s="47" t="s">
        <v>0</v>
      </c>
      <c r="BQ120" s="52" t="str">
        <f>IF(X120&lt;&gt;"NEMA","",IF(IFERROR(MATCH(W120,W$12:W119,0),0)&lt;&gt;0,"",W120))</f>
        <v/>
      </c>
      <c r="BR120" s="73" t="str">
        <f t="shared" si="165"/>
        <v/>
      </c>
      <c r="BS120" s="31" t="str">
        <f>IF(OR(BR120="",BR120&lt;&gt;"NEMA"),"",MAX(BS$12:BS119)+1)</f>
        <v/>
      </c>
      <c r="BT120" s="66" t="str">
        <f t="shared" si="166"/>
        <v/>
      </c>
      <c r="BU120" s="47" t="s">
        <v>0</v>
      </c>
      <c r="BV120" s="19" t="str">
        <f t="shared" si="167"/>
        <v/>
      </c>
      <c r="BW120" s="47" t="s">
        <v>0</v>
      </c>
      <c r="BX120" s="82" t="str">
        <f>IF(BK120&lt;&gt;"NEMA","",IF(IFERROR(MATCH(BJ120,BJ$12:BJ119,0),0)&lt;&gt;0,"",BJ120))</f>
        <v/>
      </c>
      <c r="BY120" s="47" t="s">
        <v>0</v>
      </c>
      <c r="BZ120" s="125"/>
      <c r="CA120" s="47" t="s">
        <v>0</v>
      </c>
      <c r="CB120" s="58" t="str">
        <f t="shared" si="168"/>
        <v/>
      </c>
      <c r="CC120" s="31" t="str">
        <f t="shared" si="169"/>
        <v/>
      </c>
      <c r="CD120" s="31" t="str">
        <f>IF(CC120="","",MAX(CD$12:CD119)+1)</f>
        <v/>
      </c>
      <c r="CE120" s="31" t="str">
        <f t="shared" si="125"/>
        <v/>
      </c>
      <c r="CF120" s="31" t="str">
        <f t="shared" si="170"/>
        <v/>
      </c>
      <c r="CG120" s="31" t="str">
        <f>IF(BZ120="","",MAX(CG$12:CG119)+1)</f>
        <v/>
      </c>
      <c r="CH120" s="31" t="str">
        <f t="shared" si="171"/>
        <v/>
      </c>
      <c r="CI120" s="66" t="str">
        <f t="shared" si="172"/>
        <v/>
      </c>
      <c r="CJ120" s="47" t="s">
        <v>0</v>
      </c>
      <c r="CK120" s="73" t="str">
        <f t="shared" si="126"/>
        <v/>
      </c>
      <c r="CL120" s="47"/>
      <c r="CM120" s="19" t="str">
        <f t="shared" si="173"/>
        <v/>
      </c>
      <c r="CN120" s="47" t="s">
        <v>0</v>
      </c>
      <c r="CO120" s="143" t="str">
        <f t="shared" si="174"/>
        <v>OK Varaždin</v>
      </c>
      <c r="CP120" s="47" t="s">
        <v>0</v>
      </c>
      <c r="CQ120" s="58" t="str">
        <f t="shared" si="190"/>
        <v>78:12</v>
      </c>
      <c r="CR120" s="73" t="str">
        <f t="shared" si="191"/>
        <v>0</v>
      </c>
      <c r="CS120" s="229" t="str">
        <f t="shared" si="127"/>
        <v/>
      </c>
      <c r="CT120" s="230">
        <f t="shared" si="112"/>
        <v>4692</v>
      </c>
      <c r="CU120" s="163">
        <f t="shared" si="128"/>
        <v>1</v>
      </c>
      <c r="CV120" s="47" t="s">
        <v>0</v>
      </c>
      <c r="CW120" s="222" t="str">
        <f t="shared" si="175"/>
        <v xml:space="preserve">
</v>
      </c>
      <c r="CX120" s="223">
        <f t="shared" si="176"/>
        <v>6</v>
      </c>
      <c r="CY120" s="47" t="s">
        <v>0</v>
      </c>
      <c r="CZ120" s="47"/>
      <c r="DA120" s="47"/>
      <c r="DB120" s="47"/>
      <c r="DC120" s="47" t="s">
        <v>0</v>
      </c>
      <c r="DD120" s="53" t="str">
        <f t="shared" si="184"/>
        <v/>
      </c>
      <c r="DE120" t="s">
        <v>0</v>
      </c>
      <c r="DF120" s="128" t="str">
        <f t="shared" si="185"/>
        <v>M</v>
      </c>
      <c r="DG120" t="s">
        <v>0</v>
      </c>
      <c r="DH120" s="52" t="str">
        <f t="shared" si="186"/>
        <v/>
      </c>
      <c r="DI120" s="66" t="str">
        <f t="shared" si="187"/>
        <v/>
      </c>
      <c r="DJ120" t="s">
        <v>0</v>
      </c>
      <c r="DK120" s="19" t="str">
        <f t="shared" si="188"/>
        <v/>
      </c>
      <c r="DL120" s="47" t="s">
        <v>0</v>
      </c>
      <c r="DM120" s="19" t="str">
        <f t="shared" si="189"/>
        <v/>
      </c>
      <c r="DN120" s="47" t="s">
        <v>0</v>
      </c>
      <c r="DO120" s="52" t="str">
        <f t="shared" si="129"/>
        <v>Miroslav – Hainž – OK Varaždin – M35</v>
      </c>
      <c r="DP120" s="53">
        <f t="shared" si="130"/>
        <v>535</v>
      </c>
      <c r="DQ120" s="47" t="s">
        <v>0</v>
      </c>
      <c r="DR120" s="52" t="str">
        <f t="shared" si="131"/>
        <v>Miroslav – Hainž – OK Varaždin</v>
      </c>
      <c r="DS120" s="53">
        <f t="shared" si="132"/>
        <v>535</v>
      </c>
      <c r="DT120" s="47" t="s">
        <v>0</v>
      </c>
      <c r="DU120" s="52" t="str">
        <f t="shared" si="133"/>
        <v>Miroslav – Hainž</v>
      </c>
      <c r="DV120" s="53">
        <f t="shared" si="134"/>
        <v>535</v>
      </c>
      <c r="DW120" s="47" t="s">
        <v>0</v>
      </c>
      <c r="DX120" s="58">
        <f t="shared" si="177"/>
        <v>535</v>
      </c>
      <c r="DY120" s="53" cm="1">
        <f t="array" ref="DY120">IF(DX120&lt;&gt;"",INDEX(regNatjecatelj_id,DX120,0),IF(BD120&lt;&gt;"",BD120,""))</f>
        <v>1151</v>
      </c>
      <c r="DZ120" s="47" t="s">
        <v>0</v>
      </c>
      <c r="EA120" s="58" t="str">
        <f t="shared" si="135"/>
        <v>imepre</v>
      </c>
      <c r="EB120" s="73" t="str">
        <f t="shared" si="136"/>
        <v>klu</v>
      </c>
      <c r="EC120" s="73" t="str">
        <f t="shared" si="137"/>
        <v>kat</v>
      </c>
      <c r="ED120" s="73" t="str">
        <f t="shared" si="138"/>
        <v/>
      </c>
      <c r="EE120" s="66" t="str">
        <f t="shared" si="139"/>
        <v>imepre-klu-kat</v>
      </c>
      <c r="EF120" s="47" t="s">
        <v>0</v>
      </c>
      <c r="EG120" s="58">
        <f>IF(AL120="","",MAX(EG$12:EG119)+1)</f>
        <v>288</v>
      </c>
      <c r="EH120" s="73">
        <f t="shared" si="140"/>
        <v>29</v>
      </c>
      <c r="EI120" s="73">
        <f t="shared" si="178"/>
        <v>1151</v>
      </c>
      <c r="EJ120" s="73">
        <f t="shared" si="141"/>
        <v>4692</v>
      </c>
      <c r="EK120" s="73">
        <f t="shared" si="142"/>
        <v>1</v>
      </c>
      <c r="EL120" s="73">
        <f t="shared" si="179"/>
        <v>1</v>
      </c>
      <c r="EM120" s="73">
        <f t="shared" si="180"/>
        <v>1</v>
      </c>
      <c r="EN120" s="73" t="str">
        <f t="shared" si="143"/>
        <v>0</v>
      </c>
      <c r="EO120" s="73" t="str">
        <f t="shared" si="144"/>
        <v/>
      </c>
      <c r="EP120" s="73" t="str">
        <f t="shared" si="145"/>
        <v/>
      </c>
      <c r="EQ120" s="53" t="str">
        <f t="shared" si="146"/>
        <v/>
      </c>
      <c r="ER120" s="47" t="s">
        <v>0</v>
      </c>
      <c r="ES120" s="19" t="str">
        <f t="shared" si="181"/>
        <v>INSERT INTO rezultat(id,stazakategorija_id,imeprezime_id,vrijeme_sec,status_id,registracija,uparivanje_id,originalstatus_id,imeprezimealias_id,klubalias_id,kategorijaalias_id) VALUES (288,29,1151,4692,1,1,1,0,Null,Null,Null);</v>
      </c>
      <c r="ET120" s="47" t="s">
        <v>0</v>
      </c>
      <c r="EU120" s="19" t="str">
        <f t="shared" si="182"/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0" s="47" t="s">
        <v>0</v>
      </c>
      <c r="EW120" s="180" t="str">
        <f t="shared" si="147"/>
        <v xml:space="preserve">
INSERT INTO rezultat(id,stazakategorija_id,imeprezime_id,vrijeme_sec,status_id,registracija,uparivanje_id,originalstatus_id,imeprezimealias_id,klubalias_id,kategorijaalias_id) VALUES (288,29,1151,4692,1,1,1,0,Null,Null,Null);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0" s="47" t="s">
        <v>0</v>
      </c>
    </row>
    <row r="121" spans="1:154" x14ac:dyDescent="0.25">
      <c r="A121" t="s">
        <v>0</v>
      </c>
      <c r="B121" s="52" t="str">
        <f>IF(csv!F111="","",csv!T111)</f>
        <v>M35</v>
      </c>
      <c r="C121" s="31" t="s">
        <v>0</v>
      </c>
      <c r="D121" s="31" t="str">
        <f>IF(csv!F111="","",csv!F111)</f>
        <v>Tomislav</v>
      </c>
      <c r="E121" s="31" t="str">
        <f>IF(csv!E111="","",csv!E111)</f>
        <v>Meštrović</v>
      </c>
      <c r="F121" s="31" t="s">
        <v>0</v>
      </c>
      <c r="G121" s="73" t="str">
        <f>IF(csv!M111="","",csv!M111)</f>
        <v>79:32</v>
      </c>
      <c r="H121" s="73" t="str">
        <f>IF(csv!N111="","",csv!N111)</f>
        <v>0</v>
      </c>
      <c r="I121" s="31" t="s">
        <v>0</v>
      </c>
      <c r="J121" s="31" t="str">
        <f>IF(csv!P111="","",csv!P111)</f>
        <v>KAP</v>
      </c>
      <c r="K121" s="31" t="str">
        <f>IF(csv!Q111="","",csv!Q111)</f>
        <v>OK Kapela</v>
      </c>
      <c r="L121" s="31" t="s">
        <v>0</v>
      </c>
      <c r="M121" s="66" t="str">
        <f>IF(csv!R111="","",csv!R111)</f>
        <v>CRO</v>
      </c>
      <c r="N121" s="47" t="s">
        <v>0</v>
      </c>
      <c r="O121" s="246" t="str">
        <f t="shared" si="148"/>
        <v>ok</v>
      </c>
      <c r="P121" s="47"/>
      <c r="Q121" s="52" t="str">
        <f t="shared" si="149"/>
        <v>M35</v>
      </c>
      <c r="R121" s="73">
        <f>IF(Q121="","",IF(COUNTIF(Q$12:Q120,Q121)=0,R120+1,R120))</f>
        <v>7</v>
      </c>
      <c r="S121" s="73">
        <f t="shared" si="150"/>
        <v>107</v>
      </c>
      <c r="T121" s="73">
        <f t="shared" si="113"/>
        <v>18</v>
      </c>
      <c r="U121" s="66" t="str">
        <f t="shared" si="114"/>
        <v>M35</v>
      </c>
      <c r="V121" s="47" t="s">
        <v>0</v>
      </c>
      <c r="W121" s="222" t="str">
        <f t="shared" si="115"/>
        <v>M35</v>
      </c>
      <c r="X121" s="223">
        <f t="shared" si="116"/>
        <v>29</v>
      </c>
      <c r="Y121" s="47" t="s">
        <v>0</v>
      </c>
      <c r="Z121" s="52" t="str">
        <f t="shared" si="151"/>
        <v>CRO</v>
      </c>
      <c r="AA121" s="73">
        <f t="shared" si="117"/>
        <v>1</v>
      </c>
      <c r="AB121" s="31" t="str">
        <f t="shared" si="152"/>
        <v/>
      </c>
      <c r="AC121" s="66" t="str">
        <f>IF(AB121="","",MAX(AC$12:AC120)+1)</f>
        <v/>
      </c>
      <c r="AD121" s="47" t="s">
        <v>0</v>
      </c>
      <c r="AE121" s="125"/>
      <c r="AF121" s="47" t="s">
        <v>0</v>
      </c>
      <c r="AG121" s="19" t="str">
        <f t="shared" si="153"/>
        <v/>
      </c>
      <c r="AH121" s="47" t="s">
        <v>0</v>
      </c>
      <c r="AI121" s="143" t="str">
        <f t="shared" si="154"/>
        <v>CRO</v>
      </c>
      <c r="AJ121" s="47"/>
      <c r="AK121" s="52" t="str">
        <f t="shared" si="155"/>
        <v>Tomislav</v>
      </c>
      <c r="AL121" s="31" t="str">
        <f t="shared" si="156"/>
        <v>Meštrović</v>
      </c>
      <c r="AM121" s="73">
        <f t="shared" si="157"/>
        <v>1367</v>
      </c>
      <c r="AN121" s="73" t="str">
        <f t="shared" si="158"/>
        <v/>
      </c>
      <c r="AO121" s="31" t="str">
        <f t="shared" si="118"/>
        <v>Tomislav</v>
      </c>
      <c r="AP121" s="66" t="str">
        <f t="shared" si="119"/>
        <v>Meštrović</v>
      </c>
      <c r="AQ121" s="47" t="s">
        <v>0</v>
      </c>
      <c r="AR121" s="82" t="str">
        <f t="shared" si="159"/>
        <v/>
      </c>
      <c r="AS121" s="47" t="s">
        <v>0</v>
      </c>
      <c r="AT121" s="19" t="str">
        <f t="shared" si="160"/>
        <v/>
      </c>
      <c r="AU121" s="47" t="s">
        <v>0</v>
      </c>
      <c r="AV121" s="103"/>
      <c r="AW121" s="105"/>
      <c r="AX121" s="47" t="s">
        <v>0</v>
      </c>
      <c r="AY121" s="259" t="str">
        <f t="shared" si="183"/>
        <v/>
      </c>
      <c r="AZ121" s="47" t="s">
        <v>0</v>
      </c>
      <c r="BA121" s="52" t="str">
        <f t="shared" si="120"/>
        <v/>
      </c>
      <c r="BB121" s="73" t="str">
        <f>IF(AV121&amp;AW121="","",MAX(BB$12:BB120)+1)</f>
        <v/>
      </c>
      <c r="BC121" s="272" t="str">
        <f t="shared" si="121"/>
        <v/>
      </c>
      <c r="BD121" s="53" t="str">
        <f>IF(AND(AM121="NEMA",AN121="NEMA",OR(AV121&amp;AW121="",BC121="NEMA")),MAX(BD$12:BD120)+1,"")</f>
        <v/>
      </c>
      <c r="BE121" s="47" t="s">
        <v>0</v>
      </c>
      <c r="BF121" s="52" t="str">
        <f t="shared" si="161"/>
        <v>Tomislav</v>
      </c>
      <c r="BG121" s="66" t="str">
        <f t="shared" si="162"/>
        <v>Meštrović</v>
      </c>
      <c r="BH121" s="47" t="s">
        <v>0</v>
      </c>
      <c r="BI121" s="52" t="str">
        <f t="shared" si="122"/>
        <v>KAP</v>
      </c>
      <c r="BJ121" s="31" t="str">
        <f t="shared" si="123"/>
        <v>OK Kapela</v>
      </c>
      <c r="BK121" s="73" t="str">
        <f t="shared" si="124"/>
        <v/>
      </c>
      <c r="BL121" s="31" t="str" cm="1">
        <f t="array" ref="BL121">IF(BK121="",""&amp;BJ121,IF(BK121="NEMA",BJ121,INDEX(regKlub_naziv,MATCH(INDEX(regKlub_alias_klubId,BK121),regKlub_id,0))))</f>
        <v>OK Kapela</v>
      </c>
      <c r="BM121" s="31" t="str" cm="1">
        <f t="array" ref="BM121">IFERROR(""&amp;INDEX(regNatjecatelj_klub,DV121),"")</f>
        <v>OK Kapela</v>
      </c>
      <c r="BN121" s="73" t="str">
        <f t="shared" si="163"/>
        <v/>
      </c>
      <c r="BO121" s="66" t="str">
        <f t="shared" si="164"/>
        <v>OK Kapela</v>
      </c>
      <c r="BP121" s="47" t="s">
        <v>0</v>
      </c>
      <c r="BQ121" s="52" t="str">
        <f>IF(X121&lt;&gt;"NEMA","",IF(IFERROR(MATCH(W121,W$12:W120,0),0)&lt;&gt;0,"",W121))</f>
        <v/>
      </c>
      <c r="BR121" s="73" t="str">
        <f t="shared" si="165"/>
        <v/>
      </c>
      <c r="BS121" s="31" t="str">
        <f>IF(OR(BR121="",BR121&lt;&gt;"NEMA"),"",MAX(BS$12:BS120)+1)</f>
        <v/>
      </c>
      <c r="BT121" s="66" t="str">
        <f t="shared" si="166"/>
        <v/>
      </c>
      <c r="BU121" s="47" t="s">
        <v>0</v>
      </c>
      <c r="BV121" s="19" t="str">
        <f t="shared" si="167"/>
        <v/>
      </c>
      <c r="BW121" s="47" t="s">
        <v>0</v>
      </c>
      <c r="BX121" s="82" t="str">
        <f>IF(BK121&lt;&gt;"NEMA","",IF(IFERROR(MATCH(BJ121,BJ$12:BJ120,0),0)&lt;&gt;0,"",BJ121))</f>
        <v/>
      </c>
      <c r="BY121" s="47" t="s">
        <v>0</v>
      </c>
      <c r="BZ121" s="125"/>
      <c r="CA121" s="47" t="s">
        <v>0</v>
      </c>
      <c r="CB121" s="58" t="str">
        <f t="shared" si="168"/>
        <v/>
      </c>
      <c r="CC121" s="31" t="str">
        <f t="shared" si="169"/>
        <v/>
      </c>
      <c r="CD121" s="31" t="str">
        <f>IF(CC121="","",MAX(CD$12:CD120)+1)</f>
        <v/>
      </c>
      <c r="CE121" s="31" t="str">
        <f t="shared" si="125"/>
        <v/>
      </c>
      <c r="CF121" s="31" t="str">
        <f t="shared" si="170"/>
        <v/>
      </c>
      <c r="CG121" s="31" t="str">
        <f>IF(BZ121="","",MAX(CG$12:CG120)+1)</f>
        <v/>
      </c>
      <c r="CH121" s="31" t="str">
        <f t="shared" si="171"/>
        <v/>
      </c>
      <c r="CI121" s="66" t="str">
        <f t="shared" si="172"/>
        <v/>
      </c>
      <c r="CJ121" s="47" t="s">
        <v>0</v>
      </c>
      <c r="CK121" s="73" t="str">
        <f t="shared" si="126"/>
        <v/>
      </c>
      <c r="CL121" s="47"/>
      <c r="CM121" s="19" t="str">
        <f t="shared" si="173"/>
        <v/>
      </c>
      <c r="CN121" s="47" t="s">
        <v>0</v>
      </c>
      <c r="CO121" s="143" t="str">
        <f t="shared" si="174"/>
        <v>OK Kapela</v>
      </c>
      <c r="CP121" s="47" t="s">
        <v>0</v>
      </c>
      <c r="CQ121" s="58" t="str">
        <f t="shared" si="190"/>
        <v>79:32</v>
      </c>
      <c r="CR121" s="73" t="str">
        <f t="shared" si="191"/>
        <v>0</v>
      </c>
      <c r="CS121" s="229" t="str">
        <f t="shared" si="127"/>
        <v/>
      </c>
      <c r="CT121" s="230">
        <f t="shared" si="112"/>
        <v>4772</v>
      </c>
      <c r="CU121" s="163">
        <f t="shared" si="128"/>
        <v>1</v>
      </c>
      <c r="CV121" s="47" t="s">
        <v>0</v>
      </c>
      <c r="CW121" s="222" t="str">
        <f t="shared" si="175"/>
        <v xml:space="preserve">
</v>
      </c>
      <c r="CX121" s="223">
        <f t="shared" si="176"/>
        <v>6</v>
      </c>
      <c r="CY121" s="47" t="s">
        <v>0</v>
      </c>
      <c r="CZ121" s="47"/>
      <c r="DA121" s="47"/>
      <c r="DB121" s="47"/>
      <c r="DC121" s="47" t="s">
        <v>0</v>
      </c>
      <c r="DD121" s="53" t="str">
        <f t="shared" si="184"/>
        <v/>
      </c>
      <c r="DE121" t="s">
        <v>0</v>
      </c>
      <c r="DF121" s="128" t="str">
        <f t="shared" si="185"/>
        <v>M</v>
      </c>
      <c r="DG121" t="s">
        <v>0</v>
      </c>
      <c r="DH121" s="52" t="str">
        <f t="shared" si="186"/>
        <v/>
      </c>
      <c r="DI121" s="66" t="str">
        <f t="shared" si="187"/>
        <v/>
      </c>
      <c r="DJ121" t="s">
        <v>0</v>
      </c>
      <c r="DK121" s="19" t="str">
        <f t="shared" si="188"/>
        <v/>
      </c>
      <c r="DL121" s="47" t="s">
        <v>0</v>
      </c>
      <c r="DM121" s="19" t="str">
        <f t="shared" si="189"/>
        <v/>
      </c>
      <c r="DN121" s="47" t="s">
        <v>0</v>
      </c>
      <c r="DO121" s="52" t="str">
        <f t="shared" si="129"/>
        <v>Tomislav – Meštrović – OK Kapela – M35</v>
      </c>
      <c r="DP121" s="53">
        <f t="shared" si="130"/>
        <v>280</v>
      </c>
      <c r="DQ121" s="47" t="s">
        <v>0</v>
      </c>
      <c r="DR121" s="52" t="str">
        <f t="shared" si="131"/>
        <v>Tomislav – Meštrović – OK Kapela</v>
      </c>
      <c r="DS121" s="53">
        <f t="shared" si="132"/>
        <v>280</v>
      </c>
      <c r="DT121" s="47" t="s">
        <v>0</v>
      </c>
      <c r="DU121" s="52" t="str">
        <f t="shared" si="133"/>
        <v>Tomislav – Meštrović</v>
      </c>
      <c r="DV121" s="53">
        <f t="shared" si="134"/>
        <v>280</v>
      </c>
      <c r="DW121" s="47" t="s">
        <v>0</v>
      </c>
      <c r="DX121" s="58">
        <f t="shared" si="177"/>
        <v>280</v>
      </c>
      <c r="DY121" s="53" cm="1">
        <f t="array" ref="DY121">IF(DX121&lt;&gt;"",INDEX(regNatjecatelj_id,DX121,0),IF(BD121&lt;&gt;"",BD121,""))</f>
        <v>1367</v>
      </c>
      <c r="DZ121" s="47" t="s">
        <v>0</v>
      </c>
      <c r="EA121" s="58" t="str">
        <f t="shared" si="135"/>
        <v>imepre</v>
      </c>
      <c r="EB121" s="73" t="str">
        <f t="shared" si="136"/>
        <v>klu</v>
      </c>
      <c r="EC121" s="73" t="str">
        <f t="shared" si="137"/>
        <v>kat</v>
      </c>
      <c r="ED121" s="73" t="str">
        <f t="shared" si="138"/>
        <v/>
      </c>
      <c r="EE121" s="66" t="str">
        <f t="shared" si="139"/>
        <v>imepre-klu-kat</v>
      </c>
      <c r="EF121" s="47" t="s">
        <v>0</v>
      </c>
      <c r="EG121" s="58">
        <f>IF(AL121="","",MAX(EG$12:EG120)+1)</f>
        <v>289</v>
      </c>
      <c r="EH121" s="73">
        <f t="shared" si="140"/>
        <v>29</v>
      </c>
      <c r="EI121" s="73">
        <f t="shared" si="178"/>
        <v>1367</v>
      </c>
      <c r="EJ121" s="73">
        <f t="shared" si="141"/>
        <v>4772</v>
      </c>
      <c r="EK121" s="73">
        <f t="shared" si="142"/>
        <v>1</v>
      </c>
      <c r="EL121" s="73">
        <f t="shared" si="179"/>
        <v>1</v>
      </c>
      <c r="EM121" s="73">
        <f t="shared" si="180"/>
        <v>1</v>
      </c>
      <c r="EN121" s="73" t="str">
        <f t="shared" si="143"/>
        <v>0</v>
      </c>
      <c r="EO121" s="73" t="str">
        <f t="shared" si="144"/>
        <v/>
      </c>
      <c r="EP121" s="73" t="str">
        <f t="shared" si="145"/>
        <v/>
      </c>
      <c r="EQ121" s="53" t="str">
        <f t="shared" si="146"/>
        <v/>
      </c>
      <c r="ER121" s="47" t="s">
        <v>0</v>
      </c>
      <c r="ES121" s="19" t="str">
        <f t="shared" si="181"/>
        <v>INSERT INTO rezultat(id,stazakategorija_id,imeprezime_id,vrijeme_sec,status_id,registracija,uparivanje_id,originalstatus_id,imeprezimealias_id,klubalias_id,kategorijaalias_id) VALUES (289,29,1367,4772,1,1,1,0,Null,Null,Null);</v>
      </c>
      <c r="ET121" s="47" t="s">
        <v>0</v>
      </c>
      <c r="EU121" s="19" t="str">
        <f t="shared" si="182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1" s="47" t="s">
        <v>0</v>
      </c>
      <c r="EW121" s="180" t="str">
        <f t="shared" si="147"/>
        <v xml:space="preserve">
INSERT INTO rezultat(id,stazakategorija_id,imeprezime_id,vrijeme_sec,status_id,registracija,uparivanje_id,originalstatus_id,imeprezimealias_id,klubalias_id,kategorijaalias_id) VALUES (289,29,1367,4772,1,1,1,0,Null,Null,Null);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1" s="47" t="s">
        <v>0</v>
      </c>
    </row>
    <row r="122" spans="1:154" x14ac:dyDescent="0.25">
      <c r="A122" t="s">
        <v>0</v>
      </c>
      <c r="B122" s="52" t="str">
        <f>IF(csv!F112="","",csv!T112)</f>
        <v>M35</v>
      </c>
      <c r="C122" s="31" t="s">
        <v>0</v>
      </c>
      <c r="D122" s="31" t="str">
        <f>IF(csv!F112="","",csv!F112)</f>
        <v>Marko</v>
      </c>
      <c r="E122" s="31" t="str">
        <f>IF(csv!E112="","",csv!E112)</f>
        <v>Bunčić</v>
      </c>
      <c r="F122" s="31" t="s">
        <v>0</v>
      </c>
      <c r="G122" s="73" t="str">
        <f>IF(csv!M112="","",csv!M112)</f>
        <v>81:36</v>
      </c>
      <c r="H122" s="73" t="str">
        <f>IF(csv!N112="","",csv!N112)</f>
        <v>0</v>
      </c>
      <c r="I122" s="31" t="s">
        <v>0</v>
      </c>
      <c r="J122" s="31" t="str">
        <f>IF(csv!P112="","",csv!P112)</f>
        <v>KAP</v>
      </c>
      <c r="K122" s="31" t="str">
        <f>IF(csv!Q112="","",csv!Q112)</f>
        <v>OK Kapela</v>
      </c>
      <c r="L122" s="31" t="s">
        <v>0</v>
      </c>
      <c r="M122" s="66" t="str">
        <f>IF(csv!R112="","",csv!R112)</f>
        <v>CRO</v>
      </c>
      <c r="N122" s="47" t="s">
        <v>0</v>
      </c>
      <c r="O122" s="246" t="str">
        <f t="shared" si="148"/>
        <v>ok</v>
      </c>
      <c r="P122" s="47"/>
      <c r="Q122" s="52" t="str">
        <f t="shared" si="149"/>
        <v>M35</v>
      </c>
      <c r="R122" s="73">
        <f>IF(Q122="","",IF(COUNTIF(Q$12:Q121,Q122)=0,R121+1,R121))</f>
        <v>7</v>
      </c>
      <c r="S122" s="73">
        <f t="shared" si="150"/>
        <v>107</v>
      </c>
      <c r="T122" s="73">
        <f t="shared" si="113"/>
        <v>18</v>
      </c>
      <c r="U122" s="66" t="str">
        <f t="shared" si="114"/>
        <v>M35</v>
      </c>
      <c r="V122" s="47" t="s">
        <v>0</v>
      </c>
      <c r="W122" s="222" t="str">
        <f t="shared" si="115"/>
        <v>M35</v>
      </c>
      <c r="X122" s="223">
        <f t="shared" si="116"/>
        <v>29</v>
      </c>
      <c r="Y122" s="47" t="s">
        <v>0</v>
      </c>
      <c r="Z122" s="52" t="str">
        <f t="shared" si="151"/>
        <v>CRO</v>
      </c>
      <c r="AA122" s="73">
        <f t="shared" si="117"/>
        <v>1</v>
      </c>
      <c r="AB122" s="31" t="str">
        <f t="shared" si="152"/>
        <v/>
      </c>
      <c r="AC122" s="66" t="str">
        <f>IF(AB122="","",MAX(AC$12:AC121)+1)</f>
        <v/>
      </c>
      <c r="AD122" s="47" t="s">
        <v>0</v>
      </c>
      <c r="AE122" s="125"/>
      <c r="AF122" s="47" t="s">
        <v>0</v>
      </c>
      <c r="AG122" s="19" t="str">
        <f t="shared" si="153"/>
        <v/>
      </c>
      <c r="AH122" s="47" t="s">
        <v>0</v>
      </c>
      <c r="AI122" s="143" t="str">
        <f t="shared" si="154"/>
        <v>CRO</v>
      </c>
      <c r="AJ122" s="47"/>
      <c r="AK122" s="52" t="str">
        <f t="shared" si="155"/>
        <v>Marko</v>
      </c>
      <c r="AL122" s="31" t="str">
        <f t="shared" si="156"/>
        <v>Bunčić</v>
      </c>
      <c r="AM122" s="73">
        <f t="shared" si="157"/>
        <v>1849</v>
      </c>
      <c r="AN122" s="73" t="str">
        <f t="shared" si="158"/>
        <v/>
      </c>
      <c r="AO122" s="31" t="str">
        <f t="shared" si="118"/>
        <v>Marko</v>
      </c>
      <c r="AP122" s="66" t="str">
        <f t="shared" si="119"/>
        <v>Bunčić</v>
      </c>
      <c r="AQ122" s="47" t="s">
        <v>0</v>
      </c>
      <c r="AR122" s="82" t="str">
        <f t="shared" si="159"/>
        <v/>
      </c>
      <c r="AS122" s="47" t="s">
        <v>0</v>
      </c>
      <c r="AT122" s="19" t="str">
        <f t="shared" si="160"/>
        <v/>
      </c>
      <c r="AU122" s="47" t="s">
        <v>0</v>
      </c>
      <c r="AV122" s="103"/>
      <c r="AW122" s="105"/>
      <c r="AX122" s="47" t="s">
        <v>0</v>
      </c>
      <c r="AY122" s="259" t="str">
        <f t="shared" si="183"/>
        <v/>
      </c>
      <c r="AZ122" s="47" t="s">
        <v>0</v>
      </c>
      <c r="BA122" s="52" t="str">
        <f t="shared" si="120"/>
        <v/>
      </c>
      <c r="BB122" s="73" t="str">
        <f>IF(AV122&amp;AW122="","",MAX(BB$12:BB121)+1)</f>
        <v/>
      </c>
      <c r="BC122" s="272" t="str">
        <f t="shared" si="121"/>
        <v/>
      </c>
      <c r="BD122" s="53" t="str">
        <f>IF(AND(AM122="NEMA",AN122="NEMA",OR(AV122&amp;AW122="",BC122="NEMA")),MAX(BD$12:BD121)+1,"")</f>
        <v/>
      </c>
      <c r="BE122" s="47" t="s">
        <v>0</v>
      </c>
      <c r="BF122" s="52" t="str">
        <f t="shared" si="161"/>
        <v>Marko</v>
      </c>
      <c r="BG122" s="66" t="str">
        <f t="shared" si="162"/>
        <v>Bunčić</v>
      </c>
      <c r="BH122" s="47" t="s">
        <v>0</v>
      </c>
      <c r="BI122" s="52" t="str">
        <f t="shared" si="122"/>
        <v>KAP</v>
      </c>
      <c r="BJ122" s="31" t="str">
        <f t="shared" si="123"/>
        <v>OK Kapela</v>
      </c>
      <c r="BK122" s="73" t="str">
        <f t="shared" si="124"/>
        <v/>
      </c>
      <c r="BL122" s="31" t="str" cm="1">
        <f t="array" ref="BL122">IF(BK122="",""&amp;BJ122,IF(BK122="NEMA",BJ122,INDEX(regKlub_naziv,MATCH(INDEX(regKlub_alias_klubId,BK122),regKlub_id,0))))</f>
        <v>OK Kapela</v>
      </c>
      <c r="BM122" s="31" t="str" cm="1">
        <f t="array" ref="BM122">IFERROR(""&amp;INDEX(regNatjecatelj_klub,DV122),"")</f>
        <v>OK Kapela</v>
      </c>
      <c r="BN122" s="73" t="str">
        <f t="shared" si="163"/>
        <v/>
      </c>
      <c r="BO122" s="66" t="str">
        <f t="shared" si="164"/>
        <v>OK Kapela</v>
      </c>
      <c r="BP122" s="47" t="s">
        <v>0</v>
      </c>
      <c r="BQ122" s="52" t="str">
        <f>IF(X122&lt;&gt;"NEMA","",IF(IFERROR(MATCH(W122,W$12:W121,0),0)&lt;&gt;0,"",W122))</f>
        <v/>
      </c>
      <c r="BR122" s="73" t="str">
        <f t="shared" si="165"/>
        <v/>
      </c>
      <c r="BS122" s="31" t="str">
        <f>IF(OR(BR122="",BR122&lt;&gt;"NEMA"),"",MAX(BS$12:BS121)+1)</f>
        <v/>
      </c>
      <c r="BT122" s="66" t="str">
        <f t="shared" si="166"/>
        <v/>
      </c>
      <c r="BU122" s="47" t="s">
        <v>0</v>
      </c>
      <c r="BV122" s="19" t="str">
        <f t="shared" si="167"/>
        <v/>
      </c>
      <c r="BW122" s="47" t="s">
        <v>0</v>
      </c>
      <c r="BX122" s="82" t="str">
        <f>IF(BK122&lt;&gt;"NEMA","",IF(IFERROR(MATCH(BJ122,BJ$12:BJ121,0),0)&lt;&gt;0,"",BJ122))</f>
        <v/>
      </c>
      <c r="BY122" s="47" t="s">
        <v>0</v>
      </c>
      <c r="BZ122" s="125"/>
      <c r="CA122" s="47" t="s">
        <v>0</v>
      </c>
      <c r="CB122" s="58" t="str">
        <f t="shared" si="168"/>
        <v/>
      </c>
      <c r="CC122" s="31" t="str">
        <f t="shared" si="169"/>
        <v/>
      </c>
      <c r="CD122" s="31" t="str">
        <f>IF(CC122="","",MAX(CD$12:CD121)+1)</f>
        <v/>
      </c>
      <c r="CE122" s="31" t="str">
        <f t="shared" si="125"/>
        <v/>
      </c>
      <c r="CF122" s="31" t="str">
        <f t="shared" si="170"/>
        <v/>
      </c>
      <c r="CG122" s="31" t="str">
        <f>IF(BZ122="","",MAX(CG$12:CG121)+1)</f>
        <v/>
      </c>
      <c r="CH122" s="31" t="str">
        <f t="shared" si="171"/>
        <v/>
      </c>
      <c r="CI122" s="66" t="str">
        <f t="shared" si="172"/>
        <v/>
      </c>
      <c r="CJ122" s="47" t="s">
        <v>0</v>
      </c>
      <c r="CK122" s="73" t="str">
        <f t="shared" si="126"/>
        <v/>
      </c>
      <c r="CL122" s="47"/>
      <c r="CM122" s="19" t="str">
        <f t="shared" si="173"/>
        <v/>
      </c>
      <c r="CN122" s="47" t="s">
        <v>0</v>
      </c>
      <c r="CO122" s="143" t="str">
        <f t="shared" si="174"/>
        <v>OK Kapela</v>
      </c>
      <c r="CP122" s="47" t="s">
        <v>0</v>
      </c>
      <c r="CQ122" s="58" t="str">
        <f t="shared" si="190"/>
        <v>81:36</v>
      </c>
      <c r="CR122" s="73" t="str">
        <f t="shared" si="191"/>
        <v>0</v>
      </c>
      <c r="CS122" s="229" t="str">
        <f t="shared" si="127"/>
        <v/>
      </c>
      <c r="CT122" s="230">
        <f t="shared" si="112"/>
        <v>4896</v>
      </c>
      <c r="CU122" s="163">
        <f t="shared" si="128"/>
        <v>1</v>
      </c>
      <c r="CV122" s="47" t="s">
        <v>0</v>
      </c>
      <c r="CW122" s="222" t="str">
        <f t="shared" si="175"/>
        <v xml:space="preserve">
</v>
      </c>
      <c r="CX122" s="223">
        <f t="shared" si="176"/>
        <v>6</v>
      </c>
      <c r="CY122" s="47" t="s">
        <v>0</v>
      </c>
      <c r="CZ122" s="47"/>
      <c r="DA122" s="47"/>
      <c r="DB122" s="47"/>
      <c r="DC122" s="47" t="s">
        <v>0</v>
      </c>
      <c r="DD122" s="53" t="str">
        <f t="shared" si="184"/>
        <v/>
      </c>
      <c r="DE122" t="s">
        <v>0</v>
      </c>
      <c r="DF122" s="128" t="str">
        <f t="shared" si="185"/>
        <v>M</v>
      </c>
      <c r="DG122" t="s">
        <v>0</v>
      </c>
      <c r="DH122" s="52" t="str">
        <f t="shared" si="186"/>
        <v/>
      </c>
      <c r="DI122" s="66" t="str">
        <f t="shared" si="187"/>
        <v/>
      </c>
      <c r="DJ122" t="s">
        <v>0</v>
      </c>
      <c r="DK122" s="19" t="str">
        <f t="shared" si="188"/>
        <v/>
      </c>
      <c r="DL122" s="47" t="s">
        <v>0</v>
      </c>
      <c r="DM122" s="19" t="str">
        <f t="shared" si="189"/>
        <v/>
      </c>
      <c r="DN122" s="47" t="s">
        <v>0</v>
      </c>
      <c r="DO122" s="52" t="str">
        <f t="shared" si="129"/>
        <v>Marko – Bunčić – OK Kapela – M35</v>
      </c>
      <c r="DP122" s="53">
        <f t="shared" si="130"/>
        <v>218</v>
      </c>
      <c r="DQ122" s="47" t="s">
        <v>0</v>
      </c>
      <c r="DR122" s="52" t="str">
        <f t="shared" si="131"/>
        <v>Marko – Bunčić – OK Kapela</v>
      </c>
      <c r="DS122" s="53">
        <f t="shared" si="132"/>
        <v>218</v>
      </c>
      <c r="DT122" s="47" t="s">
        <v>0</v>
      </c>
      <c r="DU122" s="52" t="str">
        <f t="shared" si="133"/>
        <v>Marko – Bunčić</v>
      </c>
      <c r="DV122" s="53">
        <f t="shared" si="134"/>
        <v>218</v>
      </c>
      <c r="DW122" s="47" t="s">
        <v>0</v>
      </c>
      <c r="DX122" s="58">
        <f t="shared" si="177"/>
        <v>218</v>
      </c>
      <c r="DY122" s="53" cm="1">
        <f t="array" ref="DY122">IF(DX122&lt;&gt;"",INDEX(regNatjecatelj_id,DX122,0),IF(BD122&lt;&gt;"",BD122,""))</f>
        <v>1849</v>
      </c>
      <c r="DZ122" s="47" t="s">
        <v>0</v>
      </c>
      <c r="EA122" s="58" t="str">
        <f t="shared" si="135"/>
        <v>imepre</v>
      </c>
      <c r="EB122" s="73" t="str">
        <f t="shared" si="136"/>
        <v>klu</v>
      </c>
      <c r="EC122" s="73" t="str">
        <f t="shared" si="137"/>
        <v>kat</v>
      </c>
      <c r="ED122" s="73" t="str">
        <f t="shared" si="138"/>
        <v/>
      </c>
      <c r="EE122" s="66" t="str">
        <f t="shared" si="139"/>
        <v>imepre-klu-kat</v>
      </c>
      <c r="EF122" s="47" t="s">
        <v>0</v>
      </c>
      <c r="EG122" s="58">
        <f>IF(AL122="","",MAX(EG$12:EG121)+1)</f>
        <v>290</v>
      </c>
      <c r="EH122" s="73">
        <f t="shared" si="140"/>
        <v>29</v>
      </c>
      <c r="EI122" s="73">
        <f t="shared" si="178"/>
        <v>1849</v>
      </c>
      <c r="EJ122" s="73">
        <f t="shared" si="141"/>
        <v>4896</v>
      </c>
      <c r="EK122" s="73">
        <f t="shared" si="142"/>
        <v>1</v>
      </c>
      <c r="EL122" s="73">
        <f t="shared" si="179"/>
        <v>1</v>
      </c>
      <c r="EM122" s="73">
        <f t="shared" si="180"/>
        <v>1</v>
      </c>
      <c r="EN122" s="73" t="str">
        <f t="shared" si="143"/>
        <v>0</v>
      </c>
      <c r="EO122" s="73" t="str">
        <f t="shared" si="144"/>
        <v/>
      </c>
      <c r="EP122" s="73" t="str">
        <f t="shared" si="145"/>
        <v/>
      </c>
      <c r="EQ122" s="53" t="str">
        <f t="shared" si="146"/>
        <v/>
      </c>
      <c r="ER122" s="47" t="s">
        <v>0</v>
      </c>
      <c r="ES122" s="19" t="str">
        <f t="shared" si="181"/>
        <v>INSERT INTO rezultat(id,stazakategorija_id,imeprezime_id,vrijeme_sec,status_id,registracija,uparivanje_id,originalstatus_id,imeprezimealias_id,klubalias_id,kategorijaalias_id) VALUES (290,29,1849,4896,1,1,1,0,Null,Null,Null);</v>
      </c>
      <c r="ET122" s="47" t="s">
        <v>0</v>
      </c>
      <c r="EU122" s="19" t="str">
        <f t="shared" si="182"/>
        <v>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2" s="47" t="s">
        <v>0</v>
      </c>
      <c r="EW122" s="180" t="str">
        <f t="shared" si="147"/>
        <v xml:space="preserve">
INSERT INTO rezultat(id,stazakategorija_id,imeprezime_id,vrijeme_sec,status_id,registracija,uparivanje_id,originalstatus_id,imeprezimealias_id,klubalias_id,kategorijaalias_id) VALUES (290,29,1849,4896,1,1,1,0,Null,Null,Null);
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2" s="47" t="s">
        <v>0</v>
      </c>
    </row>
    <row r="123" spans="1:154" x14ac:dyDescent="0.25">
      <c r="A123" t="s">
        <v>0</v>
      </c>
      <c r="B123" s="52" t="str">
        <f>IF(csv!F113="","",csv!T113)</f>
        <v>M35</v>
      </c>
      <c r="C123" s="31" t="s">
        <v>0</v>
      </c>
      <c r="D123" s="31" t="str">
        <f>IF(csv!F113="","",csv!F113)</f>
        <v>Luka</v>
      </c>
      <c r="E123" s="31" t="str">
        <f>IF(csv!E113="","",csv!E113)</f>
        <v>Kosić</v>
      </c>
      <c r="F123" s="31" t="s">
        <v>0</v>
      </c>
      <c r="G123" s="73" t="str">
        <f>IF(csv!M113="","",csv!M113)</f>
        <v>83:11</v>
      </c>
      <c r="H123" s="73" t="str">
        <f>IF(csv!N113="","",csv!N113)</f>
        <v>0</v>
      </c>
      <c r="I123" s="31" t="s">
        <v>0</v>
      </c>
      <c r="J123" s="31" t="str">
        <f>IF(csv!P113="","",csv!P113)</f>
        <v>JAP</v>
      </c>
      <c r="K123" s="31" t="str">
        <f>IF(csv!Q113="","",csv!Q113)</f>
        <v>OK Japetic</v>
      </c>
      <c r="L123" s="31" t="s">
        <v>0</v>
      </c>
      <c r="M123" s="66" t="str">
        <f>IF(csv!R113="","",csv!R113)</f>
        <v>CRO</v>
      </c>
      <c r="N123" s="47" t="s">
        <v>0</v>
      </c>
      <c r="O123" s="246" t="str">
        <f t="shared" si="148"/>
        <v>ok</v>
      </c>
      <c r="P123" s="47"/>
      <c r="Q123" s="52" t="str">
        <f t="shared" si="149"/>
        <v>M35</v>
      </c>
      <c r="R123" s="73">
        <f>IF(Q123="","",IF(COUNTIF(Q$12:Q122,Q123)=0,R122+1,R122))</f>
        <v>7</v>
      </c>
      <c r="S123" s="73">
        <f t="shared" si="150"/>
        <v>107</v>
      </c>
      <c r="T123" s="73">
        <f t="shared" si="113"/>
        <v>18</v>
      </c>
      <c r="U123" s="66" t="str">
        <f t="shared" si="114"/>
        <v>M35</v>
      </c>
      <c r="V123" s="47" t="s">
        <v>0</v>
      </c>
      <c r="W123" s="222" t="str">
        <f t="shared" si="115"/>
        <v>M35</v>
      </c>
      <c r="X123" s="223">
        <f t="shared" si="116"/>
        <v>29</v>
      </c>
      <c r="Y123" s="47" t="s">
        <v>0</v>
      </c>
      <c r="Z123" s="52" t="str">
        <f t="shared" si="151"/>
        <v>CRO</v>
      </c>
      <c r="AA123" s="73">
        <f t="shared" si="117"/>
        <v>1</v>
      </c>
      <c r="AB123" s="31" t="str">
        <f t="shared" si="152"/>
        <v/>
      </c>
      <c r="AC123" s="66" t="str">
        <f>IF(AB123="","",MAX(AC$12:AC122)+1)</f>
        <v/>
      </c>
      <c r="AD123" s="47" t="s">
        <v>0</v>
      </c>
      <c r="AE123" s="125"/>
      <c r="AF123" s="47" t="s">
        <v>0</v>
      </c>
      <c r="AG123" s="19" t="str">
        <f t="shared" si="153"/>
        <v/>
      </c>
      <c r="AH123" s="47" t="s">
        <v>0</v>
      </c>
      <c r="AI123" s="143" t="str">
        <f t="shared" si="154"/>
        <v>CRO</v>
      </c>
      <c r="AJ123" s="47"/>
      <c r="AK123" s="52" t="str">
        <f t="shared" si="155"/>
        <v>Luka</v>
      </c>
      <c r="AL123" s="31" t="str">
        <f t="shared" si="156"/>
        <v>Kosić</v>
      </c>
      <c r="AM123" s="73">
        <f t="shared" si="157"/>
        <v>1233</v>
      </c>
      <c r="AN123" s="73" t="str">
        <f t="shared" si="158"/>
        <v/>
      </c>
      <c r="AO123" s="31" t="str">
        <f t="shared" si="118"/>
        <v>Luka</v>
      </c>
      <c r="AP123" s="66" t="str">
        <f t="shared" si="119"/>
        <v>Kosić</v>
      </c>
      <c r="AQ123" s="47" t="s">
        <v>0</v>
      </c>
      <c r="AR123" s="82" t="str">
        <f t="shared" si="159"/>
        <v/>
      </c>
      <c r="AS123" s="47" t="s">
        <v>0</v>
      </c>
      <c r="AT123" s="19" t="str">
        <f t="shared" si="160"/>
        <v/>
      </c>
      <c r="AU123" s="47" t="s">
        <v>0</v>
      </c>
      <c r="AV123" s="103"/>
      <c r="AW123" s="105"/>
      <c r="AX123" s="47" t="s">
        <v>0</v>
      </c>
      <c r="AY123" s="259" t="str">
        <f t="shared" si="183"/>
        <v/>
      </c>
      <c r="AZ123" s="47" t="s">
        <v>0</v>
      </c>
      <c r="BA123" s="52" t="str">
        <f t="shared" si="120"/>
        <v/>
      </c>
      <c r="BB123" s="73" t="str">
        <f>IF(AV123&amp;AW123="","",MAX(BB$12:BB122)+1)</f>
        <v/>
      </c>
      <c r="BC123" s="272" t="str">
        <f t="shared" si="121"/>
        <v/>
      </c>
      <c r="BD123" s="53" t="str">
        <f>IF(AND(AM123="NEMA",AN123="NEMA",OR(AV123&amp;AW123="",BC123="NEMA")),MAX(BD$12:BD122)+1,"")</f>
        <v/>
      </c>
      <c r="BE123" s="47" t="s">
        <v>0</v>
      </c>
      <c r="BF123" s="52" t="str">
        <f t="shared" si="161"/>
        <v>Luka</v>
      </c>
      <c r="BG123" s="66" t="str">
        <f t="shared" si="162"/>
        <v>Kosić</v>
      </c>
      <c r="BH123" s="47" t="s">
        <v>0</v>
      </c>
      <c r="BI123" s="52" t="str">
        <f t="shared" si="122"/>
        <v>JAP</v>
      </c>
      <c r="BJ123" s="31" t="str">
        <f t="shared" si="123"/>
        <v>OK Japetic</v>
      </c>
      <c r="BK123" s="73">
        <f t="shared" si="124"/>
        <v>1</v>
      </c>
      <c r="BL123" s="31" t="str" cm="1">
        <f t="array" ref="BL123">IF(BK123="",""&amp;BJ123,IF(BK123="NEMA",BJ123,INDEX(regKlub_naziv,MATCH(INDEX(regKlub_alias_klubId,BK123),regKlub_id,0))))</f>
        <v>OK Japetić</v>
      </c>
      <c r="BM123" s="31" t="str" cm="1">
        <f t="array" ref="BM123">IFERROR(""&amp;INDEX(regNatjecatelj_klub,DV123),"")</f>
        <v>OK Japetić</v>
      </c>
      <c r="BN123" s="73" t="str">
        <f t="shared" si="163"/>
        <v/>
      </c>
      <c r="BO123" s="66" t="str">
        <f t="shared" si="164"/>
        <v>OK Japetić</v>
      </c>
      <c r="BP123" s="47" t="s">
        <v>0</v>
      </c>
      <c r="BQ123" s="52" t="str">
        <f>IF(X123&lt;&gt;"NEMA","",IF(IFERROR(MATCH(W123,W$12:W122,0),0)&lt;&gt;0,"",W123))</f>
        <v/>
      </c>
      <c r="BR123" s="73" t="str">
        <f t="shared" si="165"/>
        <v/>
      </c>
      <c r="BS123" s="31" t="str">
        <f>IF(OR(BR123="",BR123&lt;&gt;"NEMA"),"",MAX(BS$12:BS122)+1)</f>
        <v/>
      </c>
      <c r="BT123" s="66" t="str">
        <f t="shared" si="166"/>
        <v/>
      </c>
      <c r="BU123" s="47" t="s">
        <v>0</v>
      </c>
      <c r="BV123" s="19" t="str">
        <f t="shared" si="167"/>
        <v/>
      </c>
      <c r="BW123" s="47" t="s">
        <v>0</v>
      </c>
      <c r="BX123" s="82" t="str">
        <f>IF(BK123&lt;&gt;"NEMA","",IF(IFERROR(MATCH(BJ123,BJ$12:BJ122,0),0)&lt;&gt;0,"",BJ123))</f>
        <v/>
      </c>
      <c r="BY123" s="47" t="s">
        <v>0</v>
      </c>
      <c r="BZ123" s="125"/>
      <c r="CA123" s="47" t="s">
        <v>0</v>
      </c>
      <c r="CB123" s="58" t="str">
        <f t="shared" si="168"/>
        <v/>
      </c>
      <c r="CC123" s="31" t="str">
        <f t="shared" si="169"/>
        <v/>
      </c>
      <c r="CD123" s="31" t="str">
        <f>IF(CC123="","",MAX(CD$12:CD122)+1)</f>
        <v/>
      </c>
      <c r="CE123" s="31" t="str">
        <f t="shared" si="125"/>
        <v/>
      </c>
      <c r="CF123" s="31" t="str">
        <f t="shared" si="170"/>
        <v/>
      </c>
      <c r="CG123" s="31" t="str">
        <f>IF(BZ123="","",MAX(CG$12:CG122)+1)</f>
        <v/>
      </c>
      <c r="CH123" s="31" t="str">
        <f t="shared" si="171"/>
        <v/>
      </c>
      <c r="CI123" s="66" t="str">
        <f t="shared" si="172"/>
        <v/>
      </c>
      <c r="CJ123" s="47" t="s">
        <v>0</v>
      </c>
      <c r="CK123" s="73" t="str">
        <f t="shared" si="126"/>
        <v/>
      </c>
      <c r="CL123" s="47"/>
      <c r="CM123" s="19" t="str">
        <f t="shared" si="173"/>
        <v/>
      </c>
      <c r="CN123" s="47" t="s">
        <v>0</v>
      </c>
      <c r="CO123" s="143" t="str">
        <f t="shared" si="174"/>
        <v>OK Japetić</v>
      </c>
      <c r="CP123" s="47" t="s">
        <v>0</v>
      </c>
      <c r="CQ123" s="58" t="str">
        <f t="shared" si="190"/>
        <v>83:11</v>
      </c>
      <c r="CR123" s="73" t="str">
        <f t="shared" si="191"/>
        <v>0</v>
      </c>
      <c r="CS123" s="229" t="str">
        <f t="shared" si="127"/>
        <v/>
      </c>
      <c r="CT123" s="230">
        <f t="shared" si="112"/>
        <v>4991</v>
      </c>
      <c r="CU123" s="163">
        <f t="shared" si="128"/>
        <v>1</v>
      </c>
      <c r="CV123" s="47" t="s">
        <v>0</v>
      </c>
      <c r="CW123" s="222" t="str">
        <f t="shared" si="175"/>
        <v xml:space="preserve">
</v>
      </c>
      <c r="CX123" s="223">
        <f t="shared" si="176"/>
        <v>6</v>
      </c>
      <c r="CY123" s="47" t="s">
        <v>0</v>
      </c>
      <c r="CZ123" s="47"/>
      <c r="DA123" s="47"/>
      <c r="DB123" s="47"/>
      <c r="DC123" s="47" t="s">
        <v>0</v>
      </c>
      <c r="DD123" s="53" t="str">
        <f t="shared" si="184"/>
        <v/>
      </c>
      <c r="DE123" t="s">
        <v>0</v>
      </c>
      <c r="DF123" s="128" t="str">
        <f t="shared" si="185"/>
        <v>M</v>
      </c>
      <c r="DG123" t="s">
        <v>0</v>
      </c>
      <c r="DH123" s="52" t="str">
        <f t="shared" si="186"/>
        <v/>
      </c>
      <c r="DI123" s="66" t="str">
        <f t="shared" si="187"/>
        <v/>
      </c>
      <c r="DJ123" t="s">
        <v>0</v>
      </c>
      <c r="DK123" s="19" t="str">
        <f t="shared" si="188"/>
        <v/>
      </c>
      <c r="DL123" s="47" t="s">
        <v>0</v>
      </c>
      <c r="DM123" s="19" t="str">
        <f t="shared" si="189"/>
        <v/>
      </c>
      <c r="DN123" s="47" t="s">
        <v>0</v>
      </c>
      <c r="DO123" s="52" t="str">
        <f t="shared" si="129"/>
        <v>Luka – Kosić – OK Japetić – M35</v>
      </c>
      <c r="DP123" s="53">
        <f t="shared" si="130"/>
        <v>100</v>
      </c>
      <c r="DQ123" s="47" t="s">
        <v>0</v>
      </c>
      <c r="DR123" s="52" t="str">
        <f t="shared" si="131"/>
        <v>Luka – Kosić – OK Japetić</v>
      </c>
      <c r="DS123" s="53">
        <f t="shared" si="132"/>
        <v>100</v>
      </c>
      <c r="DT123" s="47" t="s">
        <v>0</v>
      </c>
      <c r="DU123" s="52" t="str">
        <f t="shared" si="133"/>
        <v>Luka – Kosić</v>
      </c>
      <c r="DV123" s="53">
        <f t="shared" si="134"/>
        <v>100</v>
      </c>
      <c r="DW123" s="47" t="s">
        <v>0</v>
      </c>
      <c r="DX123" s="58">
        <f t="shared" si="177"/>
        <v>100</v>
      </c>
      <c r="DY123" s="53" cm="1">
        <f t="array" ref="DY123">IF(DX123&lt;&gt;"",INDEX(regNatjecatelj_id,DX123,0),IF(BD123&lt;&gt;"",BD123,""))</f>
        <v>1233</v>
      </c>
      <c r="DZ123" s="47" t="s">
        <v>0</v>
      </c>
      <c r="EA123" s="58" t="str">
        <f t="shared" si="135"/>
        <v>imepre</v>
      </c>
      <c r="EB123" s="73" t="str">
        <f t="shared" si="136"/>
        <v>klu(ali)</v>
      </c>
      <c r="EC123" s="73" t="str">
        <f t="shared" si="137"/>
        <v>kat</v>
      </c>
      <c r="ED123" s="73" t="str">
        <f t="shared" si="138"/>
        <v/>
      </c>
      <c r="EE123" s="66" t="str">
        <f t="shared" si="139"/>
        <v>imepre-klu(ali)-kat</v>
      </c>
      <c r="EF123" s="47" t="s">
        <v>0</v>
      </c>
      <c r="EG123" s="58">
        <f>IF(AL123="","",MAX(EG$12:EG122)+1)</f>
        <v>291</v>
      </c>
      <c r="EH123" s="73">
        <f t="shared" si="140"/>
        <v>29</v>
      </c>
      <c r="EI123" s="73">
        <f t="shared" si="178"/>
        <v>1233</v>
      </c>
      <c r="EJ123" s="73">
        <f t="shared" si="141"/>
        <v>4991</v>
      </c>
      <c r="EK123" s="73">
        <f t="shared" si="142"/>
        <v>1</v>
      </c>
      <c r="EL123" s="73">
        <f t="shared" si="179"/>
        <v>1</v>
      </c>
      <c r="EM123" s="73">
        <f t="shared" si="180"/>
        <v>3</v>
      </c>
      <c r="EN123" s="73" t="str">
        <f t="shared" si="143"/>
        <v>0</v>
      </c>
      <c r="EO123" s="73" t="str">
        <f t="shared" si="144"/>
        <v/>
      </c>
      <c r="EP123" s="73">
        <f t="shared" si="145"/>
        <v>1</v>
      </c>
      <c r="EQ123" s="53" t="str">
        <f t="shared" si="146"/>
        <v/>
      </c>
      <c r="ER123" s="47" t="s">
        <v>0</v>
      </c>
      <c r="ES123" s="19" t="str">
        <f t="shared" si="181"/>
        <v>INSERT INTO rezultat(id,stazakategorija_id,imeprezime_id,vrijeme_sec,status_id,registracija,uparivanje_id,originalstatus_id,imeprezimealias_id,klubalias_id,kategorijaalias_id) VALUES (291,29,1233,4991,1,1,3,0,Null,1,Null);</v>
      </c>
      <c r="ET123" s="47" t="s">
        <v>0</v>
      </c>
      <c r="EU123" s="19" t="str">
        <f t="shared" si="182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3" s="47" t="s">
        <v>0</v>
      </c>
      <c r="EW123" s="180" t="str">
        <f t="shared" si="147"/>
        <v xml:space="preserve">
INSERT INTO rezultat(id,stazakategorija_id,imeprezime_id,vrijeme_sec,status_id,registracija,uparivanje_id,originalstatus_id,imeprezimealias_id,klubalias_id,kategorijaalias_id) VALUES (291,29,1233,4991,1,1,3,0,Null,1,Null);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3" s="47" t="s">
        <v>0</v>
      </c>
    </row>
    <row r="124" spans="1:154" x14ac:dyDescent="0.25">
      <c r="A124" t="s">
        <v>0</v>
      </c>
      <c r="B124" s="52" t="str">
        <f>IF(csv!F114="","",csv!T114)</f>
        <v>M35</v>
      </c>
      <c r="C124" s="31" t="s">
        <v>0</v>
      </c>
      <c r="D124" s="31" t="str">
        <f>IF(csv!F114="","",csv!F114)</f>
        <v>Dragutin</v>
      </c>
      <c r="E124" s="31" t="str">
        <f>IF(csv!E114="","",csv!E114)</f>
        <v>Mulig</v>
      </c>
      <c r="F124" s="31" t="s">
        <v>0</v>
      </c>
      <c r="G124" s="73" t="str">
        <f>IF(csv!M114="","",csv!M114)</f>
        <v>88:20</v>
      </c>
      <c r="H124" s="73" t="str">
        <f>IF(csv!N114="","",csv!N114)</f>
        <v>0</v>
      </c>
      <c r="I124" s="31" t="s">
        <v>0</v>
      </c>
      <c r="J124" s="31" t="str">
        <f>IF(csv!P114="","",csv!P114)</f>
        <v>OK Jelen</v>
      </c>
      <c r="K124" s="31" t="str">
        <f>IF(csv!Q114="","",csv!Q114)</f>
        <v>OK Jelen</v>
      </c>
      <c r="L124" s="31" t="s">
        <v>0</v>
      </c>
      <c r="M124" s="66" t="str">
        <f>IF(csv!R114="","",csv!R114)</f>
        <v>CRO</v>
      </c>
      <c r="N124" s="47" t="s">
        <v>0</v>
      </c>
      <c r="O124" s="246" t="str">
        <f t="shared" si="148"/>
        <v>ok</v>
      </c>
      <c r="P124" s="47"/>
      <c r="Q124" s="52" t="str">
        <f t="shared" si="149"/>
        <v>M35</v>
      </c>
      <c r="R124" s="73">
        <f>IF(Q124="","",IF(COUNTIF(Q$12:Q123,Q124)=0,R123+1,R123))</f>
        <v>7</v>
      </c>
      <c r="S124" s="73">
        <f t="shared" si="150"/>
        <v>107</v>
      </c>
      <c r="T124" s="73">
        <f t="shared" si="113"/>
        <v>18</v>
      </c>
      <c r="U124" s="66" t="str">
        <f t="shared" si="114"/>
        <v>M35</v>
      </c>
      <c r="V124" s="47" t="s">
        <v>0</v>
      </c>
      <c r="W124" s="222" t="str">
        <f t="shared" si="115"/>
        <v>M35</v>
      </c>
      <c r="X124" s="223">
        <f t="shared" si="116"/>
        <v>29</v>
      </c>
      <c r="Y124" s="47" t="s">
        <v>0</v>
      </c>
      <c r="Z124" s="52" t="str">
        <f t="shared" si="151"/>
        <v>CRO</v>
      </c>
      <c r="AA124" s="73">
        <f t="shared" si="117"/>
        <v>1</v>
      </c>
      <c r="AB124" s="31" t="str">
        <f t="shared" si="152"/>
        <v/>
      </c>
      <c r="AC124" s="66" t="str">
        <f>IF(AB124="","",MAX(AC$12:AC123)+1)</f>
        <v/>
      </c>
      <c r="AD124" s="47" t="s">
        <v>0</v>
      </c>
      <c r="AE124" s="125"/>
      <c r="AF124" s="47" t="s">
        <v>0</v>
      </c>
      <c r="AG124" s="19" t="str">
        <f t="shared" si="153"/>
        <v/>
      </c>
      <c r="AH124" s="47" t="s">
        <v>0</v>
      </c>
      <c r="AI124" s="143" t="str">
        <f t="shared" si="154"/>
        <v>CRO</v>
      </c>
      <c r="AJ124" s="47"/>
      <c r="AK124" s="52" t="str">
        <f t="shared" si="155"/>
        <v>Dragutin</v>
      </c>
      <c r="AL124" s="31" t="str">
        <f t="shared" si="156"/>
        <v>Mulig</v>
      </c>
      <c r="AM124" s="73">
        <f t="shared" si="157"/>
        <v>1416</v>
      </c>
      <c r="AN124" s="73" t="str">
        <f t="shared" si="158"/>
        <v/>
      </c>
      <c r="AO124" s="31" t="str">
        <f t="shared" si="118"/>
        <v>Dragutin</v>
      </c>
      <c r="AP124" s="66" t="str">
        <f t="shared" si="119"/>
        <v>Mulig</v>
      </c>
      <c r="AQ124" s="47" t="s">
        <v>0</v>
      </c>
      <c r="AR124" s="82" t="str">
        <f t="shared" si="159"/>
        <v/>
      </c>
      <c r="AS124" s="47" t="s">
        <v>0</v>
      </c>
      <c r="AT124" s="19" t="str">
        <f t="shared" si="160"/>
        <v/>
      </c>
      <c r="AU124" s="47" t="s">
        <v>0</v>
      </c>
      <c r="AV124" s="103"/>
      <c r="AW124" s="105"/>
      <c r="AX124" s="47" t="s">
        <v>0</v>
      </c>
      <c r="AY124" s="259" t="str">
        <f t="shared" si="183"/>
        <v/>
      </c>
      <c r="AZ124" s="47" t="s">
        <v>0</v>
      </c>
      <c r="BA124" s="52" t="str">
        <f t="shared" si="120"/>
        <v/>
      </c>
      <c r="BB124" s="73" t="str">
        <f>IF(AV124&amp;AW124="","",MAX(BB$12:BB123)+1)</f>
        <v/>
      </c>
      <c r="BC124" s="272" t="str">
        <f t="shared" si="121"/>
        <v/>
      </c>
      <c r="BD124" s="53" t="str">
        <f>IF(AND(AM124="NEMA",AN124="NEMA",OR(AV124&amp;AW124="",BC124="NEMA")),MAX(BD$12:BD123)+1,"")</f>
        <v/>
      </c>
      <c r="BE124" s="47" t="s">
        <v>0</v>
      </c>
      <c r="BF124" s="52" t="str">
        <f t="shared" si="161"/>
        <v>Dragutin</v>
      </c>
      <c r="BG124" s="66" t="str">
        <f t="shared" si="162"/>
        <v>Mulig</v>
      </c>
      <c r="BH124" s="47" t="s">
        <v>0</v>
      </c>
      <c r="BI124" s="52" t="str">
        <f t="shared" si="122"/>
        <v>OK Jelen</v>
      </c>
      <c r="BJ124" s="31" t="str">
        <f t="shared" si="123"/>
        <v>OK Jelen</v>
      </c>
      <c r="BK124" s="73" t="str">
        <f t="shared" si="124"/>
        <v/>
      </c>
      <c r="BL124" s="31" t="str" cm="1">
        <f t="array" ref="BL124">IF(BK124="",""&amp;BJ124,IF(BK124="NEMA",BJ124,INDEX(regKlub_naziv,MATCH(INDEX(regKlub_alias_klubId,BK124),regKlub_id,0))))</f>
        <v>OK Jelen</v>
      </c>
      <c r="BM124" s="31" t="str" cm="1">
        <f t="array" ref="BM124">IFERROR(""&amp;INDEX(regNatjecatelj_klub,DV124),"")</f>
        <v>OK Jelen</v>
      </c>
      <c r="BN124" s="73" t="str">
        <f t="shared" si="163"/>
        <v/>
      </c>
      <c r="BO124" s="66" t="str">
        <f t="shared" si="164"/>
        <v>OK Jelen</v>
      </c>
      <c r="BP124" s="47" t="s">
        <v>0</v>
      </c>
      <c r="BQ124" s="52" t="str">
        <f>IF(X124&lt;&gt;"NEMA","",IF(IFERROR(MATCH(W124,W$12:W123,0),0)&lt;&gt;0,"",W124))</f>
        <v/>
      </c>
      <c r="BR124" s="73" t="str">
        <f t="shared" si="165"/>
        <v/>
      </c>
      <c r="BS124" s="31" t="str">
        <f>IF(OR(BR124="",BR124&lt;&gt;"NEMA"),"",MAX(BS$12:BS123)+1)</f>
        <v/>
      </c>
      <c r="BT124" s="66" t="str">
        <f t="shared" si="166"/>
        <v/>
      </c>
      <c r="BU124" s="47" t="s">
        <v>0</v>
      </c>
      <c r="BV124" s="19" t="str">
        <f t="shared" si="167"/>
        <v/>
      </c>
      <c r="BW124" s="47" t="s">
        <v>0</v>
      </c>
      <c r="BX124" s="82" t="str">
        <f>IF(BK124&lt;&gt;"NEMA","",IF(IFERROR(MATCH(BJ124,BJ$12:BJ123,0),0)&lt;&gt;0,"",BJ124))</f>
        <v/>
      </c>
      <c r="BY124" s="47" t="s">
        <v>0</v>
      </c>
      <c r="BZ124" s="125"/>
      <c r="CA124" s="47" t="s">
        <v>0</v>
      </c>
      <c r="CB124" s="58" t="str">
        <f t="shared" si="168"/>
        <v/>
      </c>
      <c r="CC124" s="31" t="str">
        <f t="shared" si="169"/>
        <v/>
      </c>
      <c r="CD124" s="31" t="str">
        <f>IF(CC124="","",MAX(CD$12:CD123)+1)</f>
        <v/>
      </c>
      <c r="CE124" s="31" t="str">
        <f t="shared" si="125"/>
        <v/>
      </c>
      <c r="CF124" s="31" t="str">
        <f t="shared" si="170"/>
        <v/>
      </c>
      <c r="CG124" s="31" t="str">
        <f>IF(BZ124="","",MAX(CG$12:CG123)+1)</f>
        <v/>
      </c>
      <c r="CH124" s="31" t="str">
        <f t="shared" si="171"/>
        <v/>
      </c>
      <c r="CI124" s="66" t="str">
        <f t="shared" si="172"/>
        <v/>
      </c>
      <c r="CJ124" s="47" t="s">
        <v>0</v>
      </c>
      <c r="CK124" s="73" t="str">
        <f t="shared" si="126"/>
        <v/>
      </c>
      <c r="CL124" s="47"/>
      <c r="CM124" s="19" t="str">
        <f t="shared" si="173"/>
        <v/>
      </c>
      <c r="CN124" s="47" t="s">
        <v>0</v>
      </c>
      <c r="CO124" s="143" t="str">
        <f t="shared" si="174"/>
        <v>OK Jelen</v>
      </c>
      <c r="CP124" s="47" t="s">
        <v>0</v>
      </c>
      <c r="CQ124" s="58" t="str">
        <f t="shared" si="190"/>
        <v>88:20</v>
      </c>
      <c r="CR124" s="73" t="str">
        <f t="shared" si="191"/>
        <v>0</v>
      </c>
      <c r="CS124" s="229" t="str">
        <f t="shared" si="127"/>
        <v/>
      </c>
      <c r="CT124" s="230">
        <f t="shared" si="112"/>
        <v>5300</v>
      </c>
      <c r="CU124" s="163">
        <f t="shared" si="128"/>
        <v>1</v>
      </c>
      <c r="CV124" s="47" t="s">
        <v>0</v>
      </c>
      <c r="CW124" s="222" t="str">
        <f t="shared" si="175"/>
        <v xml:space="preserve">
</v>
      </c>
      <c r="CX124" s="223">
        <f t="shared" si="176"/>
        <v>6</v>
      </c>
      <c r="CY124" s="47" t="s">
        <v>0</v>
      </c>
      <c r="CZ124" s="47"/>
      <c r="DA124" s="47"/>
      <c r="DB124" s="47"/>
      <c r="DC124" s="47" t="s">
        <v>0</v>
      </c>
      <c r="DD124" s="53" t="str">
        <f t="shared" si="184"/>
        <v/>
      </c>
      <c r="DE124" t="s">
        <v>0</v>
      </c>
      <c r="DF124" s="128" t="str">
        <f t="shared" si="185"/>
        <v>M</v>
      </c>
      <c r="DG124" t="s">
        <v>0</v>
      </c>
      <c r="DH124" s="52" t="str">
        <f t="shared" si="186"/>
        <v/>
      </c>
      <c r="DI124" s="66" t="str">
        <f t="shared" si="187"/>
        <v/>
      </c>
      <c r="DJ124" t="s">
        <v>0</v>
      </c>
      <c r="DK124" s="19" t="str">
        <f t="shared" si="188"/>
        <v/>
      </c>
      <c r="DL124" s="47" t="s">
        <v>0</v>
      </c>
      <c r="DM124" s="19" t="str">
        <f t="shared" si="189"/>
        <v/>
      </c>
      <c r="DN124" s="47" t="s">
        <v>0</v>
      </c>
      <c r="DO124" s="52" t="str">
        <f t="shared" si="129"/>
        <v>Dragutin – Mulig – OK Jelen – M35</v>
      </c>
      <c r="DP124" s="53">
        <f t="shared" si="130"/>
        <v>177</v>
      </c>
      <c r="DQ124" s="47" t="s">
        <v>0</v>
      </c>
      <c r="DR124" s="52" t="str">
        <f t="shared" si="131"/>
        <v>Dragutin – Mulig – OK Jelen</v>
      </c>
      <c r="DS124" s="53">
        <f t="shared" si="132"/>
        <v>177</v>
      </c>
      <c r="DT124" s="47" t="s">
        <v>0</v>
      </c>
      <c r="DU124" s="52" t="str">
        <f t="shared" si="133"/>
        <v>Dragutin – Mulig</v>
      </c>
      <c r="DV124" s="53">
        <f t="shared" si="134"/>
        <v>177</v>
      </c>
      <c r="DW124" s="47" t="s">
        <v>0</v>
      </c>
      <c r="DX124" s="58">
        <f t="shared" si="177"/>
        <v>177</v>
      </c>
      <c r="DY124" s="53" cm="1">
        <f t="array" ref="DY124">IF(DX124&lt;&gt;"",INDEX(regNatjecatelj_id,DX124,0),IF(BD124&lt;&gt;"",BD124,""))</f>
        <v>1416</v>
      </c>
      <c r="DZ124" s="47" t="s">
        <v>0</v>
      </c>
      <c r="EA124" s="58" t="str">
        <f t="shared" si="135"/>
        <v>imepre</v>
      </c>
      <c r="EB124" s="73" t="str">
        <f t="shared" si="136"/>
        <v>klu</v>
      </c>
      <c r="EC124" s="73" t="str">
        <f t="shared" si="137"/>
        <v>kat</v>
      </c>
      <c r="ED124" s="73" t="str">
        <f t="shared" si="138"/>
        <v/>
      </c>
      <c r="EE124" s="66" t="str">
        <f t="shared" si="139"/>
        <v>imepre-klu-kat</v>
      </c>
      <c r="EF124" s="47" t="s">
        <v>0</v>
      </c>
      <c r="EG124" s="58">
        <f>IF(AL124="","",MAX(EG$12:EG123)+1)</f>
        <v>292</v>
      </c>
      <c r="EH124" s="73">
        <f t="shared" si="140"/>
        <v>29</v>
      </c>
      <c r="EI124" s="73">
        <f t="shared" si="178"/>
        <v>1416</v>
      </c>
      <c r="EJ124" s="73">
        <f t="shared" si="141"/>
        <v>5300</v>
      </c>
      <c r="EK124" s="73">
        <f t="shared" si="142"/>
        <v>1</v>
      </c>
      <c r="EL124" s="73">
        <f t="shared" si="179"/>
        <v>1</v>
      </c>
      <c r="EM124" s="73">
        <f t="shared" si="180"/>
        <v>1</v>
      </c>
      <c r="EN124" s="73" t="str">
        <f t="shared" si="143"/>
        <v>0</v>
      </c>
      <c r="EO124" s="73" t="str">
        <f t="shared" si="144"/>
        <v/>
      </c>
      <c r="EP124" s="73" t="str">
        <f t="shared" si="145"/>
        <v/>
      </c>
      <c r="EQ124" s="53" t="str">
        <f t="shared" si="146"/>
        <v/>
      </c>
      <c r="ER124" s="47" t="s">
        <v>0</v>
      </c>
      <c r="ES124" s="19" t="str">
        <f t="shared" si="181"/>
        <v>INSERT INTO rezultat(id,stazakategorija_id,imeprezime_id,vrijeme_sec,status_id,registracija,uparivanje_id,originalstatus_id,imeprezimealias_id,klubalias_id,kategorijaalias_id) VALUES (292,29,1416,5300,1,1,1,0,Null,Null,Null);</v>
      </c>
      <c r="ET124" s="47" t="s">
        <v>0</v>
      </c>
      <c r="EU124" s="19" t="str">
        <f t="shared" si="182"/>
        <v>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4" s="47" t="s">
        <v>0</v>
      </c>
      <c r="EW124" s="180" t="str">
        <f t="shared" si="147"/>
        <v xml:space="preserve">
INSERT INTO rezultat(id,stazakategorija_id,imeprezime_id,vrijeme_sec,status_id,registracija,uparivanje_id,originalstatus_id,imeprezimealias_id,klubalias_id,kategorijaalias_id) VALUES (292,29,1416,5300,1,1,1,0,Null,Null,Null);
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4" s="47" t="s">
        <v>0</v>
      </c>
    </row>
    <row r="125" spans="1:154" x14ac:dyDescent="0.25">
      <c r="A125" t="s">
        <v>0</v>
      </c>
      <c r="B125" s="52" t="str">
        <f>IF(csv!F115="","",csv!T115)</f>
        <v>M35</v>
      </c>
      <c r="C125" s="31" t="s">
        <v>0</v>
      </c>
      <c r="D125" s="31" t="str">
        <f>IF(csv!F115="","",csv!F115)</f>
        <v>Fausto</v>
      </c>
      <c r="E125" s="31" t="str">
        <f>IF(csv!E115="","",csv!E115)</f>
        <v>Ferreira</v>
      </c>
      <c r="F125" s="31" t="s">
        <v>0</v>
      </c>
      <c r="G125" s="73" t="str">
        <f>IF(csv!M115="","",csv!M115)</f>
        <v>90:38</v>
      </c>
      <c r="H125" s="73" t="str">
        <f>IF(csv!N115="","",csv!N115)</f>
        <v>0</v>
      </c>
      <c r="I125" s="31" t="s">
        <v>0</v>
      </c>
      <c r="J125" s="31" t="str">
        <f>IF(csv!P115="","",csv!P115)</f>
        <v>KAP</v>
      </c>
      <c r="K125" s="31" t="str">
        <f>IF(csv!Q115="","",csv!Q115)</f>
        <v>OK Kapela</v>
      </c>
      <c r="L125" s="31" t="s">
        <v>0</v>
      </c>
      <c r="M125" s="66" t="str">
        <f>IF(csv!R115="","",csv!R115)</f>
        <v>CRO</v>
      </c>
      <c r="N125" s="47" t="s">
        <v>0</v>
      </c>
      <c r="O125" s="246" t="str">
        <f t="shared" si="148"/>
        <v>ok</v>
      </c>
      <c r="P125" s="47"/>
      <c r="Q125" s="52" t="str">
        <f t="shared" si="149"/>
        <v>M35</v>
      </c>
      <c r="R125" s="73">
        <f>IF(Q125="","",IF(COUNTIF(Q$12:Q124,Q125)=0,R124+1,R124))</f>
        <v>7</v>
      </c>
      <c r="S125" s="73">
        <f t="shared" si="150"/>
        <v>107</v>
      </c>
      <c r="T125" s="73">
        <f t="shared" si="113"/>
        <v>18</v>
      </c>
      <c r="U125" s="66" t="str">
        <f t="shared" si="114"/>
        <v>M35</v>
      </c>
      <c r="V125" s="47" t="s">
        <v>0</v>
      </c>
      <c r="W125" s="222" t="str">
        <f t="shared" si="115"/>
        <v>M35</v>
      </c>
      <c r="X125" s="223">
        <f t="shared" si="116"/>
        <v>29</v>
      </c>
      <c r="Y125" s="47" t="s">
        <v>0</v>
      </c>
      <c r="Z125" s="52" t="str">
        <f t="shared" si="151"/>
        <v>CRO</v>
      </c>
      <c r="AA125" s="73">
        <f t="shared" si="117"/>
        <v>1</v>
      </c>
      <c r="AB125" s="31" t="str">
        <f t="shared" si="152"/>
        <v/>
      </c>
      <c r="AC125" s="66" t="str">
        <f>IF(AB125="","",MAX(AC$12:AC124)+1)</f>
        <v/>
      </c>
      <c r="AD125" s="47" t="s">
        <v>0</v>
      </c>
      <c r="AE125" s="125"/>
      <c r="AF125" s="47" t="s">
        <v>0</v>
      </c>
      <c r="AG125" s="19" t="str">
        <f t="shared" si="153"/>
        <v/>
      </c>
      <c r="AH125" s="47" t="s">
        <v>0</v>
      </c>
      <c r="AI125" s="143" t="str">
        <f t="shared" si="154"/>
        <v>CRO</v>
      </c>
      <c r="AJ125" s="47"/>
      <c r="AK125" s="52" t="str">
        <f t="shared" si="155"/>
        <v>Fausto</v>
      </c>
      <c r="AL125" s="31" t="str">
        <f t="shared" si="156"/>
        <v>Ferreira</v>
      </c>
      <c r="AM125" s="73">
        <f t="shared" si="157"/>
        <v>1852</v>
      </c>
      <c r="AN125" s="73" t="str">
        <f t="shared" si="158"/>
        <v/>
      </c>
      <c r="AO125" s="31" t="str">
        <f t="shared" si="118"/>
        <v>Fausto</v>
      </c>
      <c r="AP125" s="66" t="str">
        <f t="shared" si="119"/>
        <v>Ferreira</v>
      </c>
      <c r="AQ125" s="47" t="s">
        <v>0</v>
      </c>
      <c r="AR125" s="82" t="str">
        <f t="shared" si="159"/>
        <v/>
      </c>
      <c r="AS125" s="47" t="s">
        <v>0</v>
      </c>
      <c r="AT125" s="19" t="str">
        <f t="shared" si="160"/>
        <v/>
      </c>
      <c r="AU125" s="47" t="s">
        <v>0</v>
      </c>
      <c r="AV125" s="103"/>
      <c r="AW125" s="105"/>
      <c r="AX125" s="47" t="s">
        <v>0</v>
      </c>
      <c r="AY125" s="259" t="str">
        <f t="shared" si="183"/>
        <v/>
      </c>
      <c r="AZ125" s="47" t="s">
        <v>0</v>
      </c>
      <c r="BA125" s="52" t="str">
        <f t="shared" si="120"/>
        <v/>
      </c>
      <c r="BB125" s="73" t="str">
        <f>IF(AV125&amp;AW125="","",MAX(BB$12:BB124)+1)</f>
        <v/>
      </c>
      <c r="BC125" s="272" t="str">
        <f t="shared" si="121"/>
        <v/>
      </c>
      <c r="BD125" s="53" t="str">
        <f>IF(AND(AM125="NEMA",AN125="NEMA",OR(AV125&amp;AW125="",BC125="NEMA")),MAX(BD$12:BD124)+1,"")</f>
        <v/>
      </c>
      <c r="BE125" s="47" t="s">
        <v>0</v>
      </c>
      <c r="BF125" s="52" t="str">
        <f t="shared" si="161"/>
        <v>Fausto</v>
      </c>
      <c r="BG125" s="66" t="str">
        <f t="shared" si="162"/>
        <v>Ferreira</v>
      </c>
      <c r="BH125" s="47" t="s">
        <v>0</v>
      </c>
      <c r="BI125" s="52" t="str">
        <f t="shared" si="122"/>
        <v>KAP</v>
      </c>
      <c r="BJ125" s="31" t="str">
        <f t="shared" si="123"/>
        <v>OK Kapela</v>
      </c>
      <c r="BK125" s="73" t="str">
        <f t="shared" si="124"/>
        <v/>
      </c>
      <c r="BL125" s="31" t="str" cm="1">
        <f t="array" ref="BL125">IF(BK125="",""&amp;BJ125,IF(BK125="NEMA",BJ125,INDEX(regKlub_naziv,MATCH(INDEX(regKlub_alias_klubId,BK125),regKlub_id,0))))</f>
        <v>OK Kapela</v>
      </c>
      <c r="BM125" s="31" t="str" cm="1">
        <f t="array" ref="BM125">IFERROR(""&amp;INDEX(regNatjecatelj_klub,DV125),"")</f>
        <v>OK Kapela</v>
      </c>
      <c r="BN125" s="73" t="str">
        <f t="shared" si="163"/>
        <v/>
      </c>
      <c r="BO125" s="66" t="str">
        <f t="shared" si="164"/>
        <v>OK Kapela</v>
      </c>
      <c r="BP125" s="47" t="s">
        <v>0</v>
      </c>
      <c r="BQ125" s="52" t="str">
        <f>IF(X125&lt;&gt;"NEMA","",IF(IFERROR(MATCH(W125,W$12:W124,0),0)&lt;&gt;0,"",W125))</f>
        <v/>
      </c>
      <c r="BR125" s="73" t="str">
        <f t="shared" si="165"/>
        <v/>
      </c>
      <c r="BS125" s="31" t="str">
        <f>IF(OR(BR125="",BR125&lt;&gt;"NEMA"),"",MAX(BS$12:BS124)+1)</f>
        <v/>
      </c>
      <c r="BT125" s="66" t="str">
        <f t="shared" si="166"/>
        <v/>
      </c>
      <c r="BU125" s="47" t="s">
        <v>0</v>
      </c>
      <c r="BV125" s="19" t="str">
        <f t="shared" si="167"/>
        <v/>
      </c>
      <c r="BW125" s="47" t="s">
        <v>0</v>
      </c>
      <c r="BX125" s="82" t="str">
        <f>IF(BK125&lt;&gt;"NEMA","",IF(IFERROR(MATCH(BJ125,BJ$12:BJ124,0),0)&lt;&gt;0,"",BJ125))</f>
        <v/>
      </c>
      <c r="BY125" s="47" t="s">
        <v>0</v>
      </c>
      <c r="BZ125" s="125"/>
      <c r="CA125" s="47" t="s">
        <v>0</v>
      </c>
      <c r="CB125" s="58" t="str">
        <f t="shared" si="168"/>
        <v/>
      </c>
      <c r="CC125" s="31" t="str">
        <f t="shared" si="169"/>
        <v/>
      </c>
      <c r="CD125" s="31" t="str">
        <f>IF(CC125="","",MAX(CD$12:CD124)+1)</f>
        <v/>
      </c>
      <c r="CE125" s="31" t="str">
        <f t="shared" si="125"/>
        <v/>
      </c>
      <c r="CF125" s="31" t="str">
        <f t="shared" si="170"/>
        <v/>
      </c>
      <c r="CG125" s="31" t="str">
        <f>IF(BZ125="","",MAX(CG$12:CG124)+1)</f>
        <v/>
      </c>
      <c r="CH125" s="31" t="str">
        <f t="shared" si="171"/>
        <v/>
      </c>
      <c r="CI125" s="66" t="str">
        <f t="shared" si="172"/>
        <v/>
      </c>
      <c r="CJ125" s="47" t="s">
        <v>0</v>
      </c>
      <c r="CK125" s="73" t="str">
        <f t="shared" si="126"/>
        <v/>
      </c>
      <c r="CL125" s="47"/>
      <c r="CM125" s="19" t="str">
        <f t="shared" si="173"/>
        <v/>
      </c>
      <c r="CN125" s="47" t="s">
        <v>0</v>
      </c>
      <c r="CO125" s="143" t="str">
        <f t="shared" si="174"/>
        <v>OK Kapela</v>
      </c>
      <c r="CP125" s="47" t="s">
        <v>0</v>
      </c>
      <c r="CQ125" s="58" t="str">
        <f t="shared" si="190"/>
        <v>90:38</v>
      </c>
      <c r="CR125" s="73" t="str">
        <f t="shared" si="191"/>
        <v>0</v>
      </c>
      <c r="CS125" s="229" t="str">
        <f t="shared" si="127"/>
        <v/>
      </c>
      <c r="CT125" s="230">
        <f t="shared" ref="CT125:CT188" si="192">IF(CQ125="","",VALUE(LEFT(CQ125,SEARCH(":",CQ125)-1))*60+VALUE(RIGHT(CQ125,2)))</f>
        <v>5438</v>
      </c>
      <c r="CU125" s="163">
        <f t="shared" si="128"/>
        <v>1</v>
      </c>
      <c r="CV125" s="47" t="s">
        <v>0</v>
      </c>
      <c r="CW125" s="222" t="str">
        <f t="shared" si="175"/>
        <v xml:space="preserve">
</v>
      </c>
      <c r="CX125" s="223">
        <f t="shared" si="176"/>
        <v>6</v>
      </c>
      <c r="CY125" s="47" t="s">
        <v>0</v>
      </c>
      <c r="CZ125" s="47"/>
      <c r="DA125" s="47"/>
      <c r="DB125" s="47"/>
      <c r="DC125" s="47" t="s">
        <v>0</v>
      </c>
      <c r="DD125" s="53" t="str">
        <f t="shared" si="184"/>
        <v/>
      </c>
      <c r="DE125" t="s">
        <v>0</v>
      </c>
      <c r="DF125" s="128" t="str">
        <f t="shared" si="185"/>
        <v>M</v>
      </c>
      <c r="DG125" t="s">
        <v>0</v>
      </c>
      <c r="DH125" s="52" t="str">
        <f t="shared" si="186"/>
        <v/>
      </c>
      <c r="DI125" s="66" t="str">
        <f t="shared" si="187"/>
        <v/>
      </c>
      <c r="DJ125" t="s">
        <v>0</v>
      </c>
      <c r="DK125" s="19" t="str">
        <f t="shared" si="188"/>
        <v/>
      </c>
      <c r="DL125" s="47" t="s">
        <v>0</v>
      </c>
      <c r="DM125" s="19" t="str">
        <f t="shared" si="189"/>
        <v/>
      </c>
      <c r="DN125" s="47" t="s">
        <v>0</v>
      </c>
      <c r="DO125" s="52" t="str">
        <f t="shared" si="129"/>
        <v>Fausto – Ferreira – OK Kapela – M35</v>
      </c>
      <c r="DP125" s="53">
        <f t="shared" si="130"/>
        <v>235</v>
      </c>
      <c r="DQ125" s="47" t="s">
        <v>0</v>
      </c>
      <c r="DR125" s="52" t="str">
        <f t="shared" si="131"/>
        <v>Fausto – Ferreira – OK Kapela</v>
      </c>
      <c r="DS125" s="53">
        <f t="shared" si="132"/>
        <v>235</v>
      </c>
      <c r="DT125" s="47" t="s">
        <v>0</v>
      </c>
      <c r="DU125" s="52" t="str">
        <f t="shared" si="133"/>
        <v>Fausto – Ferreira</v>
      </c>
      <c r="DV125" s="53">
        <f t="shared" si="134"/>
        <v>235</v>
      </c>
      <c r="DW125" s="47" t="s">
        <v>0</v>
      </c>
      <c r="DX125" s="58">
        <f t="shared" si="177"/>
        <v>235</v>
      </c>
      <c r="DY125" s="53" cm="1">
        <f t="array" ref="DY125">IF(DX125&lt;&gt;"",INDEX(regNatjecatelj_id,DX125,0),IF(BD125&lt;&gt;"",BD125,""))</f>
        <v>1852</v>
      </c>
      <c r="DZ125" s="47" t="s">
        <v>0</v>
      </c>
      <c r="EA125" s="58" t="str">
        <f t="shared" si="135"/>
        <v>imepre</v>
      </c>
      <c r="EB125" s="73" t="str">
        <f t="shared" si="136"/>
        <v>klu</v>
      </c>
      <c r="EC125" s="73" t="str">
        <f t="shared" si="137"/>
        <v>kat</v>
      </c>
      <c r="ED125" s="73" t="str">
        <f t="shared" si="138"/>
        <v/>
      </c>
      <c r="EE125" s="66" t="str">
        <f t="shared" si="139"/>
        <v>imepre-klu-kat</v>
      </c>
      <c r="EF125" s="47" t="s">
        <v>0</v>
      </c>
      <c r="EG125" s="58">
        <f>IF(AL125="","",MAX(EG$12:EG124)+1)</f>
        <v>293</v>
      </c>
      <c r="EH125" s="73">
        <f t="shared" si="140"/>
        <v>29</v>
      </c>
      <c r="EI125" s="73">
        <f t="shared" si="178"/>
        <v>1852</v>
      </c>
      <c r="EJ125" s="73">
        <f t="shared" si="141"/>
        <v>5438</v>
      </c>
      <c r="EK125" s="73">
        <f t="shared" si="142"/>
        <v>1</v>
      </c>
      <c r="EL125" s="73">
        <f t="shared" si="179"/>
        <v>1</v>
      </c>
      <c r="EM125" s="73">
        <f t="shared" si="180"/>
        <v>1</v>
      </c>
      <c r="EN125" s="73" t="str">
        <f t="shared" si="143"/>
        <v>0</v>
      </c>
      <c r="EO125" s="73" t="str">
        <f t="shared" si="144"/>
        <v/>
      </c>
      <c r="EP125" s="73" t="str">
        <f t="shared" si="145"/>
        <v/>
      </c>
      <c r="EQ125" s="53" t="str">
        <f t="shared" si="146"/>
        <v/>
      </c>
      <c r="ER125" s="47" t="s">
        <v>0</v>
      </c>
      <c r="ES125" s="19" t="str">
        <f t="shared" si="181"/>
        <v>INSERT INTO rezultat(id,stazakategorija_id,imeprezime_id,vrijeme_sec,status_id,registracija,uparivanje_id,originalstatus_id,imeprezimealias_id,klubalias_id,kategorijaalias_id) VALUES (293,29,1852,5438,1,1,1,0,Null,Null,Null);</v>
      </c>
      <c r="ET125" s="47" t="s">
        <v>0</v>
      </c>
      <c r="EU125" s="19" t="str">
        <f t="shared" si="182"/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5" s="47" t="s">
        <v>0</v>
      </c>
      <c r="EW125" s="180" t="str">
        <f t="shared" si="147"/>
        <v xml:space="preserve">
INSERT INTO rezultat(id,stazakategorija_id,imeprezime_id,vrijeme_sec,status_id,registracija,uparivanje_id,originalstatus_id,imeprezimealias_id,klubalias_id,kategorijaalias_id) VALUES (293,29,1852,5438,1,1,1,0,Null,Null,Null);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5" s="47" t="s">
        <v>0</v>
      </c>
    </row>
    <row r="126" spans="1:154" x14ac:dyDescent="0.25">
      <c r="A126" t="s">
        <v>0</v>
      </c>
      <c r="B126" s="52" t="str">
        <f>IF(csv!F116="","",csv!T116)</f>
        <v>M35</v>
      </c>
      <c r="C126" s="31" t="s">
        <v>0</v>
      </c>
      <c r="D126" s="31" t="str">
        <f>IF(csv!F116="","",csv!F116)</f>
        <v>Damir</v>
      </c>
      <c r="E126" s="31" t="str">
        <f>IF(csv!E116="","",csv!E116)</f>
        <v>Tubin</v>
      </c>
      <c r="F126" s="31" t="s">
        <v>0</v>
      </c>
      <c r="G126" s="73" t="str">
        <f>IF(csv!M116="","",csv!M116)</f>
        <v>109:27</v>
      </c>
      <c r="H126" s="73" t="str">
        <f>IF(csv!N116="","",csv!N116)</f>
        <v>0</v>
      </c>
      <c r="I126" s="31" t="s">
        <v>0</v>
      </c>
      <c r="J126" s="31" t="str">
        <f>IF(csv!P116="","",csv!P116)</f>
        <v>OK Jelen</v>
      </c>
      <c r="K126" s="31" t="str">
        <f>IF(csv!Q116="","",csv!Q116)</f>
        <v>OK Jelen</v>
      </c>
      <c r="L126" s="31" t="s">
        <v>0</v>
      </c>
      <c r="M126" s="66" t="str">
        <f>IF(csv!R116="","",csv!R116)</f>
        <v>CRO</v>
      </c>
      <c r="N126" s="47" t="s">
        <v>0</v>
      </c>
      <c r="O126" s="246" t="str">
        <f t="shared" si="148"/>
        <v>ok</v>
      </c>
      <c r="P126" s="47"/>
      <c r="Q126" s="52" t="str">
        <f t="shared" si="149"/>
        <v>M35</v>
      </c>
      <c r="R126" s="73">
        <f>IF(Q126="","",IF(COUNTIF(Q$12:Q125,Q126)=0,R125+1,R125))</f>
        <v>7</v>
      </c>
      <c r="S126" s="73">
        <f t="shared" si="150"/>
        <v>107</v>
      </c>
      <c r="T126" s="73">
        <f t="shared" si="113"/>
        <v>18</v>
      </c>
      <c r="U126" s="66" t="str">
        <f t="shared" si="114"/>
        <v>M35</v>
      </c>
      <c r="V126" s="47" t="s">
        <v>0</v>
      </c>
      <c r="W126" s="222" t="str">
        <f t="shared" si="115"/>
        <v>M35</v>
      </c>
      <c r="X126" s="223">
        <f t="shared" si="116"/>
        <v>29</v>
      </c>
      <c r="Y126" s="47" t="s">
        <v>0</v>
      </c>
      <c r="Z126" s="52" t="str">
        <f t="shared" si="151"/>
        <v>CRO</v>
      </c>
      <c r="AA126" s="73">
        <f t="shared" si="117"/>
        <v>1</v>
      </c>
      <c r="AB126" s="31" t="str">
        <f t="shared" si="152"/>
        <v/>
      </c>
      <c r="AC126" s="66" t="str">
        <f>IF(AB126="","",MAX(AC$12:AC125)+1)</f>
        <v/>
      </c>
      <c r="AD126" s="47" t="s">
        <v>0</v>
      </c>
      <c r="AE126" s="125"/>
      <c r="AF126" s="47" t="s">
        <v>0</v>
      </c>
      <c r="AG126" s="19" t="str">
        <f t="shared" si="153"/>
        <v/>
      </c>
      <c r="AH126" s="47" t="s">
        <v>0</v>
      </c>
      <c r="AI126" s="143" t="str">
        <f t="shared" si="154"/>
        <v>CRO</v>
      </c>
      <c r="AJ126" s="47"/>
      <c r="AK126" s="52" t="str">
        <f t="shared" si="155"/>
        <v>Damir</v>
      </c>
      <c r="AL126" s="31" t="str">
        <f t="shared" si="156"/>
        <v>Tubin</v>
      </c>
      <c r="AM126" s="73">
        <f t="shared" si="157"/>
        <v>1355</v>
      </c>
      <c r="AN126" s="73" t="str">
        <f t="shared" si="158"/>
        <v/>
      </c>
      <c r="AO126" s="31" t="str">
        <f t="shared" si="118"/>
        <v>Damir</v>
      </c>
      <c r="AP126" s="66" t="str">
        <f t="shared" si="119"/>
        <v>Tubin</v>
      </c>
      <c r="AQ126" s="47" t="s">
        <v>0</v>
      </c>
      <c r="AR126" s="82" t="str">
        <f t="shared" si="159"/>
        <v/>
      </c>
      <c r="AS126" s="47" t="s">
        <v>0</v>
      </c>
      <c r="AT126" s="19" t="str">
        <f t="shared" si="160"/>
        <v/>
      </c>
      <c r="AU126" s="47" t="s">
        <v>0</v>
      </c>
      <c r="AV126" s="103"/>
      <c r="AW126" s="105"/>
      <c r="AX126" s="47" t="s">
        <v>0</v>
      </c>
      <c r="AY126" s="259" t="str">
        <f t="shared" si="183"/>
        <v/>
      </c>
      <c r="AZ126" s="47" t="s">
        <v>0</v>
      </c>
      <c r="BA126" s="52" t="str">
        <f t="shared" si="120"/>
        <v/>
      </c>
      <c r="BB126" s="73" t="str">
        <f>IF(AV126&amp;AW126="","",MAX(BB$12:BB125)+1)</f>
        <v/>
      </c>
      <c r="BC126" s="272" t="str">
        <f t="shared" si="121"/>
        <v/>
      </c>
      <c r="BD126" s="53" t="str">
        <f>IF(AND(AM126="NEMA",AN126="NEMA",OR(AV126&amp;AW126="",BC126="NEMA")),MAX(BD$12:BD125)+1,"")</f>
        <v/>
      </c>
      <c r="BE126" s="47" t="s">
        <v>0</v>
      </c>
      <c r="BF126" s="52" t="str">
        <f t="shared" si="161"/>
        <v>Damir</v>
      </c>
      <c r="BG126" s="66" t="str">
        <f t="shared" si="162"/>
        <v>Tubin</v>
      </c>
      <c r="BH126" s="47" t="s">
        <v>0</v>
      </c>
      <c r="BI126" s="52" t="str">
        <f t="shared" si="122"/>
        <v>OK Jelen</v>
      </c>
      <c r="BJ126" s="31" t="str">
        <f t="shared" si="123"/>
        <v>OK Jelen</v>
      </c>
      <c r="BK126" s="73" t="str">
        <f t="shared" si="124"/>
        <v/>
      </c>
      <c r="BL126" s="31" t="str" cm="1">
        <f t="array" ref="BL126">IF(BK126="",""&amp;BJ126,IF(BK126="NEMA",BJ126,INDEX(regKlub_naziv,MATCH(INDEX(regKlub_alias_klubId,BK126),regKlub_id,0))))</f>
        <v>OK Jelen</v>
      </c>
      <c r="BM126" s="31" t="str" cm="1">
        <f t="array" ref="BM126">IFERROR(""&amp;INDEX(regNatjecatelj_klub,DV126),"")</f>
        <v>OK Jelen</v>
      </c>
      <c r="BN126" s="73" t="str">
        <f t="shared" si="163"/>
        <v/>
      </c>
      <c r="BO126" s="66" t="str">
        <f t="shared" si="164"/>
        <v>OK Jelen</v>
      </c>
      <c r="BP126" s="47" t="s">
        <v>0</v>
      </c>
      <c r="BQ126" s="52" t="str">
        <f>IF(X126&lt;&gt;"NEMA","",IF(IFERROR(MATCH(W126,W$12:W125,0),0)&lt;&gt;0,"",W126))</f>
        <v/>
      </c>
      <c r="BR126" s="73" t="str">
        <f t="shared" si="165"/>
        <v/>
      </c>
      <c r="BS126" s="31" t="str">
        <f>IF(OR(BR126="",BR126&lt;&gt;"NEMA"),"",MAX(BS$12:BS125)+1)</f>
        <v/>
      </c>
      <c r="BT126" s="66" t="str">
        <f t="shared" si="166"/>
        <v/>
      </c>
      <c r="BU126" s="47" t="s">
        <v>0</v>
      </c>
      <c r="BV126" s="19" t="str">
        <f t="shared" si="167"/>
        <v/>
      </c>
      <c r="BW126" s="47" t="s">
        <v>0</v>
      </c>
      <c r="BX126" s="82" t="str">
        <f>IF(BK126&lt;&gt;"NEMA","",IF(IFERROR(MATCH(BJ126,BJ$12:BJ125,0),0)&lt;&gt;0,"",BJ126))</f>
        <v/>
      </c>
      <c r="BY126" s="47" t="s">
        <v>0</v>
      </c>
      <c r="BZ126" s="125"/>
      <c r="CA126" s="47" t="s">
        <v>0</v>
      </c>
      <c r="CB126" s="58" t="str">
        <f t="shared" si="168"/>
        <v/>
      </c>
      <c r="CC126" s="31" t="str">
        <f t="shared" si="169"/>
        <v/>
      </c>
      <c r="CD126" s="31" t="str">
        <f>IF(CC126="","",MAX(CD$12:CD125)+1)</f>
        <v/>
      </c>
      <c r="CE126" s="31" t="str">
        <f t="shared" si="125"/>
        <v/>
      </c>
      <c r="CF126" s="31" t="str">
        <f t="shared" si="170"/>
        <v/>
      </c>
      <c r="CG126" s="31" t="str">
        <f>IF(BZ126="","",MAX(CG$12:CG125)+1)</f>
        <v/>
      </c>
      <c r="CH126" s="31" t="str">
        <f t="shared" si="171"/>
        <v/>
      </c>
      <c r="CI126" s="66" t="str">
        <f t="shared" si="172"/>
        <v/>
      </c>
      <c r="CJ126" s="47" t="s">
        <v>0</v>
      </c>
      <c r="CK126" s="73" t="str">
        <f t="shared" si="126"/>
        <v/>
      </c>
      <c r="CL126" s="47"/>
      <c r="CM126" s="19" t="str">
        <f t="shared" si="173"/>
        <v/>
      </c>
      <c r="CN126" s="47" t="s">
        <v>0</v>
      </c>
      <c r="CO126" s="143" t="str">
        <f t="shared" si="174"/>
        <v>OK Jelen</v>
      </c>
      <c r="CP126" s="47" t="s">
        <v>0</v>
      </c>
      <c r="CQ126" s="58" t="str">
        <f t="shared" si="190"/>
        <v>109:27</v>
      </c>
      <c r="CR126" s="73" t="str">
        <f t="shared" si="191"/>
        <v>0</v>
      </c>
      <c r="CS126" s="229" t="str">
        <f t="shared" si="127"/>
        <v/>
      </c>
      <c r="CT126" s="230">
        <f t="shared" si="192"/>
        <v>6567</v>
      </c>
      <c r="CU126" s="163">
        <f t="shared" si="128"/>
        <v>1</v>
      </c>
      <c r="CV126" s="47" t="s">
        <v>0</v>
      </c>
      <c r="CW126" s="222" t="str">
        <f t="shared" si="175"/>
        <v xml:space="preserve">
</v>
      </c>
      <c r="CX126" s="223">
        <f t="shared" si="176"/>
        <v>6</v>
      </c>
      <c r="CY126" s="47" t="s">
        <v>0</v>
      </c>
      <c r="CZ126" s="47"/>
      <c r="DA126" s="47"/>
      <c r="DB126" s="47"/>
      <c r="DC126" s="47" t="s">
        <v>0</v>
      </c>
      <c r="DD126" s="53" t="str">
        <f t="shared" si="184"/>
        <v/>
      </c>
      <c r="DE126" t="s">
        <v>0</v>
      </c>
      <c r="DF126" s="128" t="str">
        <f t="shared" si="185"/>
        <v>M</v>
      </c>
      <c r="DG126" t="s">
        <v>0</v>
      </c>
      <c r="DH126" s="52" t="str">
        <f t="shared" si="186"/>
        <v/>
      </c>
      <c r="DI126" s="66" t="str">
        <f t="shared" si="187"/>
        <v/>
      </c>
      <c r="DJ126" t="s">
        <v>0</v>
      </c>
      <c r="DK126" s="19" t="str">
        <f t="shared" si="188"/>
        <v/>
      </c>
      <c r="DL126" s="47" t="s">
        <v>0</v>
      </c>
      <c r="DM126" s="19" t="str">
        <f t="shared" si="189"/>
        <v/>
      </c>
      <c r="DN126" s="47" t="s">
        <v>0</v>
      </c>
      <c r="DO126" s="52" t="str">
        <f t="shared" si="129"/>
        <v>Damir – Tubin – OK Jelen – M35</v>
      </c>
      <c r="DP126" s="53">
        <f t="shared" si="130"/>
        <v>199</v>
      </c>
      <c r="DQ126" s="47" t="s">
        <v>0</v>
      </c>
      <c r="DR126" s="52" t="str">
        <f t="shared" si="131"/>
        <v>Damir – Tubin – OK Jelen</v>
      </c>
      <c r="DS126" s="53">
        <f t="shared" si="132"/>
        <v>199</v>
      </c>
      <c r="DT126" s="47" t="s">
        <v>0</v>
      </c>
      <c r="DU126" s="52" t="str">
        <f t="shared" si="133"/>
        <v>Damir – Tubin</v>
      </c>
      <c r="DV126" s="53">
        <f t="shared" si="134"/>
        <v>199</v>
      </c>
      <c r="DW126" s="47" t="s">
        <v>0</v>
      </c>
      <c r="DX126" s="58">
        <f t="shared" si="177"/>
        <v>199</v>
      </c>
      <c r="DY126" s="53" cm="1">
        <f t="array" ref="DY126">IF(DX126&lt;&gt;"",INDEX(regNatjecatelj_id,DX126,0),IF(BD126&lt;&gt;"",BD126,""))</f>
        <v>1355</v>
      </c>
      <c r="DZ126" s="47" t="s">
        <v>0</v>
      </c>
      <c r="EA126" s="58" t="str">
        <f t="shared" si="135"/>
        <v>imepre</v>
      </c>
      <c r="EB126" s="73" t="str">
        <f t="shared" si="136"/>
        <v>klu</v>
      </c>
      <c r="EC126" s="73" t="str">
        <f t="shared" si="137"/>
        <v>kat</v>
      </c>
      <c r="ED126" s="73" t="str">
        <f t="shared" si="138"/>
        <v/>
      </c>
      <c r="EE126" s="66" t="str">
        <f t="shared" si="139"/>
        <v>imepre-klu-kat</v>
      </c>
      <c r="EF126" s="47" t="s">
        <v>0</v>
      </c>
      <c r="EG126" s="58">
        <f>IF(AL126="","",MAX(EG$12:EG125)+1)</f>
        <v>294</v>
      </c>
      <c r="EH126" s="73">
        <f t="shared" si="140"/>
        <v>29</v>
      </c>
      <c r="EI126" s="73">
        <f t="shared" si="178"/>
        <v>1355</v>
      </c>
      <c r="EJ126" s="73">
        <f t="shared" si="141"/>
        <v>6567</v>
      </c>
      <c r="EK126" s="73">
        <f t="shared" si="142"/>
        <v>1</v>
      </c>
      <c r="EL126" s="73">
        <f t="shared" si="179"/>
        <v>1</v>
      </c>
      <c r="EM126" s="73">
        <f t="shared" si="180"/>
        <v>1</v>
      </c>
      <c r="EN126" s="73" t="str">
        <f t="shared" si="143"/>
        <v>0</v>
      </c>
      <c r="EO126" s="73" t="str">
        <f t="shared" si="144"/>
        <v/>
      </c>
      <c r="EP126" s="73" t="str">
        <f t="shared" si="145"/>
        <v/>
      </c>
      <c r="EQ126" s="53" t="str">
        <f t="shared" si="146"/>
        <v/>
      </c>
      <c r="ER126" s="47" t="s">
        <v>0</v>
      </c>
      <c r="ES126" s="19" t="str">
        <f t="shared" si="181"/>
        <v>INSERT INTO rezultat(id,stazakategorija_id,imeprezime_id,vrijeme_sec,status_id,registracija,uparivanje_id,originalstatus_id,imeprezimealias_id,klubalias_id,kategorijaalias_id) VALUES (294,29,1355,6567,1,1,1,0,Null,Null,Null);</v>
      </c>
      <c r="ET126" s="47" t="s">
        <v>0</v>
      </c>
      <c r="EU126" s="19" t="str">
        <f t="shared" si="182"/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6" s="47" t="s">
        <v>0</v>
      </c>
      <c r="EW126" s="180" t="str">
        <f t="shared" si="147"/>
        <v xml:space="preserve">
INSERT INTO rezultat(id,stazakategorija_id,imeprezime_id,vrijeme_sec,status_id,registracija,uparivanje_id,originalstatus_id,imeprezimealias_id,klubalias_id,kategorijaalias_id) VALUES (294,29,1355,6567,1,1,1,0,Null,Null,Null);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6" s="47" t="s">
        <v>0</v>
      </c>
    </row>
    <row r="127" spans="1:154" x14ac:dyDescent="0.25">
      <c r="A127" t="s">
        <v>0</v>
      </c>
      <c r="B127" s="52" t="str">
        <f>IF(csv!F117="","",csv!T117)</f>
        <v>M35</v>
      </c>
      <c r="C127" s="31" t="s">
        <v>0</v>
      </c>
      <c r="D127" s="31" t="str">
        <f>IF(csv!F117="","",csv!F117)</f>
        <v>Zdravko</v>
      </c>
      <c r="E127" s="31" t="str">
        <f>IF(csv!E117="","",csv!E117)</f>
        <v>Novosel</v>
      </c>
      <c r="F127" s="31" t="s">
        <v>0</v>
      </c>
      <c r="G127" s="73" t="str">
        <f>IF(csv!M117="","",csv!M117)</f>
        <v>112:39</v>
      </c>
      <c r="H127" s="73" t="str">
        <f>IF(csv!N117="","",csv!N117)</f>
        <v>0</v>
      </c>
      <c r="I127" s="31" t="s">
        <v>0</v>
      </c>
      <c r="J127" s="31" t="str">
        <f>IF(csv!P117="","",csv!P117)</f>
        <v>OK Jelen</v>
      </c>
      <c r="K127" s="31" t="str">
        <f>IF(csv!Q117="","",csv!Q117)</f>
        <v>OK Jelen</v>
      </c>
      <c r="L127" s="31" t="s">
        <v>0</v>
      </c>
      <c r="M127" s="66" t="str">
        <f>IF(csv!R117="","",csv!R117)</f>
        <v>CRO</v>
      </c>
      <c r="N127" s="47" t="s">
        <v>0</v>
      </c>
      <c r="O127" s="246" t="str">
        <f t="shared" si="148"/>
        <v>ok</v>
      </c>
      <c r="P127" s="47"/>
      <c r="Q127" s="52" t="str">
        <f t="shared" si="149"/>
        <v>M35</v>
      </c>
      <c r="R127" s="73">
        <f>IF(Q127="","",IF(COUNTIF(Q$12:Q126,Q127)=0,R126+1,R126))</f>
        <v>7</v>
      </c>
      <c r="S127" s="73">
        <f t="shared" si="150"/>
        <v>107</v>
      </c>
      <c r="T127" s="73">
        <f t="shared" si="113"/>
        <v>18</v>
      </c>
      <c r="U127" s="66" t="str">
        <f t="shared" si="114"/>
        <v>M35</v>
      </c>
      <c r="V127" s="47" t="s">
        <v>0</v>
      </c>
      <c r="W127" s="222" t="str">
        <f t="shared" si="115"/>
        <v>M35</v>
      </c>
      <c r="X127" s="223">
        <f t="shared" si="116"/>
        <v>29</v>
      </c>
      <c r="Y127" s="47" t="s">
        <v>0</v>
      </c>
      <c r="Z127" s="52" t="str">
        <f t="shared" si="151"/>
        <v>CRO</v>
      </c>
      <c r="AA127" s="73">
        <f t="shared" si="117"/>
        <v>1</v>
      </c>
      <c r="AB127" s="31" t="str">
        <f t="shared" si="152"/>
        <v/>
      </c>
      <c r="AC127" s="66" t="str">
        <f>IF(AB127="","",MAX(AC$12:AC126)+1)</f>
        <v/>
      </c>
      <c r="AD127" s="47" t="s">
        <v>0</v>
      </c>
      <c r="AE127" s="125"/>
      <c r="AF127" s="47" t="s">
        <v>0</v>
      </c>
      <c r="AG127" s="19" t="str">
        <f t="shared" si="153"/>
        <v/>
      </c>
      <c r="AH127" s="47" t="s">
        <v>0</v>
      </c>
      <c r="AI127" s="143" t="str">
        <f t="shared" si="154"/>
        <v>CRO</v>
      </c>
      <c r="AJ127" s="47"/>
      <c r="AK127" s="52" t="str">
        <f t="shared" si="155"/>
        <v>Zdravko</v>
      </c>
      <c r="AL127" s="31" t="str">
        <f t="shared" si="156"/>
        <v>Novosel</v>
      </c>
      <c r="AM127" s="73">
        <f t="shared" si="157"/>
        <v>1115</v>
      </c>
      <c r="AN127" s="73" t="str">
        <f t="shared" si="158"/>
        <v/>
      </c>
      <c r="AO127" s="31" t="str">
        <f t="shared" si="118"/>
        <v>Zdravko</v>
      </c>
      <c r="AP127" s="66" t="str">
        <f t="shared" si="119"/>
        <v>Novosel</v>
      </c>
      <c r="AQ127" s="47" t="s">
        <v>0</v>
      </c>
      <c r="AR127" s="82" t="str">
        <f t="shared" si="159"/>
        <v/>
      </c>
      <c r="AS127" s="47" t="s">
        <v>0</v>
      </c>
      <c r="AT127" s="19" t="str">
        <f t="shared" si="160"/>
        <v/>
      </c>
      <c r="AU127" s="47" t="s">
        <v>0</v>
      </c>
      <c r="AV127" s="103"/>
      <c r="AW127" s="105"/>
      <c r="AX127" s="47" t="s">
        <v>0</v>
      </c>
      <c r="AY127" s="259" t="str">
        <f t="shared" si="183"/>
        <v/>
      </c>
      <c r="AZ127" s="47" t="s">
        <v>0</v>
      </c>
      <c r="BA127" s="52" t="str">
        <f t="shared" si="120"/>
        <v/>
      </c>
      <c r="BB127" s="73" t="str">
        <f>IF(AV127&amp;AW127="","",MAX(BB$12:BB126)+1)</f>
        <v/>
      </c>
      <c r="BC127" s="272" t="str">
        <f t="shared" si="121"/>
        <v/>
      </c>
      <c r="BD127" s="53" t="str">
        <f>IF(AND(AM127="NEMA",AN127="NEMA",OR(AV127&amp;AW127="",BC127="NEMA")),MAX(BD$12:BD126)+1,"")</f>
        <v/>
      </c>
      <c r="BE127" s="47" t="s">
        <v>0</v>
      </c>
      <c r="BF127" s="52" t="str">
        <f t="shared" si="161"/>
        <v>Zdravko</v>
      </c>
      <c r="BG127" s="66" t="str">
        <f t="shared" si="162"/>
        <v>Novosel</v>
      </c>
      <c r="BH127" s="47" t="s">
        <v>0</v>
      </c>
      <c r="BI127" s="52" t="str">
        <f t="shared" si="122"/>
        <v>OK Jelen</v>
      </c>
      <c r="BJ127" s="31" t="str">
        <f t="shared" si="123"/>
        <v>OK Jelen</v>
      </c>
      <c r="BK127" s="73" t="str">
        <f t="shared" si="124"/>
        <v/>
      </c>
      <c r="BL127" s="31" t="str" cm="1">
        <f t="array" ref="BL127">IF(BK127="",""&amp;BJ127,IF(BK127="NEMA",BJ127,INDEX(regKlub_naziv,MATCH(INDEX(regKlub_alias_klubId,BK127),regKlub_id,0))))</f>
        <v>OK Jelen</v>
      </c>
      <c r="BM127" s="31" t="str" cm="1">
        <f t="array" ref="BM127">IFERROR(""&amp;INDEX(regNatjecatelj_klub,DV127),"")</f>
        <v>OK Jelen</v>
      </c>
      <c r="BN127" s="73" t="str">
        <f t="shared" si="163"/>
        <v/>
      </c>
      <c r="BO127" s="66" t="str">
        <f t="shared" si="164"/>
        <v>OK Jelen</v>
      </c>
      <c r="BP127" s="47" t="s">
        <v>0</v>
      </c>
      <c r="BQ127" s="52" t="str">
        <f>IF(X127&lt;&gt;"NEMA","",IF(IFERROR(MATCH(W127,W$12:W126,0),0)&lt;&gt;0,"",W127))</f>
        <v/>
      </c>
      <c r="BR127" s="73" t="str">
        <f t="shared" si="165"/>
        <v/>
      </c>
      <c r="BS127" s="31" t="str">
        <f>IF(OR(BR127="",BR127&lt;&gt;"NEMA"),"",MAX(BS$12:BS126)+1)</f>
        <v/>
      </c>
      <c r="BT127" s="66" t="str">
        <f t="shared" si="166"/>
        <v/>
      </c>
      <c r="BU127" s="47" t="s">
        <v>0</v>
      </c>
      <c r="BV127" s="19" t="str">
        <f t="shared" si="167"/>
        <v/>
      </c>
      <c r="BW127" s="47" t="s">
        <v>0</v>
      </c>
      <c r="BX127" s="82" t="str">
        <f>IF(BK127&lt;&gt;"NEMA","",IF(IFERROR(MATCH(BJ127,BJ$12:BJ126,0),0)&lt;&gt;0,"",BJ127))</f>
        <v/>
      </c>
      <c r="BY127" s="47" t="s">
        <v>0</v>
      </c>
      <c r="BZ127" s="125"/>
      <c r="CA127" s="47" t="s">
        <v>0</v>
      </c>
      <c r="CB127" s="58" t="str">
        <f t="shared" si="168"/>
        <v/>
      </c>
      <c r="CC127" s="31" t="str">
        <f t="shared" si="169"/>
        <v/>
      </c>
      <c r="CD127" s="31" t="str">
        <f>IF(CC127="","",MAX(CD$12:CD126)+1)</f>
        <v/>
      </c>
      <c r="CE127" s="31" t="str">
        <f t="shared" si="125"/>
        <v/>
      </c>
      <c r="CF127" s="31" t="str">
        <f t="shared" si="170"/>
        <v/>
      </c>
      <c r="CG127" s="31" t="str">
        <f>IF(BZ127="","",MAX(CG$12:CG126)+1)</f>
        <v/>
      </c>
      <c r="CH127" s="31" t="str">
        <f t="shared" si="171"/>
        <v/>
      </c>
      <c r="CI127" s="66" t="str">
        <f t="shared" si="172"/>
        <v/>
      </c>
      <c r="CJ127" s="47" t="s">
        <v>0</v>
      </c>
      <c r="CK127" s="73" t="str">
        <f t="shared" si="126"/>
        <v/>
      </c>
      <c r="CL127" s="47"/>
      <c r="CM127" s="19" t="str">
        <f t="shared" si="173"/>
        <v/>
      </c>
      <c r="CN127" s="47" t="s">
        <v>0</v>
      </c>
      <c r="CO127" s="143" t="str">
        <f t="shared" si="174"/>
        <v>OK Jelen</v>
      </c>
      <c r="CP127" s="47" t="s">
        <v>0</v>
      </c>
      <c r="CQ127" s="58" t="str">
        <f t="shared" si="190"/>
        <v>112:39</v>
      </c>
      <c r="CR127" s="73" t="str">
        <f t="shared" si="191"/>
        <v>0</v>
      </c>
      <c r="CS127" s="229" t="str">
        <f t="shared" si="127"/>
        <v/>
      </c>
      <c r="CT127" s="230">
        <f t="shared" si="192"/>
        <v>6759</v>
      </c>
      <c r="CU127" s="163">
        <f t="shared" si="128"/>
        <v>1</v>
      </c>
      <c r="CV127" s="47" t="s">
        <v>0</v>
      </c>
      <c r="CW127" s="222" t="str">
        <f t="shared" si="175"/>
        <v xml:space="preserve">
</v>
      </c>
      <c r="CX127" s="223">
        <f t="shared" si="176"/>
        <v>6</v>
      </c>
      <c r="CY127" s="47" t="s">
        <v>0</v>
      </c>
      <c r="CZ127" s="47"/>
      <c r="DA127" s="47"/>
      <c r="DB127" s="47"/>
      <c r="DC127" s="47" t="s">
        <v>0</v>
      </c>
      <c r="DD127" s="53" t="str">
        <f t="shared" si="184"/>
        <v/>
      </c>
      <c r="DE127" t="s">
        <v>0</v>
      </c>
      <c r="DF127" s="128" t="str">
        <f t="shared" si="185"/>
        <v>M</v>
      </c>
      <c r="DG127" t="s">
        <v>0</v>
      </c>
      <c r="DH127" s="52" t="str">
        <f t="shared" si="186"/>
        <v/>
      </c>
      <c r="DI127" s="66" t="str">
        <f t="shared" si="187"/>
        <v/>
      </c>
      <c r="DJ127" t="s">
        <v>0</v>
      </c>
      <c r="DK127" s="19" t="str">
        <f t="shared" si="188"/>
        <v/>
      </c>
      <c r="DL127" s="47" t="s">
        <v>0</v>
      </c>
      <c r="DM127" s="19" t="str">
        <f t="shared" si="189"/>
        <v/>
      </c>
      <c r="DN127" s="47" t="s">
        <v>0</v>
      </c>
      <c r="DO127" s="52" t="str">
        <f t="shared" si="129"/>
        <v>Zdravko – Novosel – OK Jelen – M35</v>
      </c>
      <c r="DP127" s="53">
        <f t="shared" si="130"/>
        <v>180</v>
      </c>
      <c r="DQ127" s="47" t="s">
        <v>0</v>
      </c>
      <c r="DR127" s="52" t="str">
        <f t="shared" si="131"/>
        <v>Zdravko – Novosel – OK Jelen</v>
      </c>
      <c r="DS127" s="53">
        <f t="shared" si="132"/>
        <v>180</v>
      </c>
      <c r="DT127" s="47" t="s">
        <v>0</v>
      </c>
      <c r="DU127" s="52" t="str">
        <f t="shared" si="133"/>
        <v>Zdravko – Novosel</v>
      </c>
      <c r="DV127" s="53">
        <f t="shared" si="134"/>
        <v>180</v>
      </c>
      <c r="DW127" s="47" t="s">
        <v>0</v>
      </c>
      <c r="DX127" s="58">
        <f t="shared" si="177"/>
        <v>180</v>
      </c>
      <c r="DY127" s="53" cm="1">
        <f t="array" ref="DY127">IF(DX127&lt;&gt;"",INDEX(regNatjecatelj_id,DX127,0),IF(BD127&lt;&gt;"",BD127,""))</f>
        <v>1115</v>
      </c>
      <c r="DZ127" s="47" t="s">
        <v>0</v>
      </c>
      <c r="EA127" s="58" t="str">
        <f t="shared" si="135"/>
        <v>imepre</v>
      </c>
      <c r="EB127" s="73" t="str">
        <f t="shared" si="136"/>
        <v>klu</v>
      </c>
      <c r="EC127" s="73" t="str">
        <f t="shared" si="137"/>
        <v>kat</v>
      </c>
      <c r="ED127" s="73" t="str">
        <f t="shared" si="138"/>
        <v/>
      </c>
      <c r="EE127" s="66" t="str">
        <f t="shared" si="139"/>
        <v>imepre-klu-kat</v>
      </c>
      <c r="EF127" s="47" t="s">
        <v>0</v>
      </c>
      <c r="EG127" s="58">
        <f>IF(AL127="","",MAX(EG$12:EG126)+1)</f>
        <v>295</v>
      </c>
      <c r="EH127" s="73">
        <f t="shared" si="140"/>
        <v>29</v>
      </c>
      <c r="EI127" s="73">
        <f t="shared" si="178"/>
        <v>1115</v>
      </c>
      <c r="EJ127" s="73">
        <f t="shared" si="141"/>
        <v>6759</v>
      </c>
      <c r="EK127" s="73">
        <f t="shared" si="142"/>
        <v>1</v>
      </c>
      <c r="EL127" s="73">
        <f t="shared" si="179"/>
        <v>1</v>
      </c>
      <c r="EM127" s="73">
        <f t="shared" si="180"/>
        <v>1</v>
      </c>
      <c r="EN127" s="73" t="str">
        <f t="shared" si="143"/>
        <v>0</v>
      </c>
      <c r="EO127" s="73" t="str">
        <f t="shared" si="144"/>
        <v/>
      </c>
      <c r="EP127" s="73" t="str">
        <f t="shared" si="145"/>
        <v/>
      </c>
      <c r="EQ127" s="53" t="str">
        <f t="shared" si="146"/>
        <v/>
      </c>
      <c r="ER127" s="47" t="s">
        <v>0</v>
      </c>
      <c r="ES127" s="19" t="str">
        <f t="shared" si="181"/>
        <v>INSERT INTO rezultat(id,stazakategorija_id,imeprezime_id,vrijeme_sec,status_id,registracija,uparivanje_id,originalstatus_id,imeprezimealias_id,klubalias_id,kategorijaalias_id) VALUES (295,29,1115,6759,1,1,1,0,Null,Null,Null);</v>
      </c>
      <c r="ET127" s="47" t="s">
        <v>0</v>
      </c>
      <c r="EU127" s="19" t="str">
        <f t="shared" si="182"/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7" s="47" t="s">
        <v>0</v>
      </c>
      <c r="EW127" s="180" t="str">
        <f t="shared" si="147"/>
        <v xml:space="preserve">
INSERT INTO rezultat(id,stazakategorija_id,imeprezime_id,vrijeme_sec,status_id,registracija,uparivanje_id,originalstatus_id,imeprezimealias_id,klubalias_id,kategorijaalias_id) VALUES (295,29,1115,6759,1,1,1,0,Null,Null,Null);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7" s="47" t="s">
        <v>0</v>
      </c>
    </row>
    <row r="128" spans="1:154" x14ac:dyDescent="0.25">
      <c r="A128" t="s">
        <v>0</v>
      </c>
      <c r="B128" s="52" t="str">
        <f>IF(csv!F118="","",csv!T118)</f>
        <v>M35</v>
      </c>
      <c r="C128" s="31" t="s">
        <v>0</v>
      </c>
      <c r="D128" s="31" t="str">
        <f>IF(csv!F118="","",csv!F118)</f>
        <v>Vacant</v>
      </c>
      <c r="E128" s="31" t="str">
        <f>IF(csv!E118="","",csv!E118)</f>
        <v/>
      </c>
      <c r="F128" s="31" t="s">
        <v>0</v>
      </c>
      <c r="G128" s="73" t="str">
        <f>IF(csv!M118="","",csv!M118)</f>
        <v/>
      </c>
      <c r="H128" s="73" t="str">
        <f>IF(csv!N118="","",csv!N118)</f>
        <v>0</v>
      </c>
      <c r="I128" s="31" t="s">
        <v>0</v>
      </c>
      <c r="J128" s="31" t="str">
        <f>IF(csv!P118="","",csv!P118)</f>
        <v/>
      </c>
      <c r="K128" s="31" t="str">
        <f>IF(csv!Q118="","",csv!Q118)</f>
        <v/>
      </c>
      <c r="L128" s="31" t="s">
        <v>0</v>
      </c>
      <c r="M128" s="66" t="str">
        <f>IF(csv!R118="","",csv!R118)</f>
        <v/>
      </c>
      <c r="N128" s="47" t="s">
        <v>0</v>
      </c>
      <c r="O128" s="246" t="str">
        <f t="shared" si="148"/>
        <v/>
      </c>
      <c r="P128" s="47"/>
      <c r="Q128" s="52" t="str">
        <f t="shared" si="149"/>
        <v>M35</v>
      </c>
      <c r="R128" s="73">
        <f>IF(Q128="","",IF(COUNTIF(Q$12:Q127,Q128)=0,R127+1,R127))</f>
        <v>7</v>
      </c>
      <c r="S128" s="73">
        <f t="shared" si="150"/>
        <v>107</v>
      </c>
      <c r="T128" s="73">
        <f t="shared" si="113"/>
        <v>18</v>
      </c>
      <c r="U128" s="66" t="str">
        <f t="shared" si="114"/>
        <v>M35</v>
      </c>
      <c r="V128" s="47" t="s">
        <v>0</v>
      </c>
      <c r="W128" s="222" t="str">
        <f t="shared" si="115"/>
        <v/>
      </c>
      <c r="X128" s="223" t="str">
        <f t="shared" si="116"/>
        <v/>
      </c>
      <c r="Y128" s="47" t="s">
        <v>0</v>
      </c>
      <c r="Z128" s="52" t="str">
        <f t="shared" si="151"/>
        <v/>
      </c>
      <c r="AA128" s="73" t="str">
        <f t="shared" si="117"/>
        <v/>
      </c>
      <c r="AB128" s="31" t="str">
        <f t="shared" si="152"/>
        <v/>
      </c>
      <c r="AC128" s="66" t="str">
        <f>IF(AB128="","",MAX(AC$12:AC127)+1)</f>
        <v/>
      </c>
      <c r="AD128" s="47" t="s">
        <v>0</v>
      </c>
      <c r="AE128" s="125"/>
      <c r="AF128" s="47" t="s">
        <v>0</v>
      </c>
      <c r="AG128" s="19" t="str">
        <f t="shared" si="153"/>
        <v/>
      </c>
      <c r="AH128" s="47" t="s">
        <v>0</v>
      </c>
      <c r="AI128" s="143" t="str">
        <f t="shared" si="154"/>
        <v/>
      </c>
      <c r="AJ128" s="47"/>
      <c r="AK128" s="52" t="str">
        <f t="shared" si="155"/>
        <v/>
      </c>
      <c r="AL128" s="31" t="str">
        <f t="shared" si="156"/>
        <v/>
      </c>
      <c r="AM128" s="73" t="str">
        <f t="shared" si="157"/>
        <v/>
      </c>
      <c r="AN128" s="73" t="str">
        <f t="shared" si="158"/>
        <v/>
      </c>
      <c r="AO128" s="31" t="str">
        <f t="shared" si="118"/>
        <v/>
      </c>
      <c r="AP128" s="66" t="str">
        <f t="shared" si="119"/>
        <v/>
      </c>
      <c r="AQ128" s="47" t="s">
        <v>0</v>
      </c>
      <c r="AR128" s="82" t="str">
        <f t="shared" si="159"/>
        <v/>
      </c>
      <c r="AS128" s="47" t="s">
        <v>0</v>
      </c>
      <c r="AT128" s="19" t="str">
        <f t="shared" si="160"/>
        <v/>
      </c>
      <c r="AU128" s="47" t="s">
        <v>0</v>
      </c>
      <c r="AV128" s="103"/>
      <c r="AW128" s="105"/>
      <c r="AX128" s="47" t="s">
        <v>0</v>
      </c>
      <c r="AY128" s="259" t="str">
        <f t="shared" si="183"/>
        <v/>
      </c>
      <c r="AZ128" s="47" t="s">
        <v>0</v>
      </c>
      <c r="BA128" s="52" t="str">
        <f t="shared" si="120"/>
        <v/>
      </c>
      <c r="BB128" s="73" t="str">
        <f>IF(AV128&amp;AW128="","",MAX(BB$12:BB127)+1)</f>
        <v/>
      </c>
      <c r="BC128" s="272" t="str">
        <f t="shared" si="121"/>
        <v/>
      </c>
      <c r="BD128" s="53" t="str">
        <f>IF(AND(AM128="NEMA",AN128="NEMA",OR(AV128&amp;AW128="",BC128="NEMA")),MAX(BD$12:BD127)+1,"")</f>
        <v/>
      </c>
      <c r="BE128" s="47" t="s">
        <v>0</v>
      </c>
      <c r="BF128" s="52" t="str">
        <f t="shared" si="161"/>
        <v/>
      </c>
      <c r="BG128" s="66" t="str">
        <f t="shared" si="162"/>
        <v/>
      </c>
      <c r="BH128" s="47" t="s">
        <v>0</v>
      </c>
      <c r="BI128" s="52" t="str">
        <f t="shared" si="122"/>
        <v/>
      </c>
      <c r="BJ128" s="31" t="str">
        <f t="shared" si="123"/>
        <v/>
      </c>
      <c r="BK128" s="73" t="str">
        <f t="shared" si="124"/>
        <v/>
      </c>
      <c r="BL128" s="31" t="str" cm="1">
        <f t="array" ref="BL128">IF(BK128="",""&amp;BJ128,IF(BK128="NEMA",BJ128,INDEX(regKlub_naziv,MATCH(INDEX(regKlub_alias_klubId,BK128),regKlub_id,0))))</f>
        <v/>
      </c>
      <c r="BM128" s="31" t="str" cm="1">
        <f t="array" ref="BM128">IFERROR(""&amp;INDEX(regNatjecatelj_klub,DV128),"")</f>
        <v/>
      </c>
      <c r="BN128" s="73" t="str">
        <f t="shared" si="163"/>
        <v/>
      </c>
      <c r="BO128" s="66" t="str">
        <f t="shared" si="164"/>
        <v/>
      </c>
      <c r="BP128" s="47" t="s">
        <v>0</v>
      </c>
      <c r="BQ128" s="52" t="str">
        <f>IF(X128&lt;&gt;"NEMA","",IF(IFERROR(MATCH(W128,W$12:W127,0),0)&lt;&gt;0,"",W128))</f>
        <v/>
      </c>
      <c r="BR128" s="73" t="str">
        <f t="shared" si="165"/>
        <v/>
      </c>
      <c r="BS128" s="31" t="str">
        <f>IF(OR(BR128="",BR128&lt;&gt;"NEMA"),"",MAX(BS$12:BS127)+1)</f>
        <v/>
      </c>
      <c r="BT128" s="66" t="str">
        <f t="shared" si="166"/>
        <v/>
      </c>
      <c r="BU128" s="47" t="s">
        <v>0</v>
      </c>
      <c r="BV128" s="19" t="str">
        <f t="shared" si="167"/>
        <v/>
      </c>
      <c r="BW128" s="47" t="s">
        <v>0</v>
      </c>
      <c r="BX128" s="82" t="str">
        <f>IF(BK128&lt;&gt;"NEMA","",IF(IFERROR(MATCH(BJ128,BJ$12:BJ127,0),0)&lt;&gt;0,"",BJ128))</f>
        <v/>
      </c>
      <c r="BY128" s="47" t="s">
        <v>0</v>
      </c>
      <c r="BZ128" s="125"/>
      <c r="CA128" s="47" t="s">
        <v>0</v>
      </c>
      <c r="CB128" s="58" t="str">
        <f t="shared" si="168"/>
        <v/>
      </c>
      <c r="CC128" s="31" t="str">
        <f t="shared" si="169"/>
        <v/>
      </c>
      <c r="CD128" s="31" t="str">
        <f>IF(CC128="","",MAX(CD$12:CD127)+1)</f>
        <v/>
      </c>
      <c r="CE128" s="31" t="str">
        <f t="shared" si="125"/>
        <v/>
      </c>
      <c r="CF128" s="31" t="str">
        <f t="shared" si="170"/>
        <v/>
      </c>
      <c r="CG128" s="31" t="str">
        <f>IF(BZ128="","",MAX(CG$12:CG127)+1)</f>
        <v/>
      </c>
      <c r="CH128" s="31" t="str">
        <f t="shared" si="171"/>
        <v/>
      </c>
      <c r="CI128" s="66" t="str">
        <f t="shared" si="172"/>
        <v/>
      </c>
      <c r="CJ128" s="47" t="s">
        <v>0</v>
      </c>
      <c r="CK128" s="73" t="str">
        <f t="shared" si="126"/>
        <v/>
      </c>
      <c r="CL128" s="47"/>
      <c r="CM128" s="19" t="str">
        <f t="shared" si="173"/>
        <v/>
      </c>
      <c r="CN128" s="47" t="s">
        <v>0</v>
      </c>
      <c r="CO128" s="143" t="str">
        <f t="shared" si="174"/>
        <v/>
      </c>
      <c r="CP128" s="47" t="s">
        <v>0</v>
      </c>
      <c r="CQ128" s="58" t="str">
        <f t="shared" si="190"/>
        <v/>
      </c>
      <c r="CR128" s="73" t="str">
        <f t="shared" si="191"/>
        <v>0</v>
      </c>
      <c r="CS128" s="229" t="str">
        <f t="shared" si="127"/>
        <v/>
      </c>
      <c r="CT128" s="230" t="str">
        <f t="shared" si="192"/>
        <v/>
      </c>
      <c r="CU128" s="163" t="str">
        <f t="shared" si="128"/>
        <v/>
      </c>
      <c r="CV128" s="47" t="s">
        <v>0</v>
      </c>
      <c r="CW128" s="222" t="str">
        <f t="shared" si="175"/>
        <v xml:space="preserve">
</v>
      </c>
      <c r="CX128" s="223" t="str">
        <f t="shared" si="176"/>
        <v/>
      </c>
      <c r="CY128" s="47" t="s">
        <v>0</v>
      </c>
      <c r="CZ128" s="47"/>
      <c r="DA128" s="47"/>
      <c r="DB128" s="47"/>
      <c r="DC128" s="47" t="s">
        <v>0</v>
      </c>
      <c r="DD128" s="53" t="str">
        <f t="shared" si="184"/>
        <v/>
      </c>
      <c r="DE128" t="s">
        <v>0</v>
      </c>
      <c r="DF128" s="128" t="str">
        <f t="shared" si="185"/>
        <v>M</v>
      </c>
      <c r="DG128" t="s">
        <v>0</v>
      </c>
      <c r="DH128" s="52" t="str">
        <f t="shared" si="186"/>
        <v/>
      </c>
      <c r="DI128" s="66" t="str">
        <f t="shared" si="187"/>
        <v/>
      </c>
      <c r="DJ128" t="s">
        <v>0</v>
      </c>
      <c r="DK128" s="19" t="str">
        <f t="shared" si="188"/>
        <v/>
      </c>
      <c r="DL128" s="47" t="s">
        <v>0</v>
      </c>
      <c r="DM128" s="19" t="str">
        <f t="shared" si="189"/>
        <v/>
      </c>
      <c r="DN128" s="47" t="s">
        <v>0</v>
      </c>
      <c r="DO128" s="52" t="str">
        <f t="shared" si="129"/>
        <v/>
      </c>
      <c r="DP128" s="53" t="str">
        <f t="shared" si="130"/>
        <v/>
      </c>
      <c r="DQ128" s="47" t="s">
        <v>0</v>
      </c>
      <c r="DR128" s="52" t="str">
        <f t="shared" si="131"/>
        <v/>
      </c>
      <c r="DS128" s="53" t="str">
        <f t="shared" si="132"/>
        <v/>
      </c>
      <c r="DT128" s="47" t="s">
        <v>0</v>
      </c>
      <c r="DU128" s="52" t="str">
        <f t="shared" si="133"/>
        <v/>
      </c>
      <c r="DV128" s="53" t="str">
        <f t="shared" si="134"/>
        <v/>
      </c>
      <c r="DW128" s="47" t="s">
        <v>0</v>
      </c>
      <c r="DX128" s="58" t="str">
        <f t="shared" si="177"/>
        <v/>
      </c>
      <c r="DY128" s="53" t="str" cm="1">
        <f t="array" ref="DY128">IF(DX128&lt;&gt;"",INDEX(regNatjecatelj_id,DX128,0),IF(BD128&lt;&gt;"",BD128,""))</f>
        <v/>
      </c>
      <c r="DZ128" s="47" t="s">
        <v>0</v>
      </c>
      <c r="EA128" s="58" t="str">
        <f t="shared" si="135"/>
        <v/>
      </c>
      <c r="EB128" s="73" t="str">
        <f t="shared" si="136"/>
        <v/>
      </c>
      <c r="EC128" s="73" t="str">
        <f t="shared" si="137"/>
        <v/>
      </c>
      <c r="ED128" s="73" t="str">
        <f t="shared" si="138"/>
        <v/>
      </c>
      <c r="EE128" s="66" t="str">
        <f t="shared" si="139"/>
        <v/>
      </c>
      <c r="EF128" s="47" t="s">
        <v>0</v>
      </c>
      <c r="EG128" s="58" t="str">
        <f>IF(AL128="","",MAX(EG$12:EG127)+1)</f>
        <v/>
      </c>
      <c r="EH128" s="73" t="str">
        <f t="shared" si="140"/>
        <v/>
      </c>
      <c r="EI128" s="73" t="str">
        <f t="shared" si="178"/>
        <v/>
      </c>
      <c r="EJ128" s="73" t="str">
        <f t="shared" si="141"/>
        <v/>
      </c>
      <c r="EK128" s="73" t="str">
        <f t="shared" si="142"/>
        <v/>
      </c>
      <c r="EL128" s="73" t="str">
        <f t="shared" si="179"/>
        <v/>
      </c>
      <c r="EM128" s="73" t="str">
        <f t="shared" si="180"/>
        <v/>
      </c>
      <c r="EN128" s="73" t="str">
        <f t="shared" si="143"/>
        <v/>
      </c>
      <c r="EO128" s="73" t="str">
        <f t="shared" si="144"/>
        <v/>
      </c>
      <c r="EP128" s="73" t="str">
        <f t="shared" si="145"/>
        <v/>
      </c>
      <c r="EQ128" s="53" t="str">
        <f t="shared" si="146"/>
        <v/>
      </c>
      <c r="ER128" s="47" t="s">
        <v>0</v>
      </c>
      <c r="ES128" s="19" t="str">
        <f t="shared" si="181"/>
        <v/>
      </c>
      <c r="ET128" s="47" t="s">
        <v>0</v>
      </c>
      <c r="EU128" s="19" t="str">
        <f t="shared" si="182"/>
        <v/>
      </c>
      <c r="EV128" s="47" t="s">
        <v>0</v>
      </c>
      <c r="EW128" s="180" t="str">
        <f t="shared" si="147"/>
        <v/>
      </c>
      <c r="EX128" s="47" t="s">
        <v>0</v>
      </c>
    </row>
    <row r="129" spans="1:154" x14ac:dyDescent="0.25">
      <c r="A129" t="s">
        <v>0</v>
      </c>
      <c r="B129" s="52" t="str">
        <f>IF(csv!F119="","",csv!T119)</f>
        <v>M35</v>
      </c>
      <c r="C129" s="31" t="s">
        <v>0</v>
      </c>
      <c r="D129" s="31" t="str">
        <f>IF(csv!F119="","",csv!F119)</f>
        <v>Dalibor</v>
      </c>
      <c r="E129" s="31" t="str">
        <f>IF(csv!E119="","",csv!E119)</f>
        <v>Stankovski</v>
      </c>
      <c r="F129" s="31" t="s">
        <v>0</v>
      </c>
      <c r="G129" s="73" t="str">
        <f>IF(csv!M119="","",csv!M119)</f>
        <v/>
      </c>
      <c r="H129" s="73" t="str">
        <f>IF(csv!N119="","",csv!N119)</f>
        <v>1</v>
      </c>
      <c r="I129" s="31" t="s">
        <v>0</v>
      </c>
      <c r="J129" s="31" t="str">
        <f>IF(csv!P119="","",csv!P119)</f>
        <v>OK Jelen</v>
      </c>
      <c r="K129" s="31" t="str">
        <f>IF(csv!Q119="","",csv!Q119)</f>
        <v>OK Jelen</v>
      </c>
      <c r="L129" s="31" t="s">
        <v>0</v>
      </c>
      <c r="M129" s="66" t="str">
        <f>IF(csv!R119="","",csv!R119)</f>
        <v>CRO</v>
      </c>
      <c r="N129" s="47" t="s">
        <v>0</v>
      </c>
      <c r="O129" s="246" t="str">
        <f t="shared" si="148"/>
        <v>ok</v>
      </c>
      <c r="P129" s="47"/>
      <c r="Q129" s="52" t="str">
        <f t="shared" si="149"/>
        <v>M35</v>
      </c>
      <c r="R129" s="73">
        <f>IF(Q129="","",IF(COUNTIF(Q$12:Q128,Q129)=0,R128+1,R128))</f>
        <v>7</v>
      </c>
      <c r="S129" s="73">
        <f t="shared" si="150"/>
        <v>107</v>
      </c>
      <c r="T129" s="73">
        <f t="shared" si="113"/>
        <v>18</v>
      </c>
      <c r="U129" s="66" t="str">
        <f t="shared" si="114"/>
        <v>M35</v>
      </c>
      <c r="V129" s="47" t="s">
        <v>0</v>
      </c>
      <c r="W129" s="222" t="str">
        <f t="shared" si="115"/>
        <v>M35</v>
      </c>
      <c r="X129" s="223">
        <f t="shared" si="116"/>
        <v>29</v>
      </c>
      <c r="Y129" s="47" t="s">
        <v>0</v>
      </c>
      <c r="Z129" s="52" t="str">
        <f t="shared" si="151"/>
        <v>CRO</v>
      </c>
      <c r="AA129" s="73">
        <f t="shared" si="117"/>
        <v>1</v>
      </c>
      <c r="AB129" s="31" t="str">
        <f t="shared" si="152"/>
        <v/>
      </c>
      <c r="AC129" s="66" t="str">
        <f>IF(AB129="","",MAX(AC$12:AC128)+1)</f>
        <v/>
      </c>
      <c r="AD129" s="47" t="s">
        <v>0</v>
      </c>
      <c r="AE129" s="125"/>
      <c r="AF129" s="47" t="s">
        <v>0</v>
      </c>
      <c r="AG129" s="19" t="str">
        <f t="shared" si="153"/>
        <v/>
      </c>
      <c r="AH129" s="47" t="s">
        <v>0</v>
      </c>
      <c r="AI129" s="143" t="str">
        <f t="shared" si="154"/>
        <v>CRO</v>
      </c>
      <c r="AJ129" s="47"/>
      <c r="AK129" s="52" t="str">
        <f t="shared" si="155"/>
        <v>Dalibor</v>
      </c>
      <c r="AL129" s="31" t="str">
        <f t="shared" si="156"/>
        <v>Stankovski</v>
      </c>
      <c r="AM129" s="73">
        <f t="shared" si="157"/>
        <v>1164</v>
      </c>
      <c r="AN129" s="73" t="str">
        <f t="shared" si="158"/>
        <v/>
      </c>
      <c r="AO129" s="31" t="str">
        <f t="shared" si="118"/>
        <v>Dalibor</v>
      </c>
      <c r="AP129" s="66" t="str">
        <f t="shared" si="119"/>
        <v>Stankovski</v>
      </c>
      <c r="AQ129" s="47" t="s">
        <v>0</v>
      </c>
      <c r="AR129" s="82" t="str">
        <f t="shared" si="159"/>
        <v/>
      </c>
      <c r="AS129" s="47" t="s">
        <v>0</v>
      </c>
      <c r="AT129" s="19" t="str">
        <f t="shared" si="160"/>
        <v/>
      </c>
      <c r="AU129" s="47" t="s">
        <v>0</v>
      </c>
      <c r="AV129" s="103"/>
      <c r="AW129" s="105"/>
      <c r="AX129" s="47" t="s">
        <v>0</v>
      </c>
      <c r="AY129" s="259" t="str">
        <f t="shared" si="183"/>
        <v/>
      </c>
      <c r="AZ129" s="47" t="s">
        <v>0</v>
      </c>
      <c r="BA129" s="52" t="str">
        <f t="shared" si="120"/>
        <v/>
      </c>
      <c r="BB129" s="73" t="str">
        <f>IF(AV129&amp;AW129="","",MAX(BB$12:BB128)+1)</f>
        <v/>
      </c>
      <c r="BC129" s="272" t="str">
        <f t="shared" si="121"/>
        <v/>
      </c>
      <c r="BD129" s="53" t="str">
        <f>IF(AND(AM129="NEMA",AN129="NEMA",OR(AV129&amp;AW129="",BC129="NEMA")),MAX(BD$12:BD128)+1,"")</f>
        <v/>
      </c>
      <c r="BE129" s="47" t="s">
        <v>0</v>
      </c>
      <c r="BF129" s="52" t="str">
        <f t="shared" si="161"/>
        <v>Dalibor</v>
      </c>
      <c r="BG129" s="66" t="str">
        <f t="shared" si="162"/>
        <v>Stankovski</v>
      </c>
      <c r="BH129" s="47" t="s">
        <v>0</v>
      </c>
      <c r="BI129" s="52" t="str">
        <f t="shared" si="122"/>
        <v>OK Jelen</v>
      </c>
      <c r="BJ129" s="31" t="str">
        <f t="shared" si="123"/>
        <v>OK Jelen</v>
      </c>
      <c r="BK129" s="73" t="str">
        <f t="shared" si="124"/>
        <v/>
      </c>
      <c r="BL129" s="31" t="str" cm="1">
        <f t="array" ref="BL129">IF(BK129="",""&amp;BJ129,IF(BK129="NEMA",BJ129,INDEX(regKlub_naziv,MATCH(INDEX(regKlub_alias_klubId,BK129),regKlub_id,0))))</f>
        <v>OK Jelen</v>
      </c>
      <c r="BM129" s="31" t="str" cm="1">
        <f t="array" ref="BM129">IFERROR(""&amp;INDEX(regNatjecatelj_klub,DV129),"")</f>
        <v>OK Jelen</v>
      </c>
      <c r="BN129" s="73" t="str">
        <f t="shared" si="163"/>
        <v/>
      </c>
      <c r="BO129" s="66" t="str">
        <f t="shared" si="164"/>
        <v>OK Jelen</v>
      </c>
      <c r="BP129" s="47" t="s">
        <v>0</v>
      </c>
      <c r="BQ129" s="52" t="str">
        <f>IF(X129&lt;&gt;"NEMA","",IF(IFERROR(MATCH(W129,W$12:W128,0),0)&lt;&gt;0,"",W129))</f>
        <v/>
      </c>
      <c r="BR129" s="73" t="str">
        <f t="shared" si="165"/>
        <v/>
      </c>
      <c r="BS129" s="31" t="str">
        <f>IF(OR(BR129="",BR129&lt;&gt;"NEMA"),"",MAX(BS$12:BS128)+1)</f>
        <v/>
      </c>
      <c r="BT129" s="66" t="str">
        <f t="shared" si="166"/>
        <v/>
      </c>
      <c r="BU129" s="47" t="s">
        <v>0</v>
      </c>
      <c r="BV129" s="19" t="str">
        <f t="shared" si="167"/>
        <v/>
      </c>
      <c r="BW129" s="47" t="s">
        <v>0</v>
      </c>
      <c r="BX129" s="82" t="str">
        <f>IF(BK129&lt;&gt;"NEMA","",IF(IFERROR(MATCH(BJ129,BJ$12:BJ128,0),0)&lt;&gt;0,"",BJ129))</f>
        <v/>
      </c>
      <c r="BY129" s="47" t="s">
        <v>0</v>
      </c>
      <c r="BZ129" s="125"/>
      <c r="CA129" s="47" t="s">
        <v>0</v>
      </c>
      <c r="CB129" s="58" t="str">
        <f t="shared" si="168"/>
        <v/>
      </c>
      <c r="CC129" s="31" t="str">
        <f t="shared" si="169"/>
        <v/>
      </c>
      <c r="CD129" s="31" t="str">
        <f>IF(CC129="","",MAX(CD$12:CD128)+1)</f>
        <v/>
      </c>
      <c r="CE129" s="31" t="str">
        <f t="shared" si="125"/>
        <v/>
      </c>
      <c r="CF129" s="31" t="str">
        <f t="shared" si="170"/>
        <v/>
      </c>
      <c r="CG129" s="31" t="str">
        <f>IF(BZ129="","",MAX(CG$12:CG128)+1)</f>
        <v/>
      </c>
      <c r="CH129" s="31" t="str">
        <f t="shared" si="171"/>
        <v/>
      </c>
      <c r="CI129" s="66" t="str">
        <f t="shared" si="172"/>
        <v/>
      </c>
      <c r="CJ129" s="47" t="s">
        <v>0</v>
      </c>
      <c r="CK129" s="73" t="str">
        <f t="shared" si="126"/>
        <v/>
      </c>
      <c r="CL129" s="47"/>
      <c r="CM129" s="19" t="str">
        <f t="shared" si="173"/>
        <v/>
      </c>
      <c r="CN129" s="47" t="s">
        <v>0</v>
      </c>
      <c r="CO129" s="143" t="str">
        <f t="shared" si="174"/>
        <v>OK Jelen</v>
      </c>
      <c r="CP129" s="47" t="s">
        <v>0</v>
      </c>
      <c r="CQ129" s="58" t="str">
        <f t="shared" si="190"/>
        <v/>
      </c>
      <c r="CR129" s="73" t="str">
        <f t="shared" si="191"/>
        <v>1</v>
      </c>
      <c r="CS129" s="229" t="str">
        <f t="shared" si="127"/>
        <v/>
      </c>
      <c r="CT129" s="230" t="str">
        <f t="shared" si="192"/>
        <v/>
      </c>
      <c r="CU129" s="163">
        <f t="shared" si="128"/>
        <v>6</v>
      </c>
      <c r="CV129" s="47" t="s">
        <v>0</v>
      </c>
      <c r="CW129" s="222" t="str">
        <f t="shared" si="175"/>
        <v xml:space="preserve">
</v>
      </c>
      <c r="CX129" s="223" t="e">
        <f t="shared" si="176"/>
        <v>#N/A</v>
      </c>
      <c r="CY129" s="47" t="s">
        <v>0</v>
      </c>
      <c r="CZ129" s="47"/>
      <c r="DA129" s="47"/>
      <c r="DB129" s="47"/>
      <c r="DC129" s="47" t="s">
        <v>0</v>
      </c>
      <c r="DD129" s="53" t="str">
        <f t="shared" si="184"/>
        <v/>
      </c>
      <c r="DE129" t="s">
        <v>0</v>
      </c>
      <c r="DF129" s="128" t="str">
        <f t="shared" si="185"/>
        <v>M</v>
      </c>
      <c r="DG129" t="s">
        <v>0</v>
      </c>
      <c r="DH129" s="52" t="str">
        <f t="shared" si="186"/>
        <v/>
      </c>
      <c r="DI129" s="66" t="str">
        <f t="shared" si="187"/>
        <v/>
      </c>
      <c r="DJ129" t="s">
        <v>0</v>
      </c>
      <c r="DK129" s="19" t="str">
        <f t="shared" si="188"/>
        <v/>
      </c>
      <c r="DL129" s="47" t="s">
        <v>0</v>
      </c>
      <c r="DM129" s="19" t="str">
        <f t="shared" si="189"/>
        <v/>
      </c>
      <c r="DN129" s="47" t="s">
        <v>0</v>
      </c>
      <c r="DO129" s="52" t="str">
        <f t="shared" si="129"/>
        <v>Dalibor – Stankovski – OK Jelen – M35</v>
      </c>
      <c r="DP129" s="53">
        <f t="shared" si="130"/>
        <v>195</v>
      </c>
      <c r="DQ129" s="47" t="s">
        <v>0</v>
      </c>
      <c r="DR129" s="52" t="str">
        <f t="shared" si="131"/>
        <v>Dalibor – Stankovski – OK Jelen</v>
      </c>
      <c r="DS129" s="53">
        <f t="shared" si="132"/>
        <v>195</v>
      </c>
      <c r="DT129" s="47" t="s">
        <v>0</v>
      </c>
      <c r="DU129" s="52" t="str">
        <f t="shared" si="133"/>
        <v>Dalibor – Stankovski</v>
      </c>
      <c r="DV129" s="53">
        <f t="shared" si="134"/>
        <v>195</v>
      </c>
      <c r="DW129" s="47" t="s">
        <v>0</v>
      </c>
      <c r="DX129" s="58">
        <f t="shared" si="177"/>
        <v>195</v>
      </c>
      <c r="DY129" s="53" cm="1">
        <f t="array" ref="DY129">IF(DX129&lt;&gt;"",INDEX(regNatjecatelj_id,DX129,0),IF(BD129&lt;&gt;"",BD129,""))</f>
        <v>1164</v>
      </c>
      <c r="DZ129" s="47" t="s">
        <v>0</v>
      </c>
      <c r="EA129" s="58" t="str">
        <f t="shared" si="135"/>
        <v>imepre</v>
      </c>
      <c r="EB129" s="73" t="str">
        <f t="shared" si="136"/>
        <v>klu</v>
      </c>
      <c r="EC129" s="73" t="str">
        <f t="shared" si="137"/>
        <v>kat</v>
      </c>
      <c r="ED129" s="73" t="str">
        <f t="shared" si="138"/>
        <v/>
      </c>
      <c r="EE129" s="66" t="str">
        <f t="shared" si="139"/>
        <v>imepre-klu-kat</v>
      </c>
      <c r="EF129" s="47" t="s">
        <v>0</v>
      </c>
      <c r="EG129" s="58">
        <f>IF(AL129="","",MAX(EG$12:EG128)+1)</f>
        <v>296</v>
      </c>
      <c r="EH129" s="73">
        <f t="shared" si="140"/>
        <v>29</v>
      </c>
      <c r="EI129" s="73">
        <f t="shared" si="178"/>
        <v>1164</v>
      </c>
      <c r="EJ129" s="73" t="str">
        <f t="shared" si="141"/>
        <v/>
      </c>
      <c r="EK129" s="73">
        <f t="shared" si="142"/>
        <v>6</v>
      </c>
      <c r="EL129" s="73">
        <f t="shared" si="179"/>
        <v>1</v>
      </c>
      <c r="EM129" s="73">
        <f t="shared" si="180"/>
        <v>1</v>
      </c>
      <c r="EN129" s="73" t="str">
        <f t="shared" si="143"/>
        <v>1</v>
      </c>
      <c r="EO129" s="73" t="str">
        <f t="shared" si="144"/>
        <v/>
      </c>
      <c r="EP129" s="73" t="str">
        <f t="shared" si="145"/>
        <v/>
      </c>
      <c r="EQ129" s="53" t="str">
        <f t="shared" si="146"/>
        <v/>
      </c>
      <c r="ER129" s="47" t="s">
        <v>0</v>
      </c>
      <c r="ES129" s="19" t="str">
        <f t="shared" si="181"/>
        <v>INSERT INTO rezultat(id,stazakategorija_id,imeprezime_id,vrijeme_sec,status_id,registracija,uparivanje_id,originalstatus_id,imeprezimealias_id,klubalias_id,kategorijaalias_id) VALUES (296,29,1164,Null,6,1,1,1,Null,Null,Null);</v>
      </c>
      <c r="ET129" s="47" t="s">
        <v>0</v>
      </c>
      <c r="EU129" s="19" t="str">
        <f t="shared" si="182"/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9" s="47" t="s">
        <v>0</v>
      </c>
      <c r="EW129" s="180" t="str">
        <f t="shared" si="147"/>
        <v xml:space="preserve">
INSERT INTO rezultat(id,stazakategorija_id,imeprezime_id,vrijeme_sec,status_id,registracija,uparivanje_id,originalstatus_id,imeprezimealias_id,klubalias_id,kategorijaalias_id) VALUES (296,29,1164,Null,6,1,1,1,Null,Null,Null);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9" s="47" t="s">
        <v>0</v>
      </c>
    </row>
    <row r="130" spans="1:154" x14ac:dyDescent="0.25">
      <c r="A130" t="s">
        <v>0</v>
      </c>
      <c r="B130" s="52" t="str">
        <f>IF(csv!F120="","",csv!T120)</f>
        <v>M45</v>
      </c>
      <c r="C130" s="31" t="s">
        <v>0</v>
      </c>
      <c r="D130" s="31" t="str">
        <f>IF(csv!F120="","",csv!F120)</f>
        <v>Damir</v>
      </c>
      <c r="E130" s="31" t="str">
        <f>IF(csv!E120="","",csv!E120)</f>
        <v>Gobec</v>
      </c>
      <c r="F130" s="31" t="s">
        <v>0</v>
      </c>
      <c r="G130" s="73" t="str">
        <f>IF(csv!M120="","",csv!M120)</f>
        <v>40:43</v>
      </c>
      <c r="H130" s="73" t="str">
        <f>IF(csv!N120="","",csv!N120)</f>
        <v>0</v>
      </c>
      <c r="I130" s="31" t="s">
        <v>0</v>
      </c>
      <c r="J130" s="31" t="str">
        <f>IF(csv!P120="","",csv!P120)</f>
        <v>Vihor</v>
      </c>
      <c r="K130" s="31" t="str">
        <f>IF(csv!Q120="","",csv!Q120)</f>
        <v>OK Vihor</v>
      </c>
      <c r="L130" s="31" t="s">
        <v>0</v>
      </c>
      <c r="M130" s="66" t="str">
        <f>IF(csv!R120="","",csv!R120)</f>
        <v>CRO</v>
      </c>
      <c r="N130" s="47" t="s">
        <v>0</v>
      </c>
      <c r="O130" s="246" t="str">
        <f t="shared" si="148"/>
        <v>ok</v>
      </c>
      <c r="P130" s="47"/>
      <c r="Q130" s="52" t="str">
        <f t="shared" si="149"/>
        <v>M45</v>
      </c>
      <c r="R130" s="73">
        <f>IF(Q130="","",IF(COUNTIF(Q$12:Q129,Q130)=0,R129+1,R129))</f>
        <v>8</v>
      </c>
      <c r="S130" s="73">
        <f t="shared" si="150"/>
        <v>106</v>
      </c>
      <c r="T130" s="73">
        <f t="shared" si="113"/>
        <v>17</v>
      </c>
      <c r="U130" s="66" t="str">
        <f t="shared" si="114"/>
        <v>M45</v>
      </c>
      <c r="V130" s="47" t="s">
        <v>0</v>
      </c>
      <c r="W130" s="222" t="str">
        <f t="shared" si="115"/>
        <v>M45</v>
      </c>
      <c r="X130" s="223">
        <f t="shared" si="116"/>
        <v>30</v>
      </c>
      <c r="Y130" s="47" t="s">
        <v>0</v>
      </c>
      <c r="Z130" s="52" t="str">
        <f t="shared" si="151"/>
        <v>CRO</v>
      </c>
      <c r="AA130" s="73">
        <f t="shared" si="117"/>
        <v>1</v>
      </c>
      <c r="AB130" s="31" t="str">
        <f t="shared" si="152"/>
        <v/>
      </c>
      <c r="AC130" s="66" t="str">
        <f>IF(AB130="","",MAX(AC$12:AC129)+1)</f>
        <v/>
      </c>
      <c r="AD130" s="47" t="s">
        <v>0</v>
      </c>
      <c r="AE130" s="125"/>
      <c r="AF130" s="47" t="s">
        <v>0</v>
      </c>
      <c r="AG130" s="19" t="str">
        <f t="shared" si="153"/>
        <v/>
      </c>
      <c r="AH130" s="47" t="s">
        <v>0</v>
      </c>
      <c r="AI130" s="143" t="str">
        <f t="shared" si="154"/>
        <v>CRO</v>
      </c>
      <c r="AJ130" s="47"/>
      <c r="AK130" s="52" t="str">
        <f t="shared" si="155"/>
        <v>Damir</v>
      </c>
      <c r="AL130" s="31" t="str">
        <f t="shared" si="156"/>
        <v>Gobec</v>
      </c>
      <c r="AM130" s="73">
        <f t="shared" si="157"/>
        <v>1209</v>
      </c>
      <c r="AN130" s="73" t="str">
        <f t="shared" si="158"/>
        <v/>
      </c>
      <c r="AO130" s="31" t="str">
        <f t="shared" si="118"/>
        <v>Damir</v>
      </c>
      <c r="AP130" s="66" t="str">
        <f t="shared" si="119"/>
        <v>Gobec</v>
      </c>
      <c r="AQ130" s="47" t="s">
        <v>0</v>
      </c>
      <c r="AR130" s="82" t="str">
        <f t="shared" si="159"/>
        <v/>
      </c>
      <c r="AS130" s="47" t="s">
        <v>0</v>
      </c>
      <c r="AT130" s="19" t="str">
        <f t="shared" si="160"/>
        <v/>
      </c>
      <c r="AU130" s="47" t="s">
        <v>0</v>
      </c>
      <c r="AV130" s="103"/>
      <c r="AW130" s="105"/>
      <c r="AX130" s="47" t="s">
        <v>0</v>
      </c>
      <c r="AY130" s="259" t="str">
        <f t="shared" si="183"/>
        <v/>
      </c>
      <c r="AZ130" s="47" t="s">
        <v>0</v>
      </c>
      <c r="BA130" s="52" t="str">
        <f t="shared" si="120"/>
        <v/>
      </c>
      <c r="BB130" s="73" t="str">
        <f>IF(AV130&amp;AW130="","",MAX(BB$12:BB129)+1)</f>
        <v/>
      </c>
      <c r="BC130" s="272" t="str">
        <f t="shared" si="121"/>
        <v/>
      </c>
      <c r="BD130" s="53" t="str">
        <f>IF(AND(AM130="NEMA",AN130="NEMA",OR(AV130&amp;AW130="",BC130="NEMA")),MAX(BD$12:BD129)+1,"")</f>
        <v/>
      </c>
      <c r="BE130" s="47" t="s">
        <v>0</v>
      </c>
      <c r="BF130" s="52" t="str">
        <f t="shared" si="161"/>
        <v>Damir</v>
      </c>
      <c r="BG130" s="66" t="str">
        <f t="shared" si="162"/>
        <v>Gobec</v>
      </c>
      <c r="BH130" s="47" t="s">
        <v>0</v>
      </c>
      <c r="BI130" s="52" t="str">
        <f t="shared" si="122"/>
        <v>Vihor</v>
      </c>
      <c r="BJ130" s="31" t="str">
        <f t="shared" si="123"/>
        <v>OK Vihor</v>
      </c>
      <c r="BK130" s="73" t="str">
        <f t="shared" si="124"/>
        <v/>
      </c>
      <c r="BL130" s="31" t="str" cm="1">
        <f t="array" ref="BL130">IF(BK130="",""&amp;BJ130,IF(BK130="NEMA",BJ130,INDEX(regKlub_naziv,MATCH(INDEX(regKlub_alias_klubId,BK130),regKlub_id,0))))</f>
        <v>OK Vihor</v>
      </c>
      <c r="BM130" s="31" t="str" cm="1">
        <f t="array" ref="BM130">IFERROR(""&amp;INDEX(regNatjecatelj_klub,DV130),"")</f>
        <v>OK Vihor</v>
      </c>
      <c r="BN130" s="73" t="str">
        <f t="shared" si="163"/>
        <v/>
      </c>
      <c r="BO130" s="66" t="str">
        <f t="shared" si="164"/>
        <v>OK Vihor</v>
      </c>
      <c r="BP130" s="47" t="s">
        <v>0</v>
      </c>
      <c r="BQ130" s="52" t="str">
        <f>IF(X130&lt;&gt;"NEMA","",IF(IFERROR(MATCH(W130,W$12:W129,0),0)&lt;&gt;0,"",W130))</f>
        <v/>
      </c>
      <c r="BR130" s="73" t="str">
        <f t="shared" si="165"/>
        <v/>
      </c>
      <c r="BS130" s="31" t="str">
        <f>IF(OR(BR130="",BR130&lt;&gt;"NEMA"),"",MAX(BS$12:BS129)+1)</f>
        <v/>
      </c>
      <c r="BT130" s="66" t="str">
        <f t="shared" si="166"/>
        <v/>
      </c>
      <c r="BU130" s="47" t="s">
        <v>0</v>
      </c>
      <c r="BV130" s="19" t="str">
        <f t="shared" si="167"/>
        <v/>
      </c>
      <c r="BW130" s="47" t="s">
        <v>0</v>
      </c>
      <c r="BX130" s="82" t="str">
        <f>IF(BK130&lt;&gt;"NEMA","",IF(IFERROR(MATCH(BJ130,BJ$12:BJ129,0),0)&lt;&gt;0,"",BJ130))</f>
        <v/>
      </c>
      <c r="BY130" s="47" t="s">
        <v>0</v>
      </c>
      <c r="BZ130" s="125"/>
      <c r="CA130" s="47" t="s">
        <v>0</v>
      </c>
      <c r="CB130" s="58" t="str">
        <f t="shared" si="168"/>
        <v/>
      </c>
      <c r="CC130" s="31" t="str">
        <f t="shared" si="169"/>
        <v/>
      </c>
      <c r="CD130" s="31" t="str">
        <f>IF(CC130="","",MAX(CD$12:CD129)+1)</f>
        <v/>
      </c>
      <c r="CE130" s="31" t="str">
        <f t="shared" si="125"/>
        <v/>
      </c>
      <c r="CF130" s="31" t="str">
        <f t="shared" si="170"/>
        <v/>
      </c>
      <c r="CG130" s="31" t="str">
        <f>IF(BZ130="","",MAX(CG$12:CG129)+1)</f>
        <v/>
      </c>
      <c r="CH130" s="31" t="str">
        <f t="shared" si="171"/>
        <v/>
      </c>
      <c r="CI130" s="66" t="str">
        <f t="shared" si="172"/>
        <v/>
      </c>
      <c r="CJ130" s="47" t="s">
        <v>0</v>
      </c>
      <c r="CK130" s="73" t="str">
        <f t="shared" si="126"/>
        <v/>
      </c>
      <c r="CL130" s="47"/>
      <c r="CM130" s="19" t="str">
        <f t="shared" si="173"/>
        <v/>
      </c>
      <c r="CN130" s="47" t="s">
        <v>0</v>
      </c>
      <c r="CO130" s="143" t="str">
        <f t="shared" si="174"/>
        <v>OK Vihor</v>
      </c>
      <c r="CP130" s="47" t="s">
        <v>0</v>
      </c>
      <c r="CQ130" s="58" t="str">
        <f t="shared" si="190"/>
        <v>40:43</v>
      </c>
      <c r="CR130" s="73" t="str">
        <f t="shared" si="191"/>
        <v>0</v>
      </c>
      <c r="CS130" s="229" t="str">
        <f t="shared" si="127"/>
        <v/>
      </c>
      <c r="CT130" s="230">
        <f t="shared" si="192"/>
        <v>2443</v>
      </c>
      <c r="CU130" s="163">
        <f t="shared" si="128"/>
        <v>1</v>
      </c>
      <c r="CV130" s="47" t="s">
        <v>0</v>
      </c>
      <c r="CW130" s="222" t="str">
        <f t="shared" si="175"/>
        <v xml:space="preserve">
</v>
      </c>
      <c r="CX130" s="223">
        <f t="shared" si="176"/>
        <v>6</v>
      </c>
      <c r="CY130" s="47" t="s">
        <v>0</v>
      </c>
      <c r="CZ130" s="47"/>
      <c r="DA130" s="47"/>
      <c r="DB130" s="47"/>
      <c r="DC130" s="47" t="s">
        <v>0</v>
      </c>
      <c r="DD130" s="53" t="str">
        <f t="shared" si="184"/>
        <v/>
      </c>
      <c r="DE130" t="s">
        <v>0</v>
      </c>
      <c r="DF130" s="128" t="str">
        <f t="shared" si="185"/>
        <v>M</v>
      </c>
      <c r="DG130" t="s">
        <v>0</v>
      </c>
      <c r="DH130" s="52" t="str">
        <f t="shared" si="186"/>
        <v/>
      </c>
      <c r="DI130" s="66" t="str">
        <f t="shared" si="187"/>
        <v/>
      </c>
      <c r="DJ130" t="s">
        <v>0</v>
      </c>
      <c r="DK130" s="19" t="str">
        <f t="shared" si="188"/>
        <v/>
      </c>
      <c r="DL130" s="47" t="s">
        <v>0</v>
      </c>
      <c r="DM130" s="19" t="str">
        <f t="shared" si="189"/>
        <v/>
      </c>
      <c r="DN130" s="47" t="s">
        <v>0</v>
      </c>
      <c r="DO130" s="52" t="str">
        <f t="shared" si="129"/>
        <v>Damir – Gobec – OK Vihor – M45</v>
      </c>
      <c r="DP130" s="53">
        <f t="shared" si="130"/>
        <v>672</v>
      </c>
      <c r="DQ130" s="47" t="s">
        <v>0</v>
      </c>
      <c r="DR130" s="52" t="str">
        <f t="shared" si="131"/>
        <v>Damir – Gobec – OK Vihor</v>
      </c>
      <c r="DS130" s="53">
        <f t="shared" si="132"/>
        <v>672</v>
      </c>
      <c r="DT130" s="47" t="s">
        <v>0</v>
      </c>
      <c r="DU130" s="52" t="str">
        <f t="shared" si="133"/>
        <v>Damir – Gobec</v>
      </c>
      <c r="DV130" s="53">
        <f t="shared" si="134"/>
        <v>672</v>
      </c>
      <c r="DW130" s="47" t="s">
        <v>0</v>
      </c>
      <c r="DX130" s="58">
        <f t="shared" si="177"/>
        <v>672</v>
      </c>
      <c r="DY130" s="53" cm="1">
        <f t="array" ref="DY130">IF(DX130&lt;&gt;"",INDEX(regNatjecatelj_id,DX130,0),IF(BD130&lt;&gt;"",BD130,""))</f>
        <v>1209</v>
      </c>
      <c r="DZ130" s="47" t="s">
        <v>0</v>
      </c>
      <c r="EA130" s="58" t="str">
        <f t="shared" si="135"/>
        <v>imepre</v>
      </c>
      <c r="EB130" s="73" t="str">
        <f t="shared" si="136"/>
        <v>klu</v>
      </c>
      <c r="EC130" s="73" t="str">
        <f t="shared" si="137"/>
        <v>kat</v>
      </c>
      <c r="ED130" s="73" t="str">
        <f t="shared" si="138"/>
        <v/>
      </c>
      <c r="EE130" s="66" t="str">
        <f t="shared" si="139"/>
        <v>imepre-klu-kat</v>
      </c>
      <c r="EF130" s="47" t="s">
        <v>0</v>
      </c>
      <c r="EG130" s="58">
        <f>IF(AL130="","",MAX(EG$12:EG129)+1)</f>
        <v>297</v>
      </c>
      <c r="EH130" s="73">
        <f t="shared" si="140"/>
        <v>30</v>
      </c>
      <c r="EI130" s="73">
        <f t="shared" si="178"/>
        <v>1209</v>
      </c>
      <c r="EJ130" s="73">
        <f t="shared" si="141"/>
        <v>2443</v>
      </c>
      <c r="EK130" s="73">
        <f t="shared" si="142"/>
        <v>1</v>
      </c>
      <c r="EL130" s="73">
        <f t="shared" si="179"/>
        <v>1</v>
      </c>
      <c r="EM130" s="73">
        <f t="shared" si="180"/>
        <v>1</v>
      </c>
      <c r="EN130" s="73" t="str">
        <f t="shared" si="143"/>
        <v>0</v>
      </c>
      <c r="EO130" s="73" t="str">
        <f t="shared" si="144"/>
        <v/>
      </c>
      <c r="EP130" s="73" t="str">
        <f t="shared" si="145"/>
        <v/>
      </c>
      <c r="EQ130" s="53" t="str">
        <f t="shared" si="146"/>
        <v/>
      </c>
      <c r="ER130" s="47" t="s">
        <v>0</v>
      </c>
      <c r="ES130" s="19" t="str">
        <f t="shared" si="181"/>
        <v>INSERT INTO rezultat(id,stazakategorija_id,imeprezime_id,vrijeme_sec,status_id,registracija,uparivanje_id,originalstatus_id,imeprezimealias_id,klubalias_id,kategorijaalias_id) VALUES (297,30,1209,2443,1,1,1,0,Null,Null,Null);</v>
      </c>
      <c r="ET130" s="47" t="s">
        <v>0</v>
      </c>
      <c r="EU130" s="19" t="str">
        <f t="shared" si="182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0" s="47" t="s">
        <v>0</v>
      </c>
      <c r="EW130" s="180" t="str">
        <f t="shared" si="147"/>
        <v xml:space="preserve">
INSERT INTO rezultat(id,stazakategorija_id,imeprezime_id,vrijeme_sec,status_id,registracija,uparivanje_id,originalstatus_id,imeprezimealias_id,klubalias_id,kategorijaalias_id) VALUES (297,30,1209,2443,1,1,1,0,Null,Null,Null);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0" s="47" t="s">
        <v>0</v>
      </c>
    </row>
    <row r="131" spans="1:154" x14ac:dyDescent="0.25">
      <c r="A131" t="s">
        <v>0</v>
      </c>
      <c r="B131" s="52" t="str">
        <f>IF(csv!F121="","",csv!T121)</f>
        <v>M45</v>
      </c>
      <c r="C131" s="31" t="s">
        <v>0</v>
      </c>
      <c r="D131" s="31" t="str">
        <f>IF(csv!F121="","",csv!F121)</f>
        <v>Tihomir</v>
      </c>
      <c r="E131" s="31" t="str">
        <f>IF(csv!E121="","",csv!E121)</f>
        <v>Salopek</v>
      </c>
      <c r="F131" s="31" t="s">
        <v>0</v>
      </c>
      <c r="G131" s="73" t="str">
        <f>IF(csv!M121="","",csv!M121)</f>
        <v>41:08</v>
      </c>
      <c r="H131" s="73" t="str">
        <f>IF(csv!N121="","",csv!N121)</f>
        <v>0</v>
      </c>
      <c r="I131" s="31" t="s">
        <v>0</v>
      </c>
      <c r="J131" s="31" t="str">
        <f>IF(csv!P121="","",csv!P121)</f>
        <v>RIS</v>
      </c>
      <c r="K131" s="31" t="str">
        <f>IF(csv!Q121="","",csv!Q121)</f>
        <v>OK Ris</v>
      </c>
      <c r="L131" s="31" t="s">
        <v>0</v>
      </c>
      <c r="M131" s="66" t="str">
        <f>IF(csv!R121="","",csv!R121)</f>
        <v>CRO</v>
      </c>
      <c r="N131" s="47" t="s">
        <v>0</v>
      </c>
      <c r="O131" s="246" t="str">
        <f t="shared" si="148"/>
        <v>ok</v>
      </c>
      <c r="P131" s="47"/>
      <c r="Q131" s="52" t="str">
        <f t="shared" si="149"/>
        <v>M45</v>
      </c>
      <c r="R131" s="73">
        <f>IF(Q131="","",IF(COUNTIF(Q$12:Q130,Q131)=0,R130+1,R130))</f>
        <v>8</v>
      </c>
      <c r="S131" s="73">
        <f t="shared" si="150"/>
        <v>106</v>
      </c>
      <c r="T131" s="73">
        <f t="shared" si="113"/>
        <v>17</v>
      </c>
      <c r="U131" s="66" t="str">
        <f t="shared" si="114"/>
        <v>M45</v>
      </c>
      <c r="V131" s="47" t="s">
        <v>0</v>
      </c>
      <c r="W131" s="222" t="str">
        <f t="shared" si="115"/>
        <v>M45</v>
      </c>
      <c r="X131" s="223">
        <f t="shared" si="116"/>
        <v>30</v>
      </c>
      <c r="Y131" s="47" t="s">
        <v>0</v>
      </c>
      <c r="Z131" s="52" t="str">
        <f t="shared" si="151"/>
        <v>CRO</v>
      </c>
      <c r="AA131" s="73">
        <f t="shared" si="117"/>
        <v>1</v>
      </c>
      <c r="AB131" s="31" t="str">
        <f t="shared" si="152"/>
        <v/>
      </c>
      <c r="AC131" s="66" t="str">
        <f>IF(AB131="","",MAX(AC$12:AC130)+1)</f>
        <v/>
      </c>
      <c r="AD131" s="47" t="s">
        <v>0</v>
      </c>
      <c r="AE131" s="125"/>
      <c r="AF131" s="47" t="s">
        <v>0</v>
      </c>
      <c r="AG131" s="19" t="str">
        <f t="shared" si="153"/>
        <v/>
      </c>
      <c r="AH131" s="47" t="s">
        <v>0</v>
      </c>
      <c r="AI131" s="143" t="str">
        <f t="shared" si="154"/>
        <v>CRO</v>
      </c>
      <c r="AJ131" s="47"/>
      <c r="AK131" s="52" t="str">
        <f t="shared" si="155"/>
        <v>Tihomir</v>
      </c>
      <c r="AL131" s="31" t="str">
        <f t="shared" si="156"/>
        <v>Salopek</v>
      </c>
      <c r="AM131" s="73">
        <f t="shared" si="157"/>
        <v>1835</v>
      </c>
      <c r="AN131" s="73" t="str">
        <f t="shared" si="158"/>
        <v/>
      </c>
      <c r="AO131" s="31" t="str">
        <f t="shared" si="118"/>
        <v>Tihomir</v>
      </c>
      <c r="AP131" s="66" t="str">
        <f t="shared" si="119"/>
        <v>Salopek</v>
      </c>
      <c r="AQ131" s="47" t="s">
        <v>0</v>
      </c>
      <c r="AR131" s="82" t="str">
        <f t="shared" si="159"/>
        <v/>
      </c>
      <c r="AS131" s="47" t="s">
        <v>0</v>
      </c>
      <c r="AT131" s="19" t="str">
        <f t="shared" si="160"/>
        <v/>
      </c>
      <c r="AU131" s="47" t="s">
        <v>0</v>
      </c>
      <c r="AV131" s="103"/>
      <c r="AW131" s="105"/>
      <c r="AX131" s="47" t="s">
        <v>0</v>
      </c>
      <c r="AY131" s="259" t="str">
        <f t="shared" si="183"/>
        <v/>
      </c>
      <c r="AZ131" s="47" t="s">
        <v>0</v>
      </c>
      <c r="BA131" s="52" t="str">
        <f t="shared" si="120"/>
        <v/>
      </c>
      <c r="BB131" s="73" t="str">
        <f>IF(AV131&amp;AW131="","",MAX(BB$12:BB130)+1)</f>
        <v/>
      </c>
      <c r="BC131" s="272" t="str">
        <f t="shared" si="121"/>
        <v/>
      </c>
      <c r="BD131" s="53" t="str">
        <f>IF(AND(AM131="NEMA",AN131="NEMA",OR(AV131&amp;AW131="",BC131="NEMA")),MAX(BD$12:BD130)+1,"")</f>
        <v/>
      </c>
      <c r="BE131" s="47" t="s">
        <v>0</v>
      </c>
      <c r="BF131" s="52" t="str">
        <f t="shared" si="161"/>
        <v>Tihomir</v>
      </c>
      <c r="BG131" s="66" t="str">
        <f t="shared" si="162"/>
        <v>Salopek</v>
      </c>
      <c r="BH131" s="47" t="s">
        <v>0</v>
      </c>
      <c r="BI131" s="52" t="str">
        <f t="shared" si="122"/>
        <v>RIS</v>
      </c>
      <c r="BJ131" s="31" t="str">
        <f t="shared" si="123"/>
        <v>OK Ris</v>
      </c>
      <c r="BK131" s="73" t="str">
        <f t="shared" si="124"/>
        <v/>
      </c>
      <c r="BL131" s="31" t="str" cm="1">
        <f t="array" ref="BL131">IF(BK131="",""&amp;BJ131,IF(BK131="NEMA",BJ131,INDEX(regKlub_naziv,MATCH(INDEX(regKlub_alias_klubId,BK131),regKlub_id,0))))</f>
        <v>OK Ris</v>
      </c>
      <c r="BM131" s="31" t="str" cm="1">
        <f t="array" ref="BM131">IFERROR(""&amp;INDEX(regNatjecatelj_klub,DV131),"")</f>
        <v>OK Ris</v>
      </c>
      <c r="BN131" s="73" t="str">
        <f t="shared" si="163"/>
        <v/>
      </c>
      <c r="BO131" s="66" t="str">
        <f t="shared" si="164"/>
        <v>OK Ris</v>
      </c>
      <c r="BP131" s="47" t="s">
        <v>0</v>
      </c>
      <c r="BQ131" s="52" t="str">
        <f>IF(X131&lt;&gt;"NEMA","",IF(IFERROR(MATCH(W131,W$12:W130,0),0)&lt;&gt;0,"",W131))</f>
        <v/>
      </c>
      <c r="BR131" s="73" t="str">
        <f t="shared" si="165"/>
        <v/>
      </c>
      <c r="BS131" s="31" t="str">
        <f>IF(OR(BR131="",BR131&lt;&gt;"NEMA"),"",MAX(BS$12:BS130)+1)</f>
        <v/>
      </c>
      <c r="BT131" s="66" t="str">
        <f t="shared" si="166"/>
        <v/>
      </c>
      <c r="BU131" s="47" t="s">
        <v>0</v>
      </c>
      <c r="BV131" s="19" t="str">
        <f t="shared" si="167"/>
        <v/>
      </c>
      <c r="BW131" s="47" t="s">
        <v>0</v>
      </c>
      <c r="BX131" s="82" t="str">
        <f>IF(BK131&lt;&gt;"NEMA","",IF(IFERROR(MATCH(BJ131,BJ$12:BJ130,0),0)&lt;&gt;0,"",BJ131))</f>
        <v/>
      </c>
      <c r="BY131" s="47" t="s">
        <v>0</v>
      </c>
      <c r="BZ131" s="125"/>
      <c r="CA131" s="47" t="s">
        <v>0</v>
      </c>
      <c r="CB131" s="58" t="str">
        <f t="shared" si="168"/>
        <v/>
      </c>
      <c r="CC131" s="31" t="str">
        <f t="shared" si="169"/>
        <v/>
      </c>
      <c r="CD131" s="31" t="str">
        <f>IF(CC131="","",MAX(CD$12:CD130)+1)</f>
        <v/>
      </c>
      <c r="CE131" s="31" t="str">
        <f t="shared" si="125"/>
        <v/>
      </c>
      <c r="CF131" s="31" t="str">
        <f t="shared" si="170"/>
        <v/>
      </c>
      <c r="CG131" s="31" t="str">
        <f>IF(BZ131="","",MAX(CG$12:CG130)+1)</f>
        <v/>
      </c>
      <c r="CH131" s="31" t="str">
        <f t="shared" si="171"/>
        <v/>
      </c>
      <c r="CI131" s="66" t="str">
        <f t="shared" si="172"/>
        <v/>
      </c>
      <c r="CJ131" s="47" t="s">
        <v>0</v>
      </c>
      <c r="CK131" s="73" t="str">
        <f t="shared" si="126"/>
        <v/>
      </c>
      <c r="CL131" s="47"/>
      <c r="CM131" s="19" t="str">
        <f t="shared" si="173"/>
        <v/>
      </c>
      <c r="CN131" s="47" t="s">
        <v>0</v>
      </c>
      <c r="CO131" s="143" t="str">
        <f t="shared" si="174"/>
        <v>OK Ris</v>
      </c>
      <c r="CP131" s="47" t="s">
        <v>0</v>
      </c>
      <c r="CQ131" s="58" t="str">
        <f t="shared" si="190"/>
        <v>41:08</v>
      </c>
      <c r="CR131" s="73" t="str">
        <f t="shared" si="191"/>
        <v>0</v>
      </c>
      <c r="CS131" s="229" t="str">
        <f t="shared" si="127"/>
        <v/>
      </c>
      <c r="CT131" s="230">
        <f t="shared" si="192"/>
        <v>2468</v>
      </c>
      <c r="CU131" s="163">
        <f t="shared" si="128"/>
        <v>1</v>
      </c>
      <c r="CV131" s="47" t="s">
        <v>0</v>
      </c>
      <c r="CW131" s="222" t="str">
        <f t="shared" si="175"/>
        <v xml:space="preserve">
</v>
      </c>
      <c r="CX131" s="223">
        <f t="shared" si="176"/>
        <v>6</v>
      </c>
      <c r="CY131" s="47" t="s">
        <v>0</v>
      </c>
      <c r="CZ131" s="47"/>
      <c r="DA131" s="47"/>
      <c r="DB131" s="47"/>
      <c r="DC131" s="47" t="s">
        <v>0</v>
      </c>
      <c r="DD131" s="53" t="str">
        <f t="shared" si="184"/>
        <v/>
      </c>
      <c r="DE131" t="s">
        <v>0</v>
      </c>
      <c r="DF131" s="128" t="str">
        <f t="shared" si="185"/>
        <v>M</v>
      </c>
      <c r="DG131" t="s">
        <v>0</v>
      </c>
      <c r="DH131" s="52" t="str">
        <f t="shared" si="186"/>
        <v/>
      </c>
      <c r="DI131" s="66" t="str">
        <f t="shared" si="187"/>
        <v/>
      </c>
      <c r="DJ131" t="s">
        <v>0</v>
      </c>
      <c r="DK131" s="19" t="str">
        <f t="shared" si="188"/>
        <v/>
      </c>
      <c r="DL131" s="47" t="s">
        <v>0</v>
      </c>
      <c r="DM131" s="19" t="str">
        <f t="shared" si="189"/>
        <v/>
      </c>
      <c r="DN131" s="47" t="s">
        <v>0</v>
      </c>
      <c r="DO131" s="52" t="str">
        <f t="shared" si="129"/>
        <v>Tihomir – Salopek – OK Ris – M45</v>
      </c>
      <c r="DP131" s="53" t="str">
        <f t="shared" si="130"/>
        <v>NEMA</v>
      </c>
      <c r="DQ131" s="47" t="s">
        <v>0</v>
      </c>
      <c r="DR131" s="52" t="str">
        <f t="shared" si="131"/>
        <v>Tihomir – Salopek – OK Ris</v>
      </c>
      <c r="DS131" s="53">
        <f t="shared" si="132"/>
        <v>452</v>
      </c>
      <c r="DT131" s="47" t="s">
        <v>0</v>
      </c>
      <c r="DU131" s="52" t="str">
        <f t="shared" si="133"/>
        <v>Tihomir – Salopek</v>
      </c>
      <c r="DV131" s="53">
        <f t="shared" si="134"/>
        <v>452</v>
      </c>
      <c r="DW131" s="47" t="s">
        <v>0</v>
      </c>
      <c r="DX131" s="58">
        <f t="shared" si="177"/>
        <v>452</v>
      </c>
      <c r="DY131" s="53" cm="1">
        <f t="array" ref="DY131">IF(DX131&lt;&gt;"",INDEX(regNatjecatelj_id,DX131,0),IF(BD131&lt;&gt;"",BD131,""))</f>
        <v>1835</v>
      </c>
      <c r="DZ131" s="47" t="s">
        <v>0</v>
      </c>
      <c r="EA131" s="58" t="str">
        <f t="shared" si="135"/>
        <v>imepre</v>
      </c>
      <c r="EB131" s="73" t="str">
        <f t="shared" si="136"/>
        <v>klu</v>
      </c>
      <c r="EC131" s="73" t="str">
        <f t="shared" si="137"/>
        <v>kat</v>
      </c>
      <c r="ED131" s="73" t="str">
        <f t="shared" si="138"/>
        <v/>
      </c>
      <c r="EE131" s="66" t="str">
        <f t="shared" si="139"/>
        <v>imepre-klu-kat</v>
      </c>
      <c r="EF131" s="47" t="s">
        <v>0</v>
      </c>
      <c r="EG131" s="58">
        <f>IF(AL131="","",MAX(EG$12:EG130)+1)</f>
        <v>298</v>
      </c>
      <c r="EH131" s="73">
        <f t="shared" si="140"/>
        <v>30</v>
      </c>
      <c r="EI131" s="73">
        <f t="shared" si="178"/>
        <v>1835</v>
      </c>
      <c r="EJ131" s="73">
        <f t="shared" si="141"/>
        <v>2468</v>
      </c>
      <c r="EK131" s="73">
        <f t="shared" si="142"/>
        <v>1</v>
      </c>
      <c r="EL131" s="73">
        <f t="shared" si="179"/>
        <v>0</v>
      </c>
      <c r="EM131" s="73">
        <f t="shared" si="180"/>
        <v>1</v>
      </c>
      <c r="EN131" s="73" t="str">
        <f t="shared" si="143"/>
        <v>0</v>
      </c>
      <c r="EO131" s="73" t="str">
        <f t="shared" si="144"/>
        <v/>
      </c>
      <c r="EP131" s="73" t="str">
        <f t="shared" si="145"/>
        <v/>
      </c>
      <c r="EQ131" s="53" t="str">
        <f t="shared" si="146"/>
        <v/>
      </c>
      <c r="ER131" s="47" t="s">
        <v>0</v>
      </c>
      <c r="ES131" s="19" t="str">
        <f t="shared" si="181"/>
        <v>INSERT INTO rezultat(id,stazakategorija_id,imeprezime_id,vrijeme_sec,status_id,registracija,uparivanje_id,originalstatus_id,imeprezimealias_id,klubalias_id,kategorijaalias_id) VALUES (298,30,1835,2468,1,0,1,0,Null,Null,Null);</v>
      </c>
      <c r="ET131" s="47" t="s">
        <v>0</v>
      </c>
      <c r="EU131" s="19" t="str">
        <f t="shared" si="182"/>
        <v/>
      </c>
      <c r="EV131" s="47" t="s">
        <v>0</v>
      </c>
      <c r="EW131" s="180" t="str">
        <f t="shared" si="147"/>
        <v xml:space="preserve">
INSERT INTO rezultat(id,stazakategorija_id,imeprezime_id,vrijeme_sec,status_id,registracija,uparivanje_id,originalstatus_id,imeprezimealias_id,klubalias_id,kategorijaalias_id) VALUES (298,30,1835,2468,1,0,1,0,Null,Null,Null);</v>
      </c>
      <c r="EX131" s="47" t="s">
        <v>0</v>
      </c>
    </row>
    <row r="132" spans="1:154" x14ac:dyDescent="0.25">
      <c r="A132" t="s">
        <v>0</v>
      </c>
      <c r="B132" s="52" t="str">
        <f>IF(csv!F122="","",csv!T122)</f>
        <v>M45</v>
      </c>
      <c r="C132" s="31" t="s">
        <v>0</v>
      </c>
      <c r="D132" s="31" t="str">
        <f>IF(csv!F122="","",csv!F122)</f>
        <v>Predrag</v>
      </c>
      <c r="E132" s="31" t="str">
        <f>IF(csv!E122="","",csv!E122)</f>
        <v>Markulinčić</v>
      </c>
      <c r="F132" s="31" t="s">
        <v>0</v>
      </c>
      <c r="G132" s="73" t="str">
        <f>IF(csv!M122="","",csv!M122)</f>
        <v>48:39</v>
      </c>
      <c r="H132" s="73" t="str">
        <f>IF(csv!N122="","",csv!N122)</f>
        <v>0</v>
      </c>
      <c r="I132" s="31" t="s">
        <v>0</v>
      </c>
      <c r="J132" s="31" t="str">
        <f>IF(csv!P122="","",csv!P122)</f>
        <v>OKM</v>
      </c>
      <c r="K132" s="31" t="str">
        <f>IF(csv!Q122="","",csv!Q122)</f>
        <v>OK Medjimurje</v>
      </c>
      <c r="L132" s="31" t="s">
        <v>0</v>
      </c>
      <c r="M132" s="66" t="str">
        <f>IF(csv!R122="","",csv!R122)</f>
        <v>CRO</v>
      </c>
      <c r="N132" s="47" t="s">
        <v>0</v>
      </c>
      <c r="O132" s="246" t="str">
        <f t="shared" si="148"/>
        <v>ok</v>
      </c>
      <c r="P132" s="47"/>
      <c r="Q132" s="52" t="str">
        <f t="shared" si="149"/>
        <v>M45</v>
      </c>
      <c r="R132" s="73">
        <f>IF(Q132="","",IF(COUNTIF(Q$12:Q131,Q132)=0,R131+1,R131))</f>
        <v>8</v>
      </c>
      <c r="S132" s="73">
        <f t="shared" si="150"/>
        <v>106</v>
      </c>
      <c r="T132" s="73">
        <f t="shared" si="113"/>
        <v>17</v>
      </c>
      <c r="U132" s="66" t="str">
        <f t="shared" si="114"/>
        <v>M45</v>
      </c>
      <c r="V132" s="47" t="s">
        <v>0</v>
      </c>
      <c r="W132" s="222" t="str">
        <f t="shared" si="115"/>
        <v>M45</v>
      </c>
      <c r="X132" s="223">
        <f t="shared" si="116"/>
        <v>30</v>
      </c>
      <c r="Y132" s="47" t="s">
        <v>0</v>
      </c>
      <c r="Z132" s="52" t="str">
        <f t="shared" si="151"/>
        <v>CRO</v>
      </c>
      <c r="AA132" s="73">
        <f t="shared" si="117"/>
        <v>1</v>
      </c>
      <c r="AB132" s="31" t="str">
        <f t="shared" si="152"/>
        <v/>
      </c>
      <c r="AC132" s="66" t="str">
        <f>IF(AB132="","",MAX(AC$12:AC131)+1)</f>
        <v/>
      </c>
      <c r="AD132" s="47" t="s">
        <v>0</v>
      </c>
      <c r="AE132" s="125"/>
      <c r="AF132" s="47" t="s">
        <v>0</v>
      </c>
      <c r="AG132" s="19" t="str">
        <f t="shared" si="153"/>
        <v/>
      </c>
      <c r="AH132" s="47" t="s">
        <v>0</v>
      </c>
      <c r="AI132" s="143" t="str">
        <f t="shared" si="154"/>
        <v>CRO</v>
      </c>
      <c r="AJ132" s="47"/>
      <c r="AK132" s="52" t="str">
        <f t="shared" si="155"/>
        <v>Predrag</v>
      </c>
      <c r="AL132" s="31" t="str">
        <f t="shared" si="156"/>
        <v>Markulinčić</v>
      </c>
      <c r="AM132" s="73">
        <f t="shared" si="157"/>
        <v>1064</v>
      </c>
      <c r="AN132" s="73" t="str">
        <f t="shared" si="158"/>
        <v/>
      </c>
      <c r="AO132" s="31" t="str">
        <f t="shared" si="118"/>
        <v>Predrag</v>
      </c>
      <c r="AP132" s="66" t="str">
        <f t="shared" si="119"/>
        <v>Markulinčić</v>
      </c>
      <c r="AQ132" s="47" t="s">
        <v>0</v>
      </c>
      <c r="AR132" s="82" t="str">
        <f t="shared" si="159"/>
        <v/>
      </c>
      <c r="AS132" s="47" t="s">
        <v>0</v>
      </c>
      <c r="AT132" s="19" t="str">
        <f t="shared" si="160"/>
        <v/>
      </c>
      <c r="AU132" s="47" t="s">
        <v>0</v>
      </c>
      <c r="AV132" s="103"/>
      <c r="AW132" s="105"/>
      <c r="AX132" s="47" t="s">
        <v>0</v>
      </c>
      <c r="AY132" s="259" t="str">
        <f t="shared" si="183"/>
        <v/>
      </c>
      <c r="AZ132" s="47" t="s">
        <v>0</v>
      </c>
      <c r="BA132" s="52" t="str">
        <f t="shared" si="120"/>
        <v/>
      </c>
      <c r="BB132" s="73" t="str">
        <f>IF(AV132&amp;AW132="","",MAX(BB$12:BB131)+1)</f>
        <v/>
      </c>
      <c r="BC132" s="272" t="str">
        <f t="shared" si="121"/>
        <v/>
      </c>
      <c r="BD132" s="53" t="str">
        <f>IF(AND(AM132="NEMA",AN132="NEMA",OR(AV132&amp;AW132="",BC132="NEMA")),MAX(BD$12:BD131)+1,"")</f>
        <v/>
      </c>
      <c r="BE132" s="47" t="s">
        <v>0</v>
      </c>
      <c r="BF132" s="52" t="str">
        <f t="shared" si="161"/>
        <v>Predrag</v>
      </c>
      <c r="BG132" s="66" t="str">
        <f t="shared" si="162"/>
        <v>Markulinčić</v>
      </c>
      <c r="BH132" s="47" t="s">
        <v>0</v>
      </c>
      <c r="BI132" s="52" t="str">
        <f t="shared" si="122"/>
        <v>OKM</v>
      </c>
      <c r="BJ132" s="31" t="str">
        <f t="shared" si="123"/>
        <v>OK Medjimurje</v>
      </c>
      <c r="BK132" s="73" t="str">
        <f t="shared" si="124"/>
        <v>NEMA</v>
      </c>
      <c r="BL132" s="31" t="str" cm="1">
        <f t="array" ref="BL132">IF(BK132="",""&amp;BJ132,IF(BK132="NEMA",BJ132,INDEX(regKlub_naziv,MATCH(INDEX(regKlub_alias_klubId,BK132),regKlub_id,0))))</f>
        <v>OK Medjimurje</v>
      </c>
      <c r="BM132" s="31" t="str" cm="1">
        <f t="array" ref="BM132">IFERROR(""&amp;INDEX(regNatjecatelj_klub,DV132),"")</f>
        <v>OK Međimurje</v>
      </c>
      <c r="BN132" s="73">
        <f t="shared" si="163"/>
        <v>1</v>
      </c>
      <c r="BO132" s="66" t="str">
        <f t="shared" si="164"/>
        <v>OK Međimurje</v>
      </c>
      <c r="BP132" s="47" t="s">
        <v>0</v>
      </c>
      <c r="BQ132" s="52" t="str">
        <f>IF(X132&lt;&gt;"NEMA","",IF(IFERROR(MATCH(W132,W$12:W131,0),0)&lt;&gt;0,"",W132))</f>
        <v/>
      </c>
      <c r="BR132" s="73" t="str">
        <f t="shared" si="165"/>
        <v/>
      </c>
      <c r="BS132" s="31" t="str">
        <f>IF(OR(BR132="",BR132&lt;&gt;"NEMA"),"",MAX(BS$12:BS131)+1)</f>
        <v/>
      </c>
      <c r="BT132" s="66" t="str">
        <f t="shared" si="166"/>
        <v/>
      </c>
      <c r="BU132" s="47" t="s">
        <v>0</v>
      </c>
      <c r="BV132" s="19" t="str">
        <f t="shared" si="167"/>
        <v/>
      </c>
      <c r="BW132" s="47" t="s">
        <v>0</v>
      </c>
      <c r="BX132" s="82" t="str">
        <f>IF(BK132&lt;&gt;"NEMA","",IF(IFERROR(MATCH(BJ132,BJ$12:BJ131,0),0)&lt;&gt;0,"",BJ132))</f>
        <v/>
      </c>
      <c r="BY132" s="47" t="s">
        <v>0</v>
      </c>
      <c r="BZ132" s="125"/>
      <c r="CA132" s="47" t="s">
        <v>0</v>
      </c>
      <c r="CB132" s="58" t="str">
        <f t="shared" si="168"/>
        <v/>
      </c>
      <c r="CC132" s="31" t="str">
        <f t="shared" si="169"/>
        <v/>
      </c>
      <c r="CD132" s="31" t="str">
        <f>IF(CC132="","",MAX(CD$12:CD131)+1)</f>
        <v/>
      </c>
      <c r="CE132" s="31" t="str">
        <f t="shared" si="125"/>
        <v/>
      </c>
      <c r="CF132" s="31" t="str">
        <f t="shared" si="170"/>
        <v/>
      </c>
      <c r="CG132" s="31" t="str">
        <f>IF(BZ132="","",MAX(CG$12:CG131)+1)</f>
        <v/>
      </c>
      <c r="CH132" s="31" t="str">
        <f t="shared" si="171"/>
        <v/>
      </c>
      <c r="CI132" s="66" t="str">
        <f t="shared" si="172"/>
        <v/>
      </c>
      <c r="CJ132" s="47" t="s">
        <v>0</v>
      </c>
      <c r="CK132" s="73" t="str">
        <f t="shared" si="126"/>
        <v/>
      </c>
      <c r="CL132" s="47"/>
      <c r="CM132" s="19" t="str">
        <f t="shared" si="173"/>
        <v/>
      </c>
      <c r="CN132" s="47" t="s">
        <v>0</v>
      </c>
      <c r="CO132" s="143" t="str">
        <f t="shared" si="174"/>
        <v>OK Međimurje</v>
      </c>
      <c r="CP132" s="47" t="s">
        <v>0</v>
      </c>
      <c r="CQ132" s="58" t="str">
        <f t="shared" si="190"/>
        <v>48:39</v>
      </c>
      <c r="CR132" s="73" t="str">
        <f t="shared" si="191"/>
        <v>0</v>
      </c>
      <c r="CS132" s="229" t="str">
        <f t="shared" si="127"/>
        <v/>
      </c>
      <c r="CT132" s="230">
        <f t="shared" si="192"/>
        <v>2919</v>
      </c>
      <c r="CU132" s="163">
        <f t="shared" si="128"/>
        <v>1</v>
      </c>
      <c r="CV132" s="47" t="s">
        <v>0</v>
      </c>
      <c r="CW132" s="222" t="str">
        <f t="shared" si="175"/>
        <v xml:space="preserve">
</v>
      </c>
      <c r="CX132" s="223">
        <f t="shared" si="176"/>
        <v>6</v>
      </c>
      <c r="CY132" s="47" t="s">
        <v>0</v>
      </c>
      <c r="CZ132" s="47"/>
      <c r="DA132" s="47"/>
      <c r="DB132" s="47"/>
      <c r="DC132" s="47" t="s">
        <v>0</v>
      </c>
      <c r="DD132" s="53" t="str">
        <f t="shared" si="184"/>
        <v/>
      </c>
      <c r="DE132" t="s">
        <v>0</v>
      </c>
      <c r="DF132" s="128" t="str">
        <f t="shared" si="185"/>
        <v>M</v>
      </c>
      <c r="DG132" t="s">
        <v>0</v>
      </c>
      <c r="DH132" s="52" t="str">
        <f t="shared" si="186"/>
        <v/>
      </c>
      <c r="DI132" s="66" t="str">
        <f t="shared" si="187"/>
        <v/>
      </c>
      <c r="DJ132" t="s">
        <v>0</v>
      </c>
      <c r="DK132" s="19" t="str">
        <f t="shared" si="188"/>
        <v/>
      </c>
      <c r="DL132" s="47" t="s">
        <v>0</v>
      </c>
      <c r="DM132" s="19" t="str">
        <f t="shared" si="189"/>
        <v/>
      </c>
      <c r="DN132" s="47" t="s">
        <v>0</v>
      </c>
      <c r="DO132" s="52" t="str">
        <f t="shared" si="129"/>
        <v>Predrag – Markulinčić – OK Međimurje – M45</v>
      </c>
      <c r="DP132" s="53" t="str">
        <f t="shared" si="130"/>
        <v>NEMA</v>
      </c>
      <c r="DQ132" s="47" t="s">
        <v>0</v>
      </c>
      <c r="DR132" s="52" t="str">
        <f t="shared" si="131"/>
        <v>Predrag – Markulinčić – OK Međimurje</v>
      </c>
      <c r="DS132" s="53">
        <f t="shared" si="132"/>
        <v>415</v>
      </c>
      <c r="DT132" s="47" t="s">
        <v>0</v>
      </c>
      <c r="DU132" s="52" t="str">
        <f t="shared" si="133"/>
        <v>Predrag – Markulinčić</v>
      </c>
      <c r="DV132" s="53">
        <f t="shared" si="134"/>
        <v>415</v>
      </c>
      <c r="DW132" s="47" t="s">
        <v>0</v>
      </c>
      <c r="DX132" s="58">
        <f t="shared" si="177"/>
        <v>415</v>
      </c>
      <c r="DY132" s="53" cm="1">
        <f t="array" ref="DY132">IF(DX132&lt;&gt;"",INDEX(regNatjecatelj_id,DX132,0),IF(BD132&lt;&gt;"",BD132,""))</f>
        <v>1064</v>
      </c>
      <c r="DZ132" s="47" t="s">
        <v>0</v>
      </c>
      <c r="EA132" s="58" t="str">
        <f t="shared" si="135"/>
        <v>imepre</v>
      </c>
      <c r="EB132" s="73" t="str">
        <f t="shared" si="136"/>
        <v>(raz-klu)</v>
      </c>
      <c r="EC132" s="73" t="str">
        <f t="shared" si="137"/>
        <v>kat</v>
      </c>
      <c r="ED132" s="73" t="str">
        <f t="shared" si="138"/>
        <v/>
      </c>
      <c r="EE132" s="66" t="str">
        <f t="shared" si="139"/>
        <v>imepre-(raz-klu)-kat</v>
      </c>
      <c r="EF132" s="47" t="s">
        <v>0</v>
      </c>
      <c r="EG132" s="58">
        <f>IF(AL132="","",MAX(EG$12:EG131)+1)</f>
        <v>299</v>
      </c>
      <c r="EH132" s="73">
        <f t="shared" si="140"/>
        <v>30</v>
      </c>
      <c r="EI132" s="73">
        <f t="shared" si="178"/>
        <v>1064</v>
      </c>
      <c r="EJ132" s="73">
        <f t="shared" si="141"/>
        <v>2919</v>
      </c>
      <c r="EK132" s="73">
        <f t="shared" si="142"/>
        <v>1</v>
      </c>
      <c r="EL132" s="73">
        <f t="shared" si="179"/>
        <v>0</v>
      </c>
      <c r="EM132" s="73">
        <f t="shared" si="180"/>
        <v>5</v>
      </c>
      <c r="EN132" s="73" t="str">
        <f t="shared" si="143"/>
        <v>0</v>
      </c>
      <c r="EO132" s="73" t="str">
        <f t="shared" si="144"/>
        <v/>
      </c>
      <c r="EP132" s="73" t="str">
        <f t="shared" si="145"/>
        <v/>
      </c>
      <c r="EQ132" s="53" t="str">
        <f t="shared" si="146"/>
        <v/>
      </c>
      <c r="ER132" s="47" t="s">
        <v>0</v>
      </c>
      <c r="ES132" s="19" t="str">
        <f t="shared" si="181"/>
        <v>INSERT INTO rezultat(id,stazakategorija_id,imeprezime_id,vrijeme_sec,status_id,registracija,uparivanje_id,originalstatus_id,imeprezimealias_id,klubalias_id,kategorijaalias_id) VALUES (299,30,1064,2919,1,0,5,0,Null,Null,Null);</v>
      </c>
      <c r="ET132" s="47" t="s">
        <v>0</v>
      </c>
      <c r="EU132" s="19" t="str">
        <f t="shared" si="182"/>
        <v/>
      </c>
      <c r="EV132" s="47" t="s">
        <v>0</v>
      </c>
      <c r="EW132" s="180" t="str">
        <f t="shared" si="147"/>
        <v xml:space="preserve">
INSERT INTO rezultat(id,stazakategorija_id,imeprezime_id,vrijeme_sec,status_id,registracija,uparivanje_id,originalstatus_id,imeprezimealias_id,klubalias_id,kategorijaalias_id) VALUES (299,30,1064,2919,1,0,5,0,Null,Null,Null);</v>
      </c>
      <c r="EX132" s="47" t="s">
        <v>0</v>
      </c>
    </row>
    <row r="133" spans="1:154" x14ac:dyDescent="0.25">
      <c r="A133" t="s">
        <v>0</v>
      </c>
      <c r="B133" s="52" t="str">
        <f>IF(csv!F123="","",csv!T123)</f>
        <v>M45</v>
      </c>
      <c r="C133" s="31" t="s">
        <v>0</v>
      </c>
      <c r="D133" s="31" t="str">
        <f>IF(csv!F123="","",csv!F123)</f>
        <v>Robert</v>
      </c>
      <c r="E133" s="31" t="str">
        <f>IF(csv!E123="","",csv!E123)</f>
        <v>Orehoci</v>
      </c>
      <c r="F133" s="31" t="s">
        <v>0</v>
      </c>
      <c r="G133" s="73" t="str">
        <f>IF(csv!M123="","",csv!M123)</f>
        <v>50:14</v>
      </c>
      <c r="H133" s="73" t="str">
        <f>IF(csv!N123="","",csv!N123)</f>
        <v>0</v>
      </c>
      <c r="I133" s="31" t="s">
        <v>0</v>
      </c>
      <c r="J133" s="31" t="str">
        <f>IF(csv!P123="","",csv!P123)</f>
        <v>BJE</v>
      </c>
      <c r="K133" s="31" t="str">
        <f>IF(csv!Q123="","",csv!Q123)</f>
        <v>OK Bjelovar</v>
      </c>
      <c r="L133" s="31" t="s">
        <v>0</v>
      </c>
      <c r="M133" s="66" t="str">
        <f>IF(csv!R123="","",csv!R123)</f>
        <v>CRO</v>
      </c>
      <c r="N133" s="47" t="s">
        <v>0</v>
      </c>
      <c r="O133" s="246" t="str">
        <f t="shared" si="148"/>
        <v>ok</v>
      </c>
      <c r="P133" s="47"/>
      <c r="Q133" s="52" t="str">
        <f t="shared" si="149"/>
        <v>M45</v>
      </c>
      <c r="R133" s="73">
        <f>IF(Q133="","",IF(COUNTIF(Q$12:Q132,Q133)=0,R132+1,R132))</f>
        <v>8</v>
      </c>
      <c r="S133" s="73">
        <f t="shared" si="150"/>
        <v>106</v>
      </c>
      <c r="T133" s="73">
        <f t="shared" si="113"/>
        <v>17</v>
      </c>
      <c r="U133" s="66" t="str">
        <f t="shared" si="114"/>
        <v>M45</v>
      </c>
      <c r="V133" s="47" t="s">
        <v>0</v>
      </c>
      <c r="W133" s="222" t="str">
        <f t="shared" si="115"/>
        <v>M45</v>
      </c>
      <c r="X133" s="223">
        <f t="shared" si="116"/>
        <v>30</v>
      </c>
      <c r="Y133" s="47" t="s">
        <v>0</v>
      </c>
      <c r="Z133" s="52" t="str">
        <f t="shared" si="151"/>
        <v>CRO</v>
      </c>
      <c r="AA133" s="73">
        <f t="shared" si="117"/>
        <v>1</v>
      </c>
      <c r="AB133" s="31" t="str">
        <f t="shared" si="152"/>
        <v/>
      </c>
      <c r="AC133" s="66" t="str">
        <f>IF(AB133="","",MAX(AC$12:AC132)+1)</f>
        <v/>
      </c>
      <c r="AD133" s="47" t="s">
        <v>0</v>
      </c>
      <c r="AE133" s="125"/>
      <c r="AF133" s="47" t="s">
        <v>0</v>
      </c>
      <c r="AG133" s="19" t="str">
        <f t="shared" si="153"/>
        <v/>
      </c>
      <c r="AH133" s="47" t="s">
        <v>0</v>
      </c>
      <c r="AI133" s="143" t="str">
        <f t="shared" si="154"/>
        <v>CRO</v>
      </c>
      <c r="AJ133" s="47"/>
      <c r="AK133" s="52" t="str">
        <f t="shared" si="155"/>
        <v>Robert</v>
      </c>
      <c r="AL133" s="31" t="str">
        <f t="shared" si="156"/>
        <v>Orehoci</v>
      </c>
      <c r="AM133" s="73">
        <f t="shared" si="157"/>
        <v>1453</v>
      </c>
      <c r="AN133" s="73" t="str">
        <f t="shared" si="158"/>
        <v/>
      </c>
      <c r="AO133" s="31" t="str">
        <f t="shared" si="118"/>
        <v>Robert</v>
      </c>
      <c r="AP133" s="66" t="str">
        <f t="shared" si="119"/>
        <v>Orehoci</v>
      </c>
      <c r="AQ133" s="47" t="s">
        <v>0</v>
      </c>
      <c r="AR133" s="82" t="str">
        <f t="shared" si="159"/>
        <v/>
      </c>
      <c r="AS133" s="47" t="s">
        <v>0</v>
      </c>
      <c r="AT133" s="19" t="str">
        <f t="shared" si="160"/>
        <v/>
      </c>
      <c r="AU133" s="47" t="s">
        <v>0</v>
      </c>
      <c r="AV133" s="103"/>
      <c r="AW133" s="105"/>
      <c r="AX133" s="47" t="s">
        <v>0</v>
      </c>
      <c r="AY133" s="259" t="str">
        <f t="shared" si="183"/>
        <v/>
      </c>
      <c r="AZ133" s="47" t="s">
        <v>0</v>
      </c>
      <c r="BA133" s="52" t="str">
        <f t="shared" si="120"/>
        <v/>
      </c>
      <c r="BB133" s="73" t="str">
        <f>IF(AV133&amp;AW133="","",MAX(BB$12:BB132)+1)</f>
        <v/>
      </c>
      <c r="BC133" s="272" t="str">
        <f t="shared" si="121"/>
        <v/>
      </c>
      <c r="BD133" s="53" t="str">
        <f>IF(AND(AM133="NEMA",AN133="NEMA",OR(AV133&amp;AW133="",BC133="NEMA")),MAX(BD$12:BD132)+1,"")</f>
        <v/>
      </c>
      <c r="BE133" s="47" t="s">
        <v>0</v>
      </c>
      <c r="BF133" s="52" t="str">
        <f t="shared" si="161"/>
        <v>Robert</v>
      </c>
      <c r="BG133" s="66" t="str">
        <f t="shared" si="162"/>
        <v>Orehoci</v>
      </c>
      <c r="BH133" s="47" t="s">
        <v>0</v>
      </c>
      <c r="BI133" s="52" t="str">
        <f t="shared" si="122"/>
        <v>BJE</v>
      </c>
      <c r="BJ133" s="31" t="str">
        <f t="shared" si="123"/>
        <v>OK Bjelovar</v>
      </c>
      <c r="BK133" s="73" t="str">
        <f t="shared" si="124"/>
        <v/>
      </c>
      <c r="BL133" s="31" t="str" cm="1">
        <f t="array" ref="BL133">IF(BK133="",""&amp;BJ133,IF(BK133="NEMA",BJ133,INDEX(regKlub_naziv,MATCH(INDEX(regKlub_alias_klubId,BK133),regKlub_id,0))))</f>
        <v>OK Bjelovar</v>
      </c>
      <c r="BM133" s="31" t="str" cm="1">
        <f t="array" ref="BM133">IFERROR(""&amp;INDEX(regNatjecatelj_klub,DV133),"")</f>
        <v>OK Bjelovar</v>
      </c>
      <c r="BN133" s="73" t="str">
        <f t="shared" si="163"/>
        <v/>
      </c>
      <c r="BO133" s="66" t="str">
        <f t="shared" si="164"/>
        <v>OK Bjelovar</v>
      </c>
      <c r="BP133" s="47" t="s">
        <v>0</v>
      </c>
      <c r="BQ133" s="52" t="str">
        <f>IF(X133&lt;&gt;"NEMA","",IF(IFERROR(MATCH(W133,W$12:W132,0),0)&lt;&gt;0,"",W133))</f>
        <v/>
      </c>
      <c r="BR133" s="73" t="str">
        <f t="shared" si="165"/>
        <v/>
      </c>
      <c r="BS133" s="31" t="str">
        <f>IF(OR(BR133="",BR133&lt;&gt;"NEMA"),"",MAX(BS$12:BS132)+1)</f>
        <v/>
      </c>
      <c r="BT133" s="66" t="str">
        <f t="shared" si="166"/>
        <v/>
      </c>
      <c r="BU133" s="47" t="s">
        <v>0</v>
      </c>
      <c r="BV133" s="19" t="str">
        <f t="shared" si="167"/>
        <v/>
      </c>
      <c r="BW133" s="47" t="s">
        <v>0</v>
      </c>
      <c r="BX133" s="82" t="str">
        <f>IF(BK133&lt;&gt;"NEMA","",IF(IFERROR(MATCH(BJ133,BJ$12:BJ132,0),0)&lt;&gt;0,"",BJ133))</f>
        <v/>
      </c>
      <c r="BY133" s="47" t="s">
        <v>0</v>
      </c>
      <c r="BZ133" s="125"/>
      <c r="CA133" s="47" t="s">
        <v>0</v>
      </c>
      <c r="CB133" s="58" t="str">
        <f t="shared" si="168"/>
        <v/>
      </c>
      <c r="CC133" s="31" t="str">
        <f t="shared" si="169"/>
        <v/>
      </c>
      <c r="CD133" s="31" t="str">
        <f>IF(CC133="","",MAX(CD$12:CD132)+1)</f>
        <v/>
      </c>
      <c r="CE133" s="31" t="str">
        <f t="shared" si="125"/>
        <v/>
      </c>
      <c r="CF133" s="31" t="str">
        <f t="shared" si="170"/>
        <v/>
      </c>
      <c r="CG133" s="31" t="str">
        <f>IF(BZ133="","",MAX(CG$12:CG132)+1)</f>
        <v/>
      </c>
      <c r="CH133" s="31" t="str">
        <f t="shared" si="171"/>
        <v/>
      </c>
      <c r="CI133" s="66" t="str">
        <f t="shared" si="172"/>
        <v/>
      </c>
      <c r="CJ133" s="47" t="s">
        <v>0</v>
      </c>
      <c r="CK133" s="73" t="str">
        <f t="shared" si="126"/>
        <v/>
      </c>
      <c r="CL133" s="47"/>
      <c r="CM133" s="19" t="str">
        <f t="shared" si="173"/>
        <v/>
      </c>
      <c r="CN133" s="47" t="s">
        <v>0</v>
      </c>
      <c r="CO133" s="143" t="str">
        <f t="shared" si="174"/>
        <v>OK Bjelovar</v>
      </c>
      <c r="CP133" s="47" t="s">
        <v>0</v>
      </c>
      <c r="CQ133" s="58" t="str">
        <f t="shared" si="190"/>
        <v>50:14</v>
      </c>
      <c r="CR133" s="73" t="str">
        <f t="shared" si="191"/>
        <v>0</v>
      </c>
      <c r="CS133" s="229" t="str">
        <f t="shared" si="127"/>
        <v/>
      </c>
      <c r="CT133" s="230">
        <f t="shared" si="192"/>
        <v>3014</v>
      </c>
      <c r="CU133" s="163">
        <f t="shared" si="128"/>
        <v>1</v>
      </c>
      <c r="CV133" s="47" t="s">
        <v>0</v>
      </c>
      <c r="CW133" s="222" t="str">
        <f t="shared" si="175"/>
        <v xml:space="preserve">
</v>
      </c>
      <c r="CX133" s="223">
        <f t="shared" si="176"/>
        <v>6</v>
      </c>
      <c r="CY133" s="47" t="s">
        <v>0</v>
      </c>
      <c r="CZ133" s="47"/>
      <c r="DA133" s="47"/>
      <c r="DB133" s="47"/>
      <c r="DC133" s="47" t="s">
        <v>0</v>
      </c>
      <c r="DD133" s="53" t="str">
        <f t="shared" si="184"/>
        <v/>
      </c>
      <c r="DE133" t="s">
        <v>0</v>
      </c>
      <c r="DF133" s="128" t="str">
        <f t="shared" si="185"/>
        <v>M</v>
      </c>
      <c r="DG133" t="s">
        <v>0</v>
      </c>
      <c r="DH133" s="52" t="str">
        <f t="shared" si="186"/>
        <v/>
      </c>
      <c r="DI133" s="66" t="str">
        <f t="shared" si="187"/>
        <v/>
      </c>
      <c r="DJ133" t="s">
        <v>0</v>
      </c>
      <c r="DK133" s="19" t="str">
        <f t="shared" si="188"/>
        <v/>
      </c>
      <c r="DL133" s="47" t="s">
        <v>0</v>
      </c>
      <c r="DM133" s="19" t="str">
        <f t="shared" si="189"/>
        <v/>
      </c>
      <c r="DN133" s="47" t="s">
        <v>0</v>
      </c>
      <c r="DO133" s="52" t="str">
        <f t="shared" si="129"/>
        <v>Robert – Orehoci – OK Bjelovar – M45</v>
      </c>
      <c r="DP133" s="53">
        <f t="shared" si="130"/>
        <v>15</v>
      </c>
      <c r="DQ133" s="47" t="s">
        <v>0</v>
      </c>
      <c r="DR133" s="52" t="str">
        <f t="shared" si="131"/>
        <v>Robert – Orehoci – OK Bjelovar</v>
      </c>
      <c r="DS133" s="53">
        <f t="shared" si="132"/>
        <v>15</v>
      </c>
      <c r="DT133" s="47" t="s">
        <v>0</v>
      </c>
      <c r="DU133" s="52" t="str">
        <f t="shared" si="133"/>
        <v>Robert – Orehoci</v>
      </c>
      <c r="DV133" s="53">
        <f t="shared" si="134"/>
        <v>15</v>
      </c>
      <c r="DW133" s="47" t="s">
        <v>0</v>
      </c>
      <c r="DX133" s="58">
        <f t="shared" si="177"/>
        <v>15</v>
      </c>
      <c r="DY133" s="53" cm="1">
        <f t="array" ref="DY133">IF(DX133&lt;&gt;"",INDEX(regNatjecatelj_id,DX133,0),IF(BD133&lt;&gt;"",BD133,""))</f>
        <v>1453</v>
      </c>
      <c r="DZ133" s="47" t="s">
        <v>0</v>
      </c>
      <c r="EA133" s="58" t="str">
        <f t="shared" si="135"/>
        <v>imepre</v>
      </c>
      <c r="EB133" s="73" t="str">
        <f t="shared" si="136"/>
        <v>klu</v>
      </c>
      <c r="EC133" s="73" t="str">
        <f t="shared" si="137"/>
        <v>kat</v>
      </c>
      <c r="ED133" s="73" t="str">
        <f t="shared" si="138"/>
        <v/>
      </c>
      <c r="EE133" s="66" t="str">
        <f t="shared" si="139"/>
        <v>imepre-klu-kat</v>
      </c>
      <c r="EF133" s="47" t="s">
        <v>0</v>
      </c>
      <c r="EG133" s="58">
        <f>IF(AL133="","",MAX(EG$12:EG132)+1)</f>
        <v>300</v>
      </c>
      <c r="EH133" s="73">
        <f t="shared" si="140"/>
        <v>30</v>
      </c>
      <c r="EI133" s="73">
        <f t="shared" si="178"/>
        <v>1453</v>
      </c>
      <c r="EJ133" s="73">
        <f t="shared" si="141"/>
        <v>3014</v>
      </c>
      <c r="EK133" s="73">
        <f t="shared" si="142"/>
        <v>1</v>
      </c>
      <c r="EL133" s="73">
        <f t="shared" si="179"/>
        <v>1</v>
      </c>
      <c r="EM133" s="73">
        <f t="shared" si="180"/>
        <v>1</v>
      </c>
      <c r="EN133" s="73" t="str">
        <f t="shared" si="143"/>
        <v>0</v>
      </c>
      <c r="EO133" s="73" t="str">
        <f t="shared" si="144"/>
        <v/>
      </c>
      <c r="EP133" s="73" t="str">
        <f t="shared" si="145"/>
        <v/>
      </c>
      <c r="EQ133" s="53" t="str">
        <f t="shared" si="146"/>
        <v/>
      </c>
      <c r="ER133" s="47" t="s">
        <v>0</v>
      </c>
      <c r="ES133" s="19" t="str">
        <f t="shared" si="181"/>
        <v>INSERT INTO rezultat(id,stazakategorija_id,imeprezime_id,vrijeme_sec,status_id,registracija,uparivanje_id,originalstatus_id,imeprezimealias_id,klubalias_id,kategorijaalias_id) VALUES (300,30,1453,3014,1,1,1,0,Null,Null,Null);</v>
      </c>
      <c r="ET133" s="47" t="s">
        <v>0</v>
      </c>
      <c r="EU133" s="19" t="str">
        <f t="shared" si="182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3" s="47" t="s">
        <v>0</v>
      </c>
      <c r="EW133" s="180" t="str">
        <f t="shared" si="147"/>
        <v xml:space="preserve">
INSERT INTO rezultat(id,stazakategorija_id,imeprezime_id,vrijeme_sec,status_id,registracija,uparivanje_id,originalstatus_id,imeprezimealias_id,klubalias_id,kategorijaalias_id) VALUES (300,30,1453,3014,1,1,1,0,Null,Null,Null);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3" s="47" t="s">
        <v>0</v>
      </c>
    </row>
    <row r="134" spans="1:154" x14ac:dyDescent="0.25">
      <c r="A134" t="s">
        <v>0</v>
      </c>
      <c r="B134" s="52" t="str">
        <f>IF(csv!F124="","",csv!T124)</f>
        <v>M45</v>
      </c>
      <c r="C134" s="31" t="s">
        <v>0</v>
      </c>
      <c r="D134" s="31" t="str">
        <f>IF(csv!F124="","",csv!F124)</f>
        <v>Vladimir</v>
      </c>
      <c r="E134" s="31" t="str">
        <f>IF(csv!E124="","",csv!E124)</f>
        <v>Trivunović</v>
      </c>
      <c r="F134" s="31" t="s">
        <v>0</v>
      </c>
      <c r="G134" s="73" t="str">
        <f>IF(csv!M124="","",csv!M124)</f>
        <v>51:39</v>
      </c>
      <c r="H134" s="73" t="str">
        <f>IF(csv!N124="","",csv!N124)</f>
        <v>0</v>
      </c>
      <c r="I134" s="31" t="s">
        <v>0</v>
      </c>
      <c r="J134" s="31" t="str">
        <f>IF(csv!P124="","",csv!P124)</f>
        <v>KAP</v>
      </c>
      <c r="K134" s="31" t="str">
        <f>IF(csv!Q124="","",csv!Q124)</f>
        <v>OK Kapela</v>
      </c>
      <c r="L134" s="31" t="s">
        <v>0</v>
      </c>
      <c r="M134" s="66" t="str">
        <f>IF(csv!R124="","",csv!R124)</f>
        <v>CRO</v>
      </c>
      <c r="N134" s="47" t="s">
        <v>0</v>
      </c>
      <c r="O134" s="246" t="str">
        <f t="shared" si="148"/>
        <v>ok</v>
      </c>
      <c r="P134" s="47"/>
      <c r="Q134" s="52" t="str">
        <f t="shared" si="149"/>
        <v>M45</v>
      </c>
      <c r="R134" s="73">
        <f>IF(Q134="","",IF(COUNTIF(Q$12:Q133,Q134)=0,R133+1,R133))</f>
        <v>8</v>
      </c>
      <c r="S134" s="73">
        <f t="shared" si="150"/>
        <v>106</v>
      </c>
      <c r="T134" s="73">
        <f t="shared" si="113"/>
        <v>17</v>
      </c>
      <c r="U134" s="66" t="str">
        <f t="shared" si="114"/>
        <v>M45</v>
      </c>
      <c r="V134" s="47" t="s">
        <v>0</v>
      </c>
      <c r="W134" s="222" t="str">
        <f t="shared" si="115"/>
        <v>M45</v>
      </c>
      <c r="X134" s="223">
        <f t="shared" si="116"/>
        <v>30</v>
      </c>
      <c r="Y134" s="47" t="s">
        <v>0</v>
      </c>
      <c r="Z134" s="52" t="str">
        <f t="shared" si="151"/>
        <v>CRO</v>
      </c>
      <c r="AA134" s="73">
        <f t="shared" si="117"/>
        <v>1</v>
      </c>
      <c r="AB134" s="31" t="str">
        <f t="shared" si="152"/>
        <v/>
      </c>
      <c r="AC134" s="66" t="str">
        <f>IF(AB134="","",MAX(AC$12:AC133)+1)</f>
        <v/>
      </c>
      <c r="AD134" s="47" t="s">
        <v>0</v>
      </c>
      <c r="AE134" s="125"/>
      <c r="AF134" s="47" t="s">
        <v>0</v>
      </c>
      <c r="AG134" s="19" t="str">
        <f t="shared" si="153"/>
        <v/>
      </c>
      <c r="AH134" s="47" t="s">
        <v>0</v>
      </c>
      <c r="AI134" s="143" t="str">
        <f t="shared" si="154"/>
        <v>CRO</v>
      </c>
      <c r="AJ134" s="47"/>
      <c r="AK134" s="52" t="str">
        <f t="shared" si="155"/>
        <v>Vladimir</v>
      </c>
      <c r="AL134" s="31" t="str">
        <f t="shared" si="156"/>
        <v>Trivunović</v>
      </c>
      <c r="AM134" s="73">
        <f t="shared" si="157"/>
        <v>1126</v>
      </c>
      <c r="AN134" s="73" t="str">
        <f t="shared" si="158"/>
        <v/>
      </c>
      <c r="AO134" s="31" t="str">
        <f t="shared" si="118"/>
        <v>Vladimir</v>
      </c>
      <c r="AP134" s="66" t="str">
        <f t="shared" si="119"/>
        <v>Trivunović</v>
      </c>
      <c r="AQ134" s="47" t="s">
        <v>0</v>
      </c>
      <c r="AR134" s="82" t="str">
        <f t="shared" si="159"/>
        <v/>
      </c>
      <c r="AS134" s="47" t="s">
        <v>0</v>
      </c>
      <c r="AT134" s="19" t="str">
        <f t="shared" si="160"/>
        <v/>
      </c>
      <c r="AU134" s="47" t="s">
        <v>0</v>
      </c>
      <c r="AV134" s="103"/>
      <c r="AW134" s="105"/>
      <c r="AX134" s="47" t="s">
        <v>0</v>
      </c>
      <c r="AY134" s="259" t="str">
        <f t="shared" si="183"/>
        <v/>
      </c>
      <c r="AZ134" s="47" t="s">
        <v>0</v>
      </c>
      <c r="BA134" s="52" t="str">
        <f t="shared" si="120"/>
        <v/>
      </c>
      <c r="BB134" s="73" t="str">
        <f>IF(AV134&amp;AW134="","",MAX(BB$12:BB133)+1)</f>
        <v/>
      </c>
      <c r="BC134" s="272" t="str">
        <f t="shared" si="121"/>
        <v/>
      </c>
      <c r="BD134" s="53" t="str">
        <f>IF(AND(AM134="NEMA",AN134="NEMA",OR(AV134&amp;AW134="",BC134="NEMA")),MAX(BD$12:BD133)+1,"")</f>
        <v/>
      </c>
      <c r="BE134" s="47" t="s">
        <v>0</v>
      </c>
      <c r="BF134" s="52" t="str">
        <f t="shared" si="161"/>
        <v>Vladimir</v>
      </c>
      <c r="BG134" s="66" t="str">
        <f t="shared" si="162"/>
        <v>Trivunović</v>
      </c>
      <c r="BH134" s="47" t="s">
        <v>0</v>
      </c>
      <c r="BI134" s="52" t="str">
        <f t="shared" si="122"/>
        <v>KAP</v>
      </c>
      <c r="BJ134" s="31" t="str">
        <f t="shared" si="123"/>
        <v>OK Kapela</v>
      </c>
      <c r="BK134" s="73" t="str">
        <f t="shared" si="124"/>
        <v/>
      </c>
      <c r="BL134" s="31" t="str" cm="1">
        <f t="array" ref="BL134">IF(BK134="",""&amp;BJ134,IF(BK134="NEMA",BJ134,INDEX(regKlub_naziv,MATCH(INDEX(regKlub_alias_klubId,BK134),regKlub_id,0))))</f>
        <v>OK Kapela</v>
      </c>
      <c r="BM134" s="31" t="str" cm="1">
        <f t="array" ref="BM134">IFERROR(""&amp;INDEX(regNatjecatelj_klub,DV134),"")</f>
        <v>OK Kapela</v>
      </c>
      <c r="BN134" s="73" t="str">
        <f t="shared" si="163"/>
        <v/>
      </c>
      <c r="BO134" s="66" t="str">
        <f t="shared" si="164"/>
        <v>OK Kapela</v>
      </c>
      <c r="BP134" s="47" t="s">
        <v>0</v>
      </c>
      <c r="BQ134" s="52" t="str">
        <f>IF(X134&lt;&gt;"NEMA","",IF(IFERROR(MATCH(W134,W$12:W133,0),0)&lt;&gt;0,"",W134))</f>
        <v/>
      </c>
      <c r="BR134" s="73" t="str">
        <f t="shared" si="165"/>
        <v/>
      </c>
      <c r="BS134" s="31" t="str">
        <f>IF(OR(BR134="",BR134&lt;&gt;"NEMA"),"",MAX(BS$12:BS133)+1)</f>
        <v/>
      </c>
      <c r="BT134" s="66" t="str">
        <f t="shared" si="166"/>
        <v/>
      </c>
      <c r="BU134" s="47" t="s">
        <v>0</v>
      </c>
      <c r="BV134" s="19" t="str">
        <f t="shared" si="167"/>
        <v/>
      </c>
      <c r="BW134" s="47" t="s">
        <v>0</v>
      </c>
      <c r="BX134" s="82" t="str">
        <f>IF(BK134&lt;&gt;"NEMA","",IF(IFERROR(MATCH(BJ134,BJ$12:BJ133,0),0)&lt;&gt;0,"",BJ134))</f>
        <v/>
      </c>
      <c r="BY134" s="47" t="s">
        <v>0</v>
      </c>
      <c r="BZ134" s="125"/>
      <c r="CA134" s="47" t="s">
        <v>0</v>
      </c>
      <c r="CB134" s="58" t="str">
        <f t="shared" si="168"/>
        <v/>
      </c>
      <c r="CC134" s="31" t="str">
        <f t="shared" si="169"/>
        <v/>
      </c>
      <c r="CD134" s="31" t="str">
        <f>IF(CC134="","",MAX(CD$12:CD133)+1)</f>
        <v/>
      </c>
      <c r="CE134" s="31" t="str">
        <f t="shared" si="125"/>
        <v/>
      </c>
      <c r="CF134" s="31" t="str">
        <f t="shared" si="170"/>
        <v/>
      </c>
      <c r="CG134" s="31" t="str">
        <f>IF(BZ134="","",MAX(CG$12:CG133)+1)</f>
        <v/>
      </c>
      <c r="CH134" s="31" t="str">
        <f t="shared" si="171"/>
        <v/>
      </c>
      <c r="CI134" s="66" t="str">
        <f t="shared" si="172"/>
        <v/>
      </c>
      <c r="CJ134" s="47" t="s">
        <v>0</v>
      </c>
      <c r="CK134" s="73" t="str">
        <f t="shared" si="126"/>
        <v/>
      </c>
      <c r="CL134" s="47"/>
      <c r="CM134" s="19" t="str">
        <f t="shared" si="173"/>
        <v/>
      </c>
      <c r="CN134" s="47" t="s">
        <v>0</v>
      </c>
      <c r="CO134" s="143" t="str">
        <f t="shared" si="174"/>
        <v>OK Kapela</v>
      </c>
      <c r="CP134" s="47" t="s">
        <v>0</v>
      </c>
      <c r="CQ134" s="58" t="str">
        <f t="shared" si="190"/>
        <v>51:39</v>
      </c>
      <c r="CR134" s="73" t="str">
        <f t="shared" si="191"/>
        <v>0</v>
      </c>
      <c r="CS134" s="229" t="str">
        <f t="shared" si="127"/>
        <v/>
      </c>
      <c r="CT134" s="230">
        <f t="shared" si="192"/>
        <v>3099</v>
      </c>
      <c r="CU134" s="163">
        <f t="shared" si="128"/>
        <v>1</v>
      </c>
      <c r="CV134" s="47" t="s">
        <v>0</v>
      </c>
      <c r="CW134" s="222" t="str">
        <f t="shared" si="175"/>
        <v xml:space="preserve">
</v>
      </c>
      <c r="CX134" s="223">
        <f t="shared" si="176"/>
        <v>6</v>
      </c>
      <c r="CY134" s="47" t="s">
        <v>0</v>
      </c>
      <c r="CZ134" s="47"/>
      <c r="DA134" s="47"/>
      <c r="DB134" s="47"/>
      <c r="DC134" s="47" t="s">
        <v>0</v>
      </c>
      <c r="DD134" s="53" t="str">
        <f t="shared" si="184"/>
        <v/>
      </c>
      <c r="DE134" t="s">
        <v>0</v>
      </c>
      <c r="DF134" s="128" t="str">
        <f t="shared" si="185"/>
        <v>M</v>
      </c>
      <c r="DG134" t="s">
        <v>0</v>
      </c>
      <c r="DH134" s="52" t="str">
        <f t="shared" si="186"/>
        <v/>
      </c>
      <c r="DI134" s="66" t="str">
        <f t="shared" si="187"/>
        <v/>
      </c>
      <c r="DJ134" t="s">
        <v>0</v>
      </c>
      <c r="DK134" s="19" t="str">
        <f t="shared" si="188"/>
        <v/>
      </c>
      <c r="DL134" s="47" t="s">
        <v>0</v>
      </c>
      <c r="DM134" s="19" t="str">
        <f t="shared" si="189"/>
        <v/>
      </c>
      <c r="DN134" s="47" t="s">
        <v>0</v>
      </c>
      <c r="DO134" s="52" t="str">
        <f t="shared" si="129"/>
        <v>Vladimir – Trivunović – OK Kapela – M45</v>
      </c>
      <c r="DP134" s="53">
        <f t="shared" si="130"/>
        <v>321</v>
      </c>
      <c r="DQ134" s="47" t="s">
        <v>0</v>
      </c>
      <c r="DR134" s="52" t="str">
        <f t="shared" si="131"/>
        <v>Vladimir – Trivunović – OK Kapela</v>
      </c>
      <c r="DS134" s="53">
        <f t="shared" si="132"/>
        <v>321</v>
      </c>
      <c r="DT134" s="47" t="s">
        <v>0</v>
      </c>
      <c r="DU134" s="52" t="str">
        <f t="shared" si="133"/>
        <v>Vladimir – Trivunović</v>
      </c>
      <c r="DV134" s="53">
        <f t="shared" si="134"/>
        <v>321</v>
      </c>
      <c r="DW134" s="47" t="s">
        <v>0</v>
      </c>
      <c r="DX134" s="58">
        <f t="shared" si="177"/>
        <v>321</v>
      </c>
      <c r="DY134" s="53" cm="1">
        <f t="array" ref="DY134">IF(DX134&lt;&gt;"",INDEX(regNatjecatelj_id,DX134,0),IF(BD134&lt;&gt;"",BD134,""))</f>
        <v>1126</v>
      </c>
      <c r="DZ134" s="47" t="s">
        <v>0</v>
      </c>
      <c r="EA134" s="58" t="str">
        <f t="shared" si="135"/>
        <v>imepre</v>
      </c>
      <c r="EB134" s="73" t="str">
        <f t="shared" si="136"/>
        <v>klu</v>
      </c>
      <c r="EC134" s="73" t="str">
        <f t="shared" si="137"/>
        <v>kat</v>
      </c>
      <c r="ED134" s="73" t="str">
        <f t="shared" si="138"/>
        <v/>
      </c>
      <c r="EE134" s="66" t="str">
        <f t="shared" si="139"/>
        <v>imepre-klu-kat</v>
      </c>
      <c r="EF134" s="47" t="s">
        <v>0</v>
      </c>
      <c r="EG134" s="58">
        <f>IF(AL134="","",MAX(EG$12:EG133)+1)</f>
        <v>301</v>
      </c>
      <c r="EH134" s="73">
        <f t="shared" si="140"/>
        <v>30</v>
      </c>
      <c r="EI134" s="73">
        <f t="shared" si="178"/>
        <v>1126</v>
      </c>
      <c r="EJ134" s="73">
        <f t="shared" si="141"/>
        <v>3099</v>
      </c>
      <c r="EK134" s="73">
        <f t="shared" si="142"/>
        <v>1</v>
      </c>
      <c r="EL134" s="73">
        <f t="shared" si="179"/>
        <v>1</v>
      </c>
      <c r="EM134" s="73">
        <f t="shared" si="180"/>
        <v>1</v>
      </c>
      <c r="EN134" s="73" t="str">
        <f t="shared" si="143"/>
        <v>0</v>
      </c>
      <c r="EO134" s="73" t="str">
        <f t="shared" si="144"/>
        <v/>
      </c>
      <c r="EP134" s="73" t="str">
        <f t="shared" si="145"/>
        <v/>
      </c>
      <c r="EQ134" s="53" t="str">
        <f t="shared" si="146"/>
        <v/>
      </c>
      <c r="ER134" s="47" t="s">
        <v>0</v>
      </c>
      <c r="ES134" s="19" t="str">
        <f t="shared" si="181"/>
        <v>INSERT INTO rezultat(id,stazakategorija_id,imeprezime_id,vrijeme_sec,status_id,registracija,uparivanje_id,originalstatus_id,imeprezimealias_id,klubalias_id,kategorijaalias_id) VALUES (301,30,1126,3099,1,1,1,0,Null,Null,Null);</v>
      </c>
      <c r="ET134" s="47" t="s">
        <v>0</v>
      </c>
      <c r="EU134" s="19" t="str">
        <f t="shared" si="182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4" s="47" t="s">
        <v>0</v>
      </c>
      <c r="EW134" s="180" t="str">
        <f t="shared" si="147"/>
        <v xml:space="preserve">
INSERT INTO rezultat(id,stazakategorija_id,imeprezime_id,vrijeme_sec,status_id,registracija,uparivanje_id,originalstatus_id,imeprezimealias_id,klubalias_id,kategorijaalias_id) VALUES (301,30,1126,3099,1,1,1,0,Null,Null,Null);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4" s="47" t="s">
        <v>0</v>
      </c>
    </row>
    <row r="135" spans="1:154" x14ac:dyDescent="0.25">
      <c r="A135" t="s">
        <v>0</v>
      </c>
      <c r="B135" s="52" t="str">
        <f>IF(csv!F125="","",csv!T125)</f>
        <v>M45</v>
      </c>
      <c r="C135" s="31" t="s">
        <v>0</v>
      </c>
      <c r="D135" s="31" t="str">
        <f>IF(csv!F125="","",csv!F125)</f>
        <v>Bojan</v>
      </c>
      <c r="E135" s="31" t="str">
        <f>IF(csv!E125="","",csv!E125)</f>
        <v>Vukelić</v>
      </c>
      <c r="F135" s="31" t="s">
        <v>0</v>
      </c>
      <c r="G135" s="73" t="str">
        <f>IF(csv!M125="","",csv!M125)</f>
        <v>54:16</v>
      </c>
      <c r="H135" s="73" t="str">
        <f>IF(csv!N125="","",csv!N125)</f>
        <v>0</v>
      </c>
      <c r="I135" s="31" t="s">
        <v>0</v>
      </c>
      <c r="J135" s="31" t="str">
        <f>IF(csv!P125="","",csv!P125)</f>
        <v>Maksimir</v>
      </c>
      <c r="K135" s="31" t="str">
        <f>IF(csv!Q125="","",csv!Q125)</f>
        <v>OK Maksimir</v>
      </c>
      <c r="L135" s="31" t="s">
        <v>0</v>
      </c>
      <c r="M135" s="66" t="str">
        <f>IF(csv!R125="","",csv!R125)</f>
        <v>CRO</v>
      </c>
      <c r="N135" s="47" t="s">
        <v>0</v>
      </c>
      <c r="O135" s="246" t="str">
        <f t="shared" si="148"/>
        <v>ok</v>
      </c>
      <c r="P135" s="47"/>
      <c r="Q135" s="52" t="str">
        <f t="shared" si="149"/>
        <v>M45</v>
      </c>
      <c r="R135" s="73">
        <f>IF(Q135="","",IF(COUNTIF(Q$12:Q134,Q135)=0,R134+1,R134))</f>
        <v>8</v>
      </c>
      <c r="S135" s="73">
        <f t="shared" si="150"/>
        <v>106</v>
      </c>
      <c r="T135" s="73">
        <f t="shared" si="113"/>
        <v>17</v>
      </c>
      <c r="U135" s="66" t="str">
        <f t="shared" si="114"/>
        <v>M45</v>
      </c>
      <c r="V135" s="47" t="s">
        <v>0</v>
      </c>
      <c r="W135" s="222" t="str">
        <f t="shared" si="115"/>
        <v>M45</v>
      </c>
      <c r="X135" s="223">
        <f t="shared" si="116"/>
        <v>30</v>
      </c>
      <c r="Y135" s="47" t="s">
        <v>0</v>
      </c>
      <c r="Z135" s="52" t="str">
        <f t="shared" si="151"/>
        <v>CRO</v>
      </c>
      <c r="AA135" s="73">
        <f t="shared" si="117"/>
        <v>1</v>
      </c>
      <c r="AB135" s="31" t="str">
        <f t="shared" si="152"/>
        <v/>
      </c>
      <c r="AC135" s="66" t="str">
        <f>IF(AB135="","",MAX(AC$12:AC134)+1)</f>
        <v/>
      </c>
      <c r="AD135" s="47" t="s">
        <v>0</v>
      </c>
      <c r="AE135" s="125"/>
      <c r="AF135" s="47" t="s">
        <v>0</v>
      </c>
      <c r="AG135" s="19" t="str">
        <f t="shared" si="153"/>
        <v/>
      </c>
      <c r="AH135" s="47" t="s">
        <v>0</v>
      </c>
      <c r="AI135" s="143" t="str">
        <f t="shared" si="154"/>
        <v>CRO</v>
      </c>
      <c r="AJ135" s="47"/>
      <c r="AK135" s="52" t="str">
        <f t="shared" si="155"/>
        <v>Bojan</v>
      </c>
      <c r="AL135" s="31" t="str">
        <f t="shared" si="156"/>
        <v>Vukelić</v>
      </c>
      <c r="AM135" s="73">
        <f t="shared" si="157"/>
        <v>1313</v>
      </c>
      <c r="AN135" s="73" t="str">
        <f t="shared" si="158"/>
        <v/>
      </c>
      <c r="AO135" s="31" t="str">
        <f t="shared" si="118"/>
        <v>Bojan</v>
      </c>
      <c r="AP135" s="66" t="str">
        <f t="shared" si="119"/>
        <v>Vukelić</v>
      </c>
      <c r="AQ135" s="47" t="s">
        <v>0</v>
      </c>
      <c r="AR135" s="82" t="str">
        <f t="shared" si="159"/>
        <v/>
      </c>
      <c r="AS135" s="47" t="s">
        <v>0</v>
      </c>
      <c r="AT135" s="19" t="str">
        <f t="shared" si="160"/>
        <v/>
      </c>
      <c r="AU135" s="47" t="s">
        <v>0</v>
      </c>
      <c r="AV135" s="103"/>
      <c r="AW135" s="105"/>
      <c r="AX135" s="47" t="s">
        <v>0</v>
      </c>
      <c r="AY135" s="259" t="str">
        <f t="shared" si="183"/>
        <v/>
      </c>
      <c r="AZ135" s="47" t="s">
        <v>0</v>
      </c>
      <c r="BA135" s="52" t="str">
        <f t="shared" si="120"/>
        <v/>
      </c>
      <c r="BB135" s="73" t="str">
        <f>IF(AV135&amp;AW135="","",MAX(BB$12:BB134)+1)</f>
        <v/>
      </c>
      <c r="BC135" s="272" t="str">
        <f t="shared" si="121"/>
        <v/>
      </c>
      <c r="BD135" s="53" t="str">
        <f>IF(AND(AM135="NEMA",AN135="NEMA",OR(AV135&amp;AW135="",BC135="NEMA")),MAX(BD$12:BD134)+1,"")</f>
        <v/>
      </c>
      <c r="BE135" s="47" t="s">
        <v>0</v>
      </c>
      <c r="BF135" s="52" t="str">
        <f t="shared" si="161"/>
        <v>Bojan</v>
      </c>
      <c r="BG135" s="66" t="str">
        <f t="shared" si="162"/>
        <v>Vukelić</v>
      </c>
      <c r="BH135" s="47" t="s">
        <v>0</v>
      </c>
      <c r="BI135" s="52" t="str">
        <f t="shared" si="122"/>
        <v>Maksimir</v>
      </c>
      <c r="BJ135" s="31" t="str">
        <f t="shared" si="123"/>
        <v>OK Maksimir</v>
      </c>
      <c r="BK135" s="73" t="str">
        <f t="shared" si="124"/>
        <v/>
      </c>
      <c r="BL135" s="31" t="str" cm="1">
        <f t="array" ref="BL135">IF(BK135="",""&amp;BJ135,IF(BK135="NEMA",BJ135,INDEX(regKlub_naziv,MATCH(INDEX(regKlub_alias_klubId,BK135),regKlub_id,0))))</f>
        <v>OK Maksimir</v>
      </c>
      <c r="BM135" s="31" t="str" cm="1">
        <f t="array" ref="BM135">IFERROR(""&amp;INDEX(regNatjecatelj_klub,DV135),"")</f>
        <v>OK Maksimir</v>
      </c>
      <c r="BN135" s="73" t="str">
        <f t="shared" si="163"/>
        <v/>
      </c>
      <c r="BO135" s="66" t="str">
        <f t="shared" si="164"/>
        <v>OK Maksimir</v>
      </c>
      <c r="BP135" s="47" t="s">
        <v>0</v>
      </c>
      <c r="BQ135" s="52" t="str">
        <f>IF(X135&lt;&gt;"NEMA","",IF(IFERROR(MATCH(W135,W$12:W134,0),0)&lt;&gt;0,"",W135))</f>
        <v/>
      </c>
      <c r="BR135" s="73" t="str">
        <f t="shared" si="165"/>
        <v/>
      </c>
      <c r="BS135" s="31" t="str">
        <f>IF(OR(BR135="",BR135&lt;&gt;"NEMA"),"",MAX(BS$12:BS134)+1)</f>
        <v/>
      </c>
      <c r="BT135" s="66" t="str">
        <f t="shared" si="166"/>
        <v/>
      </c>
      <c r="BU135" s="47" t="s">
        <v>0</v>
      </c>
      <c r="BV135" s="19" t="str">
        <f t="shared" si="167"/>
        <v/>
      </c>
      <c r="BW135" s="47" t="s">
        <v>0</v>
      </c>
      <c r="BX135" s="82" t="str">
        <f>IF(BK135&lt;&gt;"NEMA","",IF(IFERROR(MATCH(BJ135,BJ$12:BJ134,0),0)&lt;&gt;0,"",BJ135))</f>
        <v/>
      </c>
      <c r="BY135" s="47" t="s">
        <v>0</v>
      </c>
      <c r="BZ135" s="125"/>
      <c r="CA135" s="47" t="s">
        <v>0</v>
      </c>
      <c r="CB135" s="58" t="str">
        <f t="shared" si="168"/>
        <v/>
      </c>
      <c r="CC135" s="31" t="str">
        <f t="shared" si="169"/>
        <v/>
      </c>
      <c r="CD135" s="31" t="str">
        <f>IF(CC135="","",MAX(CD$12:CD134)+1)</f>
        <v/>
      </c>
      <c r="CE135" s="31" t="str">
        <f t="shared" si="125"/>
        <v/>
      </c>
      <c r="CF135" s="31" t="str">
        <f t="shared" si="170"/>
        <v/>
      </c>
      <c r="CG135" s="31" t="str">
        <f>IF(BZ135="","",MAX(CG$12:CG134)+1)</f>
        <v/>
      </c>
      <c r="CH135" s="31" t="str">
        <f t="shared" si="171"/>
        <v/>
      </c>
      <c r="CI135" s="66" t="str">
        <f t="shared" si="172"/>
        <v/>
      </c>
      <c r="CJ135" s="47" t="s">
        <v>0</v>
      </c>
      <c r="CK135" s="73" t="str">
        <f t="shared" si="126"/>
        <v/>
      </c>
      <c r="CL135" s="47"/>
      <c r="CM135" s="19" t="str">
        <f t="shared" si="173"/>
        <v/>
      </c>
      <c r="CN135" s="47" t="s">
        <v>0</v>
      </c>
      <c r="CO135" s="143" t="str">
        <f t="shared" si="174"/>
        <v>OK Maksimir</v>
      </c>
      <c r="CP135" s="47" t="s">
        <v>0</v>
      </c>
      <c r="CQ135" s="58" t="str">
        <f t="shared" si="190"/>
        <v>54:16</v>
      </c>
      <c r="CR135" s="73" t="str">
        <f t="shared" si="191"/>
        <v>0</v>
      </c>
      <c r="CS135" s="229" t="str">
        <f t="shared" si="127"/>
        <v/>
      </c>
      <c r="CT135" s="230">
        <f t="shared" si="192"/>
        <v>3256</v>
      </c>
      <c r="CU135" s="163">
        <f t="shared" si="128"/>
        <v>1</v>
      </c>
      <c r="CV135" s="47" t="s">
        <v>0</v>
      </c>
      <c r="CW135" s="222" t="str">
        <f t="shared" si="175"/>
        <v xml:space="preserve">
</v>
      </c>
      <c r="CX135" s="223">
        <f t="shared" si="176"/>
        <v>6</v>
      </c>
      <c r="CY135" s="47" t="s">
        <v>0</v>
      </c>
      <c r="CZ135" s="47"/>
      <c r="DA135" s="47"/>
      <c r="DB135" s="47"/>
      <c r="DC135" s="47" t="s">
        <v>0</v>
      </c>
      <c r="DD135" s="53" t="str">
        <f t="shared" si="184"/>
        <v/>
      </c>
      <c r="DE135" t="s">
        <v>0</v>
      </c>
      <c r="DF135" s="128" t="str">
        <f t="shared" si="185"/>
        <v>M</v>
      </c>
      <c r="DG135" t="s">
        <v>0</v>
      </c>
      <c r="DH135" s="52" t="str">
        <f t="shared" si="186"/>
        <v/>
      </c>
      <c r="DI135" s="66" t="str">
        <f t="shared" si="187"/>
        <v/>
      </c>
      <c r="DJ135" t="s">
        <v>0</v>
      </c>
      <c r="DK135" s="19" t="str">
        <f t="shared" si="188"/>
        <v/>
      </c>
      <c r="DL135" s="47" t="s">
        <v>0</v>
      </c>
      <c r="DM135" s="19" t="str">
        <f t="shared" si="189"/>
        <v/>
      </c>
      <c r="DN135" s="47" t="s">
        <v>0</v>
      </c>
      <c r="DO135" s="52" t="str">
        <f t="shared" si="129"/>
        <v>Bojan – Vukelić – OK Maksimir – M45</v>
      </c>
      <c r="DP135" s="53">
        <f t="shared" si="130"/>
        <v>391</v>
      </c>
      <c r="DQ135" s="47" t="s">
        <v>0</v>
      </c>
      <c r="DR135" s="52" t="str">
        <f t="shared" si="131"/>
        <v>Bojan – Vukelić – OK Maksimir</v>
      </c>
      <c r="DS135" s="53">
        <f t="shared" si="132"/>
        <v>391</v>
      </c>
      <c r="DT135" s="47" t="s">
        <v>0</v>
      </c>
      <c r="DU135" s="52" t="str">
        <f t="shared" si="133"/>
        <v>Bojan – Vukelić</v>
      </c>
      <c r="DV135" s="53">
        <f t="shared" si="134"/>
        <v>391</v>
      </c>
      <c r="DW135" s="47" t="s">
        <v>0</v>
      </c>
      <c r="DX135" s="58">
        <f t="shared" si="177"/>
        <v>391</v>
      </c>
      <c r="DY135" s="53" cm="1">
        <f t="array" ref="DY135">IF(DX135&lt;&gt;"",INDEX(regNatjecatelj_id,DX135,0),IF(BD135&lt;&gt;"",BD135,""))</f>
        <v>1313</v>
      </c>
      <c r="DZ135" s="47" t="s">
        <v>0</v>
      </c>
      <c r="EA135" s="58" t="str">
        <f t="shared" si="135"/>
        <v>imepre</v>
      </c>
      <c r="EB135" s="73" t="str">
        <f t="shared" si="136"/>
        <v>klu</v>
      </c>
      <c r="EC135" s="73" t="str">
        <f t="shared" si="137"/>
        <v>kat</v>
      </c>
      <c r="ED135" s="73" t="str">
        <f t="shared" si="138"/>
        <v/>
      </c>
      <c r="EE135" s="66" t="str">
        <f t="shared" si="139"/>
        <v>imepre-klu-kat</v>
      </c>
      <c r="EF135" s="47" t="s">
        <v>0</v>
      </c>
      <c r="EG135" s="58">
        <f>IF(AL135="","",MAX(EG$12:EG134)+1)</f>
        <v>302</v>
      </c>
      <c r="EH135" s="73">
        <f t="shared" si="140"/>
        <v>30</v>
      </c>
      <c r="EI135" s="73">
        <f t="shared" si="178"/>
        <v>1313</v>
      </c>
      <c r="EJ135" s="73">
        <f t="shared" si="141"/>
        <v>3256</v>
      </c>
      <c r="EK135" s="73">
        <f t="shared" si="142"/>
        <v>1</v>
      </c>
      <c r="EL135" s="73">
        <f t="shared" si="179"/>
        <v>1</v>
      </c>
      <c r="EM135" s="73">
        <f t="shared" si="180"/>
        <v>1</v>
      </c>
      <c r="EN135" s="73" t="str">
        <f t="shared" si="143"/>
        <v>0</v>
      </c>
      <c r="EO135" s="73" t="str">
        <f t="shared" si="144"/>
        <v/>
      </c>
      <c r="EP135" s="73" t="str">
        <f t="shared" si="145"/>
        <v/>
      </c>
      <c r="EQ135" s="53" t="str">
        <f t="shared" si="146"/>
        <v/>
      </c>
      <c r="ER135" s="47" t="s">
        <v>0</v>
      </c>
      <c r="ES135" s="19" t="str">
        <f t="shared" si="181"/>
        <v>INSERT INTO rezultat(id,stazakategorija_id,imeprezime_id,vrijeme_sec,status_id,registracija,uparivanje_id,originalstatus_id,imeprezimealias_id,klubalias_id,kategorijaalias_id) VALUES (302,30,1313,3256,1,1,1,0,Null,Null,Null);</v>
      </c>
      <c r="ET135" s="47" t="s">
        <v>0</v>
      </c>
      <c r="EU135" s="19" t="str">
        <f t="shared" si="182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5" s="47" t="s">
        <v>0</v>
      </c>
      <c r="EW135" s="180" t="str">
        <f t="shared" si="147"/>
        <v xml:space="preserve">
INSERT INTO rezultat(id,stazakategorija_id,imeprezime_id,vrijeme_sec,status_id,registracija,uparivanje_id,originalstatus_id,imeprezimealias_id,klubalias_id,kategorijaalias_id) VALUES (302,30,1313,3256,1,1,1,0,Null,Null,Null);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5" s="47" t="s">
        <v>0</v>
      </c>
    </row>
    <row r="136" spans="1:154" x14ac:dyDescent="0.25">
      <c r="A136" t="s">
        <v>0</v>
      </c>
      <c r="B136" s="52" t="str">
        <f>IF(csv!F126="","",csv!T126)</f>
        <v>M45</v>
      </c>
      <c r="C136" s="31" t="s">
        <v>0</v>
      </c>
      <c r="D136" s="31" t="str">
        <f>IF(csv!F126="","",csv!F126)</f>
        <v>Marijan</v>
      </c>
      <c r="E136" s="31" t="str">
        <f>IF(csv!E126="","",csv!E126)</f>
        <v>Bogović</v>
      </c>
      <c r="F136" s="31" t="s">
        <v>0</v>
      </c>
      <c r="G136" s="73" t="str">
        <f>IF(csv!M126="","",csv!M126)</f>
        <v>54:33</v>
      </c>
      <c r="H136" s="73" t="str">
        <f>IF(csv!N126="","",csv!N126)</f>
        <v>0</v>
      </c>
      <c r="I136" s="31" t="s">
        <v>0</v>
      </c>
      <c r="J136" s="31" t="str">
        <f>IF(csv!P126="","",csv!P126)</f>
        <v>OK Jelen</v>
      </c>
      <c r="K136" s="31" t="str">
        <f>IF(csv!Q126="","",csv!Q126)</f>
        <v>OK Jelen</v>
      </c>
      <c r="L136" s="31" t="s">
        <v>0</v>
      </c>
      <c r="M136" s="66" t="str">
        <f>IF(csv!R126="","",csv!R126)</f>
        <v>CRO</v>
      </c>
      <c r="N136" s="47" t="s">
        <v>0</v>
      </c>
      <c r="O136" s="246" t="str">
        <f t="shared" si="148"/>
        <v>ok</v>
      </c>
      <c r="P136" s="47"/>
      <c r="Q136" s="52" t="str">
        <f t="shared" si="149"/>
        <v>M45</v>
      </c>
      <c r="R136" s="73">
        <f>IF(Q136="","",IF(COUNTIF(Q$12:Q135,Q136)=0,R135+1,R135))</f>
        <v>8</v>
      </c>
      <c r="S136" s="73">
        <f t="shared" si="150"/>
        <v>106</v>
      </c>
      <c r="T136" s="73">
        <f t="shared" si="113"/>
        <v>17</v>
      </c>
      <c r="U136" s="66" t="str">
        <f t="shared" si="114"/>
        <v>M45</v>
      </c>
      <c r="V136" s="47" t="s">
        <v>0</v>
      </c>
      <c r="W136" s="222" t="str">
        <f t="shared" si="115"/>
        <v>M45</v>
      </c>
      <c r="X136" s="223">
        <f t="shared" si="116"/>
        <v>30</v>
      </c>
      <c r="Y136" s="47" t="s">
        <v>0</v>
      </c>
      <c r="Z136" s="52" t="str">
        <f t="shared" si="151"/>
        <v>CRO</v>
      </c>
      <c r="AA136" s="73">
        <f t="shared" si="117"/>
        <v>1</v>
      </c>
      <c r="AB136" s="31" t="str">
        <f t="shared" si="152"/>
        <v/>
      </c>
      <c r="AC136" s="66" t="str">
        <f>IF(AB136="","",MAX(AC$12:AC135)+1)</f>
        <v/>
      </c>
      <c r="AD136" s="47" t="s">
        <v>0</v>
      </c>
      <c r="AE136" s="125"/>
      <c r="AF136" s="47" t="s">
        <v>0</v>
      </c>
      <c r="AG136" s="19" t="str">
        <f t="shared" si="153"/>
        <v/>
      </c>
      <c r="AH136" s="47" t="s">
        <v>0</v>
      </c>
      <c r="AI136" s="143" t="str">
        <f t="shared" si="154"/>
        <v>CRO</v>
      </c>
      <c r="AJ136" s="47"/>
      <c r="AK136" s="52" t="str">
        <f t="shared" si="155"/>
        <v>Marijan</v>
      </c>
      <c r="AL136" s="31" t="str">
        <f t="shared" si="156"/>
        <v>Bogović</v>
      </c>
      <c r="AM136" s="73">
        <f t="shared" si="157"/>
        <v>1559</v>
      </c>
      <c r="AN136" s="73" t="str">
        <f t="shared" si="158"/>
        <v/>
      </c>
      <c r="AO136" s="31" t="str">
        <f t="shared" si="118"/>
        <v>Marijan</v>
      </c>
      <c r="AP136" s="66" t="str">
        <f t="shared" si="119"/>
        <v>Bogović</v>
      </c>
      <c r="AQ136" s="47" t="s">
        <v>0</v>
      </c>
      <c r="AR136" s="82" t="str">
        <f t="shared" si="159"/>
        <v/>
      </c>
      <c r="AS136" s="47" t="s">
        <v>0</v>
      </c>
      <c r="AT136" s="19" t="str">
        <f t="shared" si="160"/>
        <v/>
      </c>
      <c r="AU136" s="47" t="s">
        <v>0</v>
      </c>
      <c r="AV136" s="103"/>
      <c r="AW136" s="105"/>
      <c r="AX136" s="47" t="s">
        <v>0</v>
      </c>
      <c r="AY136" s="259" t="str">
        <f t="shared" si="183"/>
        <v/>
      </c>
      <c r="AZ136" s="47" t="s">
        <v>0</v>
      </c>
      <c r="BA136" s="52" t="str">
        <f t="shared" si="120"/>
        <v/>
      </c>
      <c r="BB136" s="73" t="str">
        <f>IF(AV136&amp;AW136="","",MAX(BB$12:BB135)+1)</f>
        <v/>
      </c>
      <c r="BC136" s="272" t="str">
        <f t="shared" si="121"/>
        <v/>
      </c>
      <c r="BD136" s="53" t="str">
        <f>IF(AND(AM136="NEMA",AN136="NEMA",OR(AV136&amp;AW136="",BC136="NEMA")),MAX(BD$12:BD135)+1,"")</f>
        <v/>
      </c>
      <c r="BE136" s="47" t="s">
        <v>0</v>
      </c>
      <c r="BF136" s="52" t="str">
        <f t="shared" si="161"/>
        <v>Marijan</v>
      </c>
      <c r="BG136" s="66" t="str">
        <f t="shared" si="162"/>
        <v>Bogović</v>
      </c>
      <c r="BH136" s="47" t="s">
        <v>0</v>
      </c>
      <c r="BI136" s="52" t="str">
        <f t="shared" si="122"/>
        <v>OK Jelen</v>
      </c>
      <c r="BJ136" s="31" t="str">
        <f t="shared" si="123"/>
        <v>OK Jelen</v>
      </c>
      <c r="BK136" s="73" t="str">
        <f t="shared" si="124"/>
        <v/>
      </c>
      <c r="BL136" s="31" t="str" cm="1">
        <f t="array" ref="BL136">IF(BK136="",""&amp;BJ136,IF(BK136="NEMA",BJ136,INDEX(regKlub_naziv,MATCH(INDEX(regKlub_alias_klubId,BK136),regKlub_id,0))))</f>
        <v>OK Jelen</v>
      </c>
      <c r="BM136" s="31" t="str" cm="1">
        <f t="array" ref="BM136">IFERROR(""&amp;INDEX(regNatjecatelj_klub,DV136),"")</f>
        <v>OK Jelen</v>
      </c>
      <c r="BN136" s="73" t="str">
        <f t="shared" si="163"/>
        <v/>
      </c>
      <c r="BO136" s="66" t="str">
        <f t="shared" si="164"/>
        <v>OK Jelen</v>
      </c>
      <c r="BP136" s="47" t="s">
        <v>0</v>
      </c>
      <c r="BQ136" s="52" t="str">
        <f>IF(X136&lt;&gt;"NEMA","",IF(IFERROR(MATCH(W136,W$12:W135,0),0)&lt;&gt;0,"",W136))</f>
        <v/>
      </c>
      <c r="BR136" s="73" t="str">
        <f t="shared" si="165"/>
        <v/>
      </c>
      <c r="BS136" s="31" t="str">
        <f>IF(OR(BR136="",BR136&lt;&gt;"NEMA"),"",MAX(BS$12:BS135)+1)</f>
        <v/>
      </c>
      <c r="BT136" s="66" t="str">
        <f t="shared" si="166"/>
        <v/>
      </c>
      <c r="BU136" s="47" t="s">
        <v>0</v>
      </c>
      <c r="BV136" s="19" t="str">
        <f t="shared" si="167"/>
        <v/>
      </c>
      <c r="BW136" s="47" t="s">
        <v>0</v>
      </c>
      <c r="BX136" s="82" t="str">
        <f>IF(BK136&lt;&gt;"NEMA","",IF(IFERROR(MATCH(BJ136,BJ$12:BJ135,0),0)&lt;&gt;0,"",BJ136))</f>
        <v/>
      </c>
      <c r="BY136" s="47" t="s">
        <v>0</v>
      </c>
      <c r="BZ136" s="125"/>
      <c r="CA136" s="47" t="s">
        <v>0</v>
      </c>
      <c r="CB136" s="58" t="str">
        <f t="shared" si="168"/>
        <v/>
      </c>
      <c r="CC136" s="31" t="str">
        <f t="shared" si="169"/>
        <v/>
      </c>
      <c r="CD136" s="31" t="str">
        <f>IF(CC136="","",MAX(CD$12:CD135)+1)</f>
        <v/>
      </c>
      <c r="CE136" s="31" t="str">
        <f t="shared" si="125"/>
        <v/>
      </c>
      <c r="CF136" s="31" t="str">
        <f t="shared" si="170"/>
        <v/>
      </c>
      <c r="CG136" s="31" t="str">
        <f>IF(BZ136="","",MAX(CG$12:CG135)+1)</f>
        <v/>
      </c>
      <c r="CH136" s="31" t="str">
        <f t="shared" si="171"/>
        <v/>
      </c>
      <c r="CI136" s="66" t="str">
        <f t="shared" si="172"/>
        <v/>
      </c>
      <c r="CJ136" s="47" t="s">
        <v>0</v>
      </c>
      <c r="CK136" s="73" t="str">
        <f t="shared" si="126"/>
        <v/>
      </c>
      <c r="CL136" s="47"/>
      <c r="CM136" s="19" t="str">
        <f t="shared" si="173"/>
        <v/>
      </c>
      <c r="CN136" s="47" t="s">
        <v>0</v>
      </c>
      <c r="CO136" s="143" t="str">
        <f t="shared" si="174"/>
        <v>OK Jelen</v>
      </c>
      <c r="CP136" s="47" t="s">
        <v>0</v>
      </c>
      <c r="CQ136" s="58" t="str">
        <f t="shared" si="190"/>
        <v>54:33</v>
      </c>
      <c r="CR136" s="73" t="str">
        <f t="shared" si="191"/>
        <v>0</v>
      </c>
      <c r="CS136" s="229" t="str">
        <f t="shared" si="127"/>
        <v/>
      </c>
      <c r="CT136" s="230">
        <f t="shared" si="192"/>
        <v>3273</v>
      </c>
      <c r="CU136" s="163">
        <f t="shared" si="128"/>
        <v>1</v>
      </c>
      <c r="CV136" s="47" t="s">
        <v>0</v>
      </c>
      <c r="CW136" s="222" t="str">
        <f t="shared" si="175"/>
        <v xml:space="preserve">
</v>
      </c>
      <c r="CX136" s="223">
        <f t="shared" si="176"/>
        <v>6</v>
      </c>
      <c r="CY136" s="47" t="s">
        <v>0</v>
      </c>
      <c r="CZ136" s="47"/>
      <c r="DA136" s="47"/>
      <c r="DB136" s="47"/>
      <c r="DC136" s="47" t="s">
        <v>0</v>
      </c>
      <c r="DD136" s="53" t="str">
        <f t="shared" si="184"/>
        <v/>
      </c>
      <c r="DE136" t="s">
        <v>0</v>
      </c>
      <c r="DF136" s="128" t="str">
        <f t="shared" si="185"/>
        <v>M</v>
      </c>
      <c r="DG136" t="s">
        <v>0</v>
      </c>
      <c r="DH136" s="52" t="str">
        <f t="shared" si="186"/>
        <v/>
      </c>
      <c r="DI136" s="66" t="str">
        <f t="shared" si="187"/>
        <v/>
      </c>
      <c r="DJ136" t="s">
        <v>0</v>
      </c>
      <c r="DK136" s="19" t="str">
        <f t="shared" si="188"/>
        <v/>
      </c>
      <c r="DL136" s="47" t="s">
        <v>0</v>
      </c>
      <c r="DM136" s="19" t="str">
        <f t="shared" si="189"/>
        <v/>
      </c>
      <c r="DN136" s="47" t="s">
        <v>0</v>
      </c>
      <c r="DO136" s="52" t="str">
        <f t="shared" si="129"/>
        <v>Marijan – Bogović – OK Jelen – M45</v>
      </c>
      <c r="DP136" s="53">
        <f t="shared" si="130"/>
        <v>153</v>
      </c>
      <c r="DQ136" s="47" t="s">
        <v>0</v>
      </c>
      <c r="DR136" s="52" t="str">
        <f t="shared" si="131"/>
        <v>Marijan – Bogović – OK Jelen</v>
      </c>
      <c r="DS136" s="53">
        <f t="shared" si="132"/>
        <v>153</v>
      </c>
      <c r="DT136" s="47" t="s">
        <v>0</v>
      </c>
      <c r="DU136" s="52" t="str">
        <f t="shared" si="133"/>
        <v>Marijan – Bogović</v>
      </c>
      <c r="DV136" s="53">
        <f t="shared" si="134"/>
        <v>153</v>
      </c>
      <c r="DW136" s="47" t="s">
        <v>0</v>
      </c>
      <c r="DX136" s="58">
        <f t="shared" si="177"/>
        <v>153</v>
      </c>
      <c r="DY136" s="53" cm="1">
        <f t="array" ref="DY136">IF(DX136&lt;&gt;"",INDEX(regNatjecatelj_id,DX136,0),IF(BD136&lt;&gt;"",BD136,""))</f>
        <v>1559</v>
      </c>
      <c r="DZ136" s="47" t="s">
        <v>0</v>
      </c>
      <c r="EA136" s="58" t="str">
        <f t="shared" si="135"/>
        <v>imepre</v>
      </c>
      <c r="EB136" s="73" t="str">
        <f t="shared" si="136"/>
        <v>klu</v>
      </c>
      <c r="EC136" s="73" t="str">
        <f t="shared" si="137"/>
        <v>kat</v>
      </c>
      <c r="ED136" s="73" t="str">
        <f t="shared" si="138"/>
        <v/>
      </c>
      <c r="EE136" s="66" t="str">
        <f t="shared" si="139"/>
        <v>imepre-klu-kat</v>
      </c>
      <c r="EF136" s="47" t="s">
        <v>0</v>
      </c>
      <c r="EG136" s="58">
        <f>IF(AL136="","",MAX(EG$12:EG135)+1)</f>
        <v>303</v>
      </c>
      <c r="EH136" s="73">
        <f t="shared" si="140"/>
        <v>30</v>
      </c>
      <c r="EI136" s="73">
        <f t="shared" si="178"/>
        <v>1559</v>
      </c>
      <c r="EJ136" s="73">
        <f t="shared" si="141"/>
        <v>3273</v>
      </c>
      <c r="EK136" s="73">
        <f t="shared" si="142"/>
        <v>1</v>
      </c>
      <c r="EL136" s="73">
        <f t="shared" si="179"/>
        <v>1</v>
      </c>
      <c r="EM136" s="73">
        <f t="shared" si="180"/>
        <v>1</v>
      </c>
      <c r="EN136" s="73" t="str">
        <f t="shared" si="143"/>
        <v>0</v>
      </c>
      <c r="EO136" s="73" t="str">
        <f t="shared" si="144"/>
        <v/>
      </c>
      <c r="EP136" s="73" t="str">
        <f t="shared" si="145"/>
        <v/>
      </c>
      <c r="EQ136" s="53" t="str">
        <f t="shared" si="146"/>
        <v/>
      </c>
      <c r="ER136" s="47" t="s">
        <v>0</v>
      </c>
      <c r="ES136" s="19" t="str">
        <f t="shared" si="181"/>
        <v>INSERT INTO rezultat(id,stazakategorija_id,imeprezime_id,vrijeme_sec,status_id,registracija,uparivanje_id,originalstatus_id,imeprezimealias_id,klubalias_id,kategorijaalias_id) VALUES (303,30,1559,3273,1,1,1,0,Null,Null,Null);</v>
      </c>
      <c r="ET136" s="47" t="s">
        <v>0</v>
      </c>
      <c r="EU136" s="19" t="str">
        <f t="shared" si="182"/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6" s="47" t="s">
        <v>0</v>
      </c>
      <c r="EW136" s="180" t="str">
        <f t="shared" si="147"/>
        <v xml:space="preserve">
INSERT INTO rezultat(id,stazakategorija_id,imeprezime_id,vrijeme_sec,status_id,registracija,uparivanje_id,originalstatus_id,imeprezimealias_id,klubalias_id,kategorijaalias_id) VALUES (303,30,1559,3273,1,1,1,0,Null,Null,Null);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6" s="47" t="s">
        <v>0</v>
      </c>
    </row>
    <row r="137" spans="1:154" x14ac:dyDescent="0.25">
      <c r="A137" t="s">
        <v>0</v>
      </c>
      <c r="B137" s="52" t="str">
        <f>IF(csv!F127="","",csv!T127)</f>
        <v>M45</v>
      </c>
      <c r="C137" s="31" t="s">
        <v>0</v>
      </c>
      <c r="D137" s="31" t="str">
        <f>IF(csv!F127="","",csv!F127)</f>
        <v>Damir</v>
      </c>
      <c r="E137" s="31" t="str">
        <f>IF(csv!E127="","",csv!E127)</f>
        <v>Hercigonja</v>
      </c>
      <c r="F137" s="31" t="s">
        <v>0</v>
      </c>
      <c r="G137" s="73" t="str">
        <f>IF(csv!M127="","",csv!M127)</f>
        <v>56:25</v>
      </c>
      <c r="H137" s="73" t="str">
        <f>IF(csv!N127="","",csv!N127)</f>
        <v>0</v>
      </c>
      <c r="I137" s="31" t="s">
        <v>0</v>
      </c>
      <c r="J137" s="31" t="str">
        <f>IF(csv!P127="","",csv!P127)</f>
        <v>KAP</v>
      </c>
      <c r="K137" s="31" t="str">
        <f>IF(csv!Q127="","",csv!Q127)</f>
        <v>OK Kapela</v>
      </c>
      <c r="L137" s="31" t="s">
        <v>0</v>
      </c>
      <c r="M137" s="66" t="str">
        <f>IF(csv!R127="","",csv!R127)</f>
        <v>CRO</v>
      </c>
      <c r="N137" s="47" t="s">
        <v>0</v>
      </c>
      <c r="O137" s="246" t="str">
        <f t="shared" si="148"/>
        <v>ok</v>
      </c>
      <c r="P137" s="47"/>
      <c r="Q137" s="52" t="str">
        <f t="shared" si="149"/>
        <v>M45</v>
      </c>
      <c r="R137" s="73">
        <f>IF(Q137="","",IF(COUNTIF(Q$12:Q136,Q137)=0,R136+1,R136))</f>
        <v>8</v>
      </c>
      <c r="S137" s="73">
        <f t="shared" si="150"/>
        <v>106</v>
      </c>
      <c r="T137" s="73">
        <f t="shared" si="113"/>
        <v>17</v>
      </c>
      <c r="U137" s="66" t="str">
        <f t="shared" si="114"/>
        <v>M45</v>
      </c>
      <c r="V137" s="47" t="s">
        <v>0</v>
      </c>
      <c r="W137" s="222" t="str">
        <f t="shared" si="115"/>
        <v>M45</v>
      </c>
      <c r="X137" s="223">
        <f t="shared" si="116"/>
        <v>30</v>
      </c>
      <c r="Y137" s="47" t="s">
        <v>0</v>
      </c>
      <c r="Z137" s="52" t="str">
        <f t="shared" si="151"/>
        <v>CRO</v>
      </c>
      <c r="AA137" s="73">
        <f t="shared" si="117"/>
        <v>1</v>
      </c>
      <c r="AB137" s="31" t="str">
        <f t="shared" si="152"/>
        <v/>
      </c>
      <c r="AC137" s="66" t="str">
        <f>IF(AB137="","",MAX(AC$12:AC136)+1)</f>
        <v/>
      </c>
      <c r="AD137" s="47" t="s">
        <v>0</v>
      </c>
      <c r="AE137" s="125"/>
      <c r="AF137" s="47" t="s">
        <v>0</v>
      </c>
      <c r="AG137" s="19" t="str">
        <f t="shared" si="153"/>
        <v/>
      </c>
      <c r="AH137" s="47" t="s">
        <v>0</v>
      </c>
      <c r="AI137" s="143" t="str">
        <f t="shared" si="154"/>
        <v>CRO</v>
      </c>
      <c r="AJ137" s="47"/>
      <c r="AK137" s="52" t="str">
        <f t="shared" si="155"/>
        <v>Damir</v>
      </c>
      <c r="AL137" s="31" t="str">
        <f t="shared" si="156"/>
        <v>Hercigonja</v>
      </c>
      <c r="AM137" s="73">
        <f t="shared" si="157"/>
        <v>1554</v>
      </c>
      <c r="AN137" s="73" t="str">
        <f t="shared" si="158"/>
        <v/>
      </c>
      <c r="AO137" s="31" t="str">
        <f t="shared" si="118"/>
        <v>Damir</v>
      </c>
      <c r="AP137" s="66" t="str">
        <f t="shared" si="119"/>
        <v>Hercigonja</v>
      </c>
      <c r="AQ137" s="47" t="s">
        <v>0</v>
      </c>
      <c r="AR137" s="82" t="str">
        <f t="shared" si="159"/>
        <v/>
      </c>
      <c r="AS137" s="47" t="s">
        <v>0</v>
      </c>
      <c r="AT137" s="19" t="str">
        <f t="shared" si="160"/>
        <v/>
      </c>
      <c r="AU137" s="47" t="s">
        <v>0</v>
      </c>
      <c r="AV137" s="103"/>
      <c r="AW137" s="105"/>
      <c r="AX137" s="47" t="s">
        <v>0</v>
      </c>
      <c r="AY137" s="259" t="str">
        <f t="shared" si="183"/>
        <v/>
      </c>
      <c r="AZ137" s="47" t="s">
        <v>0</v>
      </c>
      <c r="BA137" s="52" t="str">
        <f t="shared" si="120"/>
        <v/>
      </c>
      <c r="BB137" s="73" t="str">
        <f>IF(AV137&amp;AW137="","",MAX(BB$12:BB136)+1)</f>
        <v/>
      </c>
      <c r="BC137" s="272" t="str">
        <f t="shared" si="121"/>
        <v/>
      </c>
      <c r="BD137" s="53" t="str">
        <f>IF(AND(AM137="NEMA",AN137="NEMA",OR(AV137&amp;AW137="",BC137="NEMA")),MAX(BD$12:BD136)+1,"")</f>
        <v/>
      </c>
      <c r="BE137" s="47" t="s">
        <v>0</v>
      </c>
      <c r="BF137" s="52" t="str">
        <f t="shared" si="161"/>
        <v>Damir</v>
      </c>
      <c r="BG137" s="66" t="str">
        <f t="shared" si="162"/>
        <v>Hercigonja</v>
      </c>
      <c r="BH137" s="47" t="s">
        <v>0</v>
      </c>
      <c r="BI137" s="52" t="str">
        <f t="shared" si="122"/>
        <v>KAP</v>
      </c>
      <c r="BJ137" s="31" t="str">
        <f t="shared" si="123"/>
        <v>OK Kapela</v>
      </c>
      <c r="BK137" s="73" t="str">
        <f t="shared" si="124"/>
        <v/>
      </c>
      <c r="BL137" s="31" t="str" cm="1">
        <f t="array" ref="BL137">IF(BK137="",""&amp;BJ137,IF(BK137="NEMA",BJ137,INDEX(regKlub_naziv,MATCH(INDEX(regKlub_alias_klubId,BK137),regKlub_id,0))))</f>
        <v>OK Kapela</v>
      </c>
      <c r="BM137" s="31" t="str" cm="1">
        <f t="array" ref="BM137">IFERROR(""&amp;INDEX(regNatjecatelj_klub,DV137),"")</f>
        <v>OK Kapela</v>
      </c>
      <c r="BN137" s="73" t="str">
        <f t="shared" si="163"/>
        <v/>
      </c>
      <c r="BO137" s="66" t="str">
        <f t="shared" si="164"/>
        <v>OK Kapela</v>
      </c>
      <c r="BP137" s="47" t="s">
        <v>0</v>
      </c>
      <c r="BQ137" s="52" t="str">
        <f>IF(X137&lt;&gt;"NEMA","",IF(IFERROR(MATCH(W137,W$12:W136,0),0)&lt;&gt;0,"",W137))</f>
        <v/>
      </c>
      <c r="BR137" s="73" t="str">
        <f t="shared" si="165"/>
        <v/>
      </c>
      <c r="BS137" s="31" t="str">
        <f>IF(OR(BR137="",BR137&lt;&gt;"NEMA"),"",MAX(BS$12:BS136)+1)</f>
        <v/>
      </c>
      <c r="BT137" s="66" t="str">
        <f t="shared" si="166"/>
        <v/>
      </c>
      <c r="BU137" s="47" t="s">
        <v>0</v>
      </c>
      <c r="BV137" s="19" t="str">
        <f t="shared" si="167"/>
        <v/>
      </c>
      <c r="BW137" s="47" t="s">
        <v>0</v>
      </c>
      <c r="BX137" s="82" t="str">
        <f>IF(BK137&lt;&gt;"NEMA","",IF(IFERROR(MATCH(BJ137,BJ$12:BJ136,0),0)&lt;&gt;0,"",BJ137))</f>
        <v/>
      </c>
      <c r="BY137" s="47" t="s">
        <v>0</v>
      </c>
      <c r="BZ137" s="125"/>
      <c r="CA137" s="47" t="s">
        <v>0</v>
      </c>
      <c r="CB137" s="58" t="str">
        <f t="shared" si="168"/>
        <v/>
      </c>
      <c r="CC137" s="31" t="str">
        <f t="shared" si="169"/>
        <v/>
      </c>
      <c r="CD137" s="31" t="str">
        <f>IF(CC137="","",MAX(CD$12:CD136)+1)</f>
        <v/>
      </c>
      <c r="CE137" s="31" t="str">
        <f t="shared" si="125"/>
        <v/>
      </c>
      <c r="CF137" s="31" t="str">
        <f t="shared" si="170"/>
        <v/>
      </c>
      <c r="CG137" s="31" t="str">
        <f>IF(BZ137="","",MAX(CG$12:CG136)+1)</f>
        <v/>
      </c>
      <c r="CH137" s="31" t="str">
        <f t="shared" si="171"/>
        <v/>
      </c>
      <c r="CI137" s="66" t="str">
        <f t="shared" si="172"/>
        <v/>
      </c>
      <c r="CJ137" s="47" t="s">
        <v>0</v>
      </c>
      <c r="CK137" s="73" t="str">
        <f t="shared" si="126"/>
        <v/>
      </c>
      <c r="CL137" s="47"/>
      <c r="CM137" s="19" t="str">
        <f t="shared" si="173"/>
        <v/>
      </c>
      <c r="CN137" s="47" t="s">
        <v>0</v>
      </c>
      <c r="CO137" s="143" t="str">
        <f t="shared" si="174"/>
        <v>OK Kapela</v>
      </c>
      <c r="CP137" s="47" t="s">
        <v>0</v>
      </c>
      <c r="CQ137" s="58" t="str">
        <f t="shared" si="190"/>
        <v>56:25</v>
      </c>
      <c r="CR137" s="73" t="str">
        <f t="shared" si="191"/>
        <v>0</v>
      </c>
      <c r="CS137" s="229" t="str">
        <f t="shared" si="127"/>
        <v/>
      </c>
      <c r="CT137" s="230">
        <f t="shared" si="192"/>
        <v>3385</v>
      </c>
      <c r="CU137" s="163">
        <f t="shared" si="128"/>
        <v>1</v>
      </c>
      <c r="CV137" s="47" t="s">
        <v>0</v>
      </c>
      <c r="CW137" s="222" t="str">
        <f t="shared" si="175"/>
        <v xml:space="preserve">
</v>
      </c>
      <c r="CX137" s="223">
        <f t="shared" si="176"/>
        <v>6</v>
      </c>
      <c r="CY137" s="47" t="s">
        <v>0</v>
      </c>
      <c r="CZ137" s="47"/>
      <c r="DA137" s="47"/>
      <c r="DB137" s="47"/>
      <c r="DC137" s="47" t="s">
        <v>0</v>
      </c>
      <c r="DD137" s="53" t="str">
        <f t="shared" si="184"/>
        <v/>
      </c>
      <c r="DE137" t="s">
        <v>0</v>
      </c>
      <c r="DF137" s="128" t="str">
        <f t="shared" si="185"/>
        <v>M</v>
      </c>
      <c r="DG137" t="s">
        <v>0</v>
      </c>
      <c r="DH137" s="52" t="str">
        <f t="shared" si="186"/>
        <v/>
      </c>
      <c r="DI137" s="66" t="str">
        <f t="shared" si="187"/>
        <v/>
      </c>
      <c r="DJ137" t="s">
        <v>0</v>
      </c>
      <c r="DK137" s="19" t="str">
        <f t="shared" si="188"/>
        <v/>
      </c>
      <c r="DL137" s="47" t="s">
        <v>0</v>
      </c>
      <c r="DM137" s="19" t="str">
        <f t="shared" si="189"/>
        <v/>
      </c>
      <c r="DN137" s="47" t="s">
        <v>0</v>
      </c>
      <c r="DO137" s="52" t="str">
        <f t="shared" si="129"/>
        <v>Damir – Hercigonja – OK Kapela – M45</v>
      </c>
      <c r="DP137" s="53">
        <f t="shared" si="130"/>
        <v>250</v>
      </c>
      <c r="DQ137" s="47" t="s">
        <v>0</v>
      </c>
      <c r="DR137" s="52" t="str">
        <f t="shared" si="131"/>
        <v>Damir – Hercigonja – OK Kapela</v>
      </c>
      <c r="DS137" s="53">
        <f t="shared" si="132"/>
        <v>250</v>
      </c>
      <c r="DT137" s="47" t="s">
        <v>0</v>
      </c>
      <c r="DU137" s="52" t="str">
        <f t="shared" si="133"/>
        <v>Damir – Hercigonja</v>
      </c>
      <c r="DV137" s="53">
        <f t="shared" si="134"/>
        <v>250</v>
      </c>
      <c r="DW137" s="47" t="s">
        <v>0</v>
      </c>
      <c r="DX137" s="58">
        <f t="shared" si="177"/>
        <v>250</v>
      </c>
      <c r="DY137" s="53" cm="1">
        <f t="array" ref="DY137">IF(DX137&lt;&gt;"",INDEX(regNatjecatelj_id,DX137,0),IF(BD137&lt;&gt;"",BD137,""))</f>
        <v>1554</v>
      </c>
      <c r="DZ137" s="47" t="s">
        <v>0</v>
      </c>
      <c r="EA137" s="58" t="str">
        <f t="shared" si="135"/>
        <v>imepre</v>
      </c>
      <c r="EB137" s="73" t="str">
        <f t="shared" si="136"/>
        <v>klu</v>
      </c>
      <c r="EC137" s="73" t="str">
        <f t="shared" si="137"/>
        <v>kat</v>
      </c>
      <c r="ED137" s="73" t="str">
        <f t="shared" si="138"/>
        <v/>
      </c>
      <c r="EE137" s="66" t="str">
        <f t="shared" si="139"/>
        <v>imepre-klu-kat</v>
      </c>
      <c r="EF137" s="47" t="s">
        <v>0</v>
      </c>
      <c r="EG137" s="58">
        <f>IF(AL137="","",MAX(EG$12:EG136)+1)</f>
        <v>304</v>
      </c>
      <c r="EH137" s="73">
        <f t="shared" si="140"/>
        <v>30</v>
      </c>
      <c r="EI137" s="73">
        <f t="shared" si="178"/>
        <v>1554</v>
      </c>
      <c r="EJ137" s="73">
        <f t="shared" si="141"/>
        <v>3385</v>
      </c>
      <c r="EK137" s="73">
        <f t="shared" si="142"/>
        <v>1</v>
      </c>
      <c r="EL137" s="73">
        <f t="shared" si="179"/>
        <v>1</v>
      </c>
      <c r="EM137" s="73">
        <f t="shared" si="180"/>
        <v>1</v>
      </c>
      <c r="EN137" s="73" t="str">
        <f t="shared" si="143"/>
        <v>0</v>
      </c>
      <c r="EO137" s="73" t="str">
        <f t="shared" si="144"/>
        <v/>
      </c>
      <c r="EP137" s="73" t="str">
        <f t="shared" si="145"/>
        <v/>
      </c>
      <c r="EQ137" s="53" t="str">
        <f t="shared" si="146"/>
        <v/>
      </c>
      <c r="ER137" s="47" t="s">
        <v>0</v>
      </c>
      <c r="ES137" s="19" t="str">
        <f t="shared" si="181"/>
        <v>INSERT INTO rezultat(id,stazakategorija_id,imeprezime_id,vrijeme_sec,status_id,registracija,uparivanje_id,originalstatus_id,imeprezimealias_id,klubalias_id,kategorijaalias_id) VALUES (304,30,1554,3385,1,1,1,0,Null,Null,Null);</v>
      </c>
      <c r="ET137" s="47" t="s">
        <v>0</v>
      </c>
      <c r="EU137" s="19" t="str">
        <f t="shared" si="182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7" s="47" t="s">
        <v>0</v>
      </c>
      <c r="EW137" s="180" t="str">
        <f t="shared" si="147"/>
        <v xml:space="preserve">
INSERT INTO rezultat(id,stazakategorija_id,imeprezime_id,vrijeme_sec,status_id,registracija,uparivanje_id,originalstatus_id,imeprezimealias_id,klubalias_id,kategorijaalias_id) VALUES (304,30,1554,3385,1,1,1,0,Null,Null,Null);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7" s="47" t="s">
        <v>0</v>
      </c>
    </row>
    <row r="138" spans="1:154" x14ac:dyDescent="0.25">
      <c r="A138" t="s">
        <v>0</v>
      </c>
      <c r="B138" s="52" t="str">
        <f>IF(csv!F128="","",csv!T128)</f>
        <v>M45</v>
      </c>
      <c r="C138" s="31" t="s">
        <v>0</v>
      </c>
      <c r="D138" s="31" t="str">
        <f>IF(csv!F128="","",csv!F128)</f>
        <v>Zdenko</v>
      </c>
      <c r="E138" s="31" t="str">
        <f>IF(csv!E128="","",csv!E128)</f>
        <v>Horjan</v>
      </c>
      <c r="F138" s="31" t="s">
        <v>0</v>
      </c>
      <c r="G138" s="73" t="str">
        <f>IF(csv!M128="","",csv!M128)</f>
        <v>58:21</v>
      </c>
      <c r="H138" s="73" t="str">
        <f>IF(csv!N128="","",csv!N128)</f>
        <v>0</v>
      </c>
      <c r="I138" s="31" t="s">
        <v>0</v>
      </c>
      <c r="J138" s="31" t="str">
        <f>IF(csv!P128="","",csv!P128)</f>
        <v>Vihor</v>
      </c>
      <c r="K138" s="31" t="str">
        <f>IF(csv!Q128="","",csv!Q128)</f>
        <v>OK Vihor</v>
      </c>
      <c r="L138" s="31" t="s">
        <v>0</v>
      </c>
      <c r="M138" s="66" t="str">
        <f>IF(csv!R128="","",csv!R128)</f>
        <v>CRO</v>
      </c>
      <c r="N138" s="47" t="s">
        <v>0</v>
      </c>
      <c r="O138" s="246" t="str">
        <f t="shared" si="148"/>
        <v>ok</v>
      </c>
      <c r="P138" s="47"/>
      <c r="Q138" s="52" t="str">
        <f t="shared" si="149"/>
        <v>M45</v>
      </c>
      <c r="R138" s="73">
        <f>IF(Q138="","",IF(COUNTIF(Q$12:Q137,Q138)=0,R137+1,R137))</f>
        <v>8</v>
      </c>
      <c r="S138" s="73">
        <f t="shared" si="150"/>
        <v>106</v>
      </c>
      <c r="T138" s="73">
        <f t="shared" si="113"/>
        <v>17</v>
      </c>
      <c r="U138" s="66" t="str">
        <f t="shared" si="114"/>
        <v>M45</v>
      </c>
      <c r="V138" s="47" t="s">
        <v>0</v>
      </c>
      <c r="W138" s="222" t="str">
        <f t="shared" si="115"/>
        <v>M45</v>
      </c>
      <c r="X138" s="223">
        <f t="shared" si="116"/>
        <v>30</v>
      </c>
      <c r="Y138" s="47" t="s">
        <v>0</v>
      </c>
      <c r="Z138" s="52" t="str">
        <f t="shared" si="151"/>
        <v>CRO</v>
      </c>
      <c r="AA138" s="73">
        <f t="shared" si="117"/>
        <v>1</v>
      </c>
      <c r="AB138" s="31" t="str">
        <f t="shared" si="152"/>
        <v/>
      </c>
      <c r="AC138" s="66" t="str">
        <f>IF(AB138="","",MAX(AC$12:AC137)+1)</f>
        <v/>
      </c>
      <c r="AD138" s="47" t="s">
        <v>0</v>
      </c>
      <c r="AE138" s="125"/>
      <c r="AF138" s="47" t="s">
        <v>0</v>
      </c>
      <c r="AG138" s="19" t="str">
        <f t="shared" si="153"/>
        <v/>
      </c>
      <c r="AH138" s="47" t="s">
        <v>0</v>
      </c>
      <c r="AI138" s="143" t="str">
        <f t="shared" si="154"/>
        <v>CRO</v>
      </c>
      <c r="AJ138" s="47"/>
      <c r="AK138" s="52" t="str">
        <f t="shared" si="155"/>
        <v>Zdenko</v>
      </c>
      <c r="AL138" s="31" t="str">
        <f t="shared" si="156"/>
        <v>Horjan</v>
      </c>
      <c r="AM138" s="73">
        <f t="shared" si="157"/>
        <v>1480</v>
      </c>
      <c r="AN138" s="73" t="str">
        <f t="shared" si="158"/>
        <v/>
      </c>
      <c r="AO138" s="31" t="str">
        <f t="shared" si="118"/>
        <v>Zdenko</v>
      </c>
      <c r="AP138" s="66" t="str">
        <f t="shared" si="119"/>
        <v>Horjan</v>
      </c>
      <c r="AQ138" s="47" t="s">
        <v>0</v>
      </c>
      <c r="AR138" s="82" t="str">
        <f t="shared" si="159"/>
        <v/>
      </c>
      <c r="AS138" s="47" t="s">
        <v>0</v>
      </c>
      <c r="AT138" s="19" t="str">
        <f t="shared" si="160"/>
        <v/>
      </c>
      <c r="AU138" s="47" t="s">
        <v>0</v>
      </c>
      <c r="AV138" s="103"/>
      <c r="AW138" s="105"/>
      <c r="AX138" s="47" t="s">
        <v>0</v>
      </c>
      <c r="AY138" s="259" t="str">
        <f t="shared" si="183"/>
        <v/>
      </c>
      <c r="AZ138" s="47" t="s">
        <v>0</v>
      </c>
      <c r="BA138" s="52" t="str">
        <f t="shared" si="120"/>
        <v/>
      </c>
      <c r="BB138" s="73" t="str">
        <f>IF(AV138&amp;AW138="","",MAX(BB$12:BB137)+1)</f>
        <v/>
      </c>
      <c r="BC138" s="272" t="str">
        <f t="shared" si="121"/>
        <v/>
      </c>
      <c r="BD138" s="53" t="str">
        <f>IF(AND(AM138="NEMA",AN138="NEMA",OR(AV138&amp;AW138="",BC138="NEMA")),MAX(BD$12:BD137)+1,"")</f>
        <v/>
      </c>
      <c r="BE138" s="47" t="s">
        <v>0</v>
      </c>
      <c r="BF138" s="52" t="str">
        <f t="shared" si="161"/>
        <v>Zdenko</v>
      </c>
      <c r="BG138" s="66" t="str">
        <f t="shared" si="162"/>
        <v>Horjan</v>
      </c>
      <c r="BH138" s="47" t="s">
        <v>0</v>
      </c>
      <c r="BI138" s="52" t="str">
        <f t="shared" si="122"/>
        <v>Vihor</v>
      </c>
      <c r="BJ138" s="31" t="str">
        <f t="shared" si="123"/>
        <v>OK Vihor</v>
      </c>
      <c r="BK138" s="73" t="str">
        <f t="shared" si="124"/>
        <v/>
      </c>
      <c r="BL138" s="31" t="str" cm="1">
        <f t="array" ref="BL138">IF(BK138="",""&amp;BJ138,IF(BK138="NEMA",BJ138,INDEX(regKlub_naziv,MATCH(INDEX(regKlub_alias_klubId,BK138),regKlub_id,0))))</f>
        <v>OK Vihor</v>
      </c>
      <c r="BM138" s="31" t="str" cm="1">
        <f t="array" ref="BM138">IFERROR(""&amp;INDEX(regNatjecatelj_klub,DV138),"")</f>
        <v>OK Vihor</v>
      </c>
      <c r="BN138" s="73" t="str">
        <f t="shared" si="163"/>
        <v/>
      </c>
      <c r="BO138" s="66" t="str">
        <f t="shared" si="164"/>
        <v>OK Vihor</v>
      </c>
      <c r="BP138" s="47" t="s">
        <v>0</v>
      </c>
      <c r="BQ138" s="52" t="str">
        <f>IF(X138&lt;&gt;"NEMA","",IF(IFERROR(MATCH(W138,W$12:W137,0),0)&lt;&gt;0,"",W138))</f>
        <v/>
      </c>
      <c r="BR138" s="73" t="str">
        <f t="shared" si="165"/>
        <v/>
      </c>
      <c r="BS138" s="31" t="str">
        <f>IF(OR(BR138="",BR138&lt;&gt;"NEMA"),"",MAX(BS$12:BS137)+1)</f>
        <v/>
      </c>
      <c r="BT138" s="66" t="str">
        <f t="shared" si="166"/>
        <v/>
      </c>
      <c r="BU138" s="47" t="s">
        <v>0</v>
      </c>
      <c r="BV138" s="19" t="str">
        <f t="shared" si="167"/>
        <v/>
      </c>
      <c r="BW138" s="47" t="s">
        <v>0</v>
      </c>
      <c r="BX138" s="82" t="str">
        <f>IF(BK138&lt;&gt;"NEMA","",IF(IFERROR(MATCH(BJ138,BJ$12:BJ137,0),0)&lt;&gt;0,"",BJ138))</f>
        <v/>
      </c>
      <c r="BY138" s="47" t="s">
        <v>0</v>
      </c>
      <c r="BZ138" s="125"/>
      <c r="CA138" s="47" t="s">
        <v>0</v>
      </c>
      <c r="CB138" s="58" t="str">
        <f t="shared" si="168"/>
        <v/>
      </c>
      <c r="CC138" s="31" t="str">
        <f t="shared" si="169"/>
        <v/>
      </c>
      <c r="CD138" s="31" t="str">
        <f>IF(CC138="","",MAX(CD$12:CD137)+1)</f>
        <v/>
      </c>
      <c r="CE138" s="31" t="str">
        <f t="shared" si="125"/>
        <v/>
      </c>
      <c r="CF138" s="31" t="str">
        <f t="shared" si="170"/>
        <v/>
      </c>
      <c r="CG138" s="31" t="str">
        <f>IF(BZ138="","",MAX(CG$12:CG137)+1)</f>
        <v/>
      </c>
      <c r="CH138" s="31" t="str">
        <f t="shared" si="171"/>
        <v/>
      </c>
      <c r="CI138" s="66" t="str">
        <f t="shared" si="172"/>
        <v/>
      </c>
      <c r="CJ138" s="47" t="s">
        <v>0</v>
      </c>
      <c r="CK138" s="73" t="str">
        <f t="shared" si="126"/>
        <v/>
      </c>
      <c r="CL138" s="47"/>
      <c r="CM138" s="19" t="str">
        <f t="shared" si="173"/>
        <v/>
      </c>
      <c r="CN138" s="47" t="s">
        <v>0</v>
      </c>
      <c r="CO138" s="143" t="str">
        <f t="shared" si="174"/>
        <v>OK Vihor</v>
      </c>
      <c r="CP138" s="47" t="s">
        <v>0</v>
      </c>
      <c r="CQ138" s="58" t="str">
        <f t="shared" si="190"/>
        <v>58:21</v>
      </c>
      <c r="CR138" s="73" t="str">
        <f t="shared" si="191"/>
        <v>0</v>
      </c>
      <c r="CS138" s="229" t="str">
        <f t="shared" si="127"/>
        <v/>
      </c>
      <c r="CT138" s="230">
        <f t="shared" si="192"/>
        <v>3501</v>
      </c>
      <c r="CU138" s="163">
        <f t="shared" si="128"/>
        <v>1</v>
      </c>
      <c r="CV138" s="47" t="s">
        <v>0</v>
      </c>
      <c r="CW138" s="222" t="str">
        <f t="shared" si="175"/>
        <v xml:space="preserve">
</v>
      </c>
      <c r="CX138" s="223">
        <f t="shared" si="176"/>
        <v>6</v>
      </c>
      <c r="CY138" s="47" t="s">
        <v>0</v>
      </c>
      <c r="CZ138" s="47"/>
      <c r="DA138" s="47"/>
      <c r="DB138" s="47"/>
      <c r="DC138" s="47" t="s">
        <v>0</v>
      </c>
      <c r="DD138" s="53" t="str">
        <f t="shared" si="184"/>
        <v/>
      </c>
      <c r="DE138" t="s">
        <v>0</v>
      </c>
      <c r="DF138" s="128" t="str">
        <f t="shared" si="185"/>
        <v>M</v>
      </c>
      <c r="DG138" t="s">
        <v>0</v>
      </c>
      <c r="DH138" s="52" t="str">
        <f t="shared" si="186"/>
        <v/>
      </c>
      <c r="DI138" s="66" t="str">
        <f t="shared" si="187"/>
        <v/>
      </c>
      <c r="DJ138" t="s">
        <v>0</v>
      </c>
      <c r="DK138" s="19" t="str">
        <f t="shared" si="188"/>
        <v/>
      </c>
      <c r="DL138" s="47" t="s">
        <v>0</v>
      </c>
      <c r="DM138" s="19" t="str">
        <f t="shared" si="189"/>
        <v/>
      </c>
      <c r="DN138" s="47" t="s">
        <v>0</v>
      </c>
      <c r="DO138" s="52" t="str">
        <f t="shared" si="129"/>
        <v>Zdenko – Horjan – OK Vihor – M45</v>
      </c>
      <c r="DP138" s="53">
        <f t="shared" si="130"/>
        <v>700</v>
      </c>
      <c r="DQ138" s="47" t="s">
        <v>0</v>
      </c>
      <c r="DR138" s="52" t="str">
        <f t="shared" si="131"/>
        <v>Zdenko – Horjan – OK Vihor</v>
      </c>
      <c r="DS138" s="53">
        <f t="shared" si="132"/>
        <v>700</v>
      </c>
      <c r="DT138" s="47" t="s">
        <v>0</v>
      </c>
      <c r="DU138" s="52" t="str">
        <f t="shared" si="133"/>
        <v>Zdenko – Horjan</v>
      </c>
      <c r="DV138" s="53">
        <f t="shared" si="134"/>
        <v>700</v>
      </c>
      <c r="DW138" s="47" t="s">
        <v>0</v>
      </c>
      <c r="DX138" s="58">
        <f t="shared" si="177"/>
        <v>700</v>
      </c>
      <c r="DY138" s="53" cm="1">
        <f t="array" ref="DY138">IF(DX138&lt;&gt;"",INDEX(regNatjecatelj_id,DX138,0),IF(BD138&lt;&gt;"",BD138,""))</f>
        <v>1480</v>
      </c>
      <c r="DZ138" s="47" t="s">
        <v>0</v>
      </c>
      <c r="EA138" s="58" t="str">
        <f t="shared" si="135"/>
        <v>imepre</v>
      </c>
      <c r="EB138" s="73" t="str">
        <f t="shared" si="136"/>
        <v>klu</v>
      </c>
      <c r="EC138" s="73" t="str">
        <f t="shared" si="137"/>
        <v>kat</v>
      </c>
      <c r="ED138" s="73" t="str">
        <f t="shared" si="138"/>
        <v/>
      </c>
      <c r="EE138" s="66" t="str">
        <f t="shared" si="139"/>
        <v>imepre-klu-kat</v>
      </c>
      <c r="EF138" s="47" t="s">
        <v>0</v>
      </c>
      <c r="EG138" s="58">
        <f>IF(AL138="","",MAX(EG$12:EG137)+1)</f>
        <v>305</v>
      </c>
      <c r="EH138" s="73">
        <f t="shared" si="140"/>
        <v>30</v>
      </c>
      <c r="EI138" s="73">
        <f t="shared" si="178"/>
        <v>1480</v>
      </c>
      <c r="EJ138" s="73">
        <f t="shared" si="141"/>
        <v>3501</v>
      </c>
      <c r="EK138" s="73">
        <f t="shared" si="142"/>
        <v>1</v>
      </c>
      <c r="EL138" s="73">
        <f t="shared" si="179"/>
        <v>1</v>
      </c>
      <c r="EM138" s="73">
        <f t="shared" si="180"/>
        <v>1</v>
      </c>
      <c r="EN138" s="73" t="str">
        <f t="shared" si="143"/>
        <v>0</v>
      </c>
      <c r="EO138" s="73" t="str">
        <f t="shared" si="144"/>
        <v/>
      </c>
      <c r="EP138" s="73" t="str">
        <f t="shared" si="145"/>
        <v/>
      </c>
      <c r="EQ138" s="53" t="str">
        <f t="shared" si="146"/>
        <v/>
      </c>
      <c r="ER138" s="47" t="s">
        <v>0</v>
      </c>
      <c r="ES138" s="19" t="str">
        <f t="shared" si="181"/>
        <v>INSERT INTO rezultat(id,stazakategorija_id,imeprezime_id,vrijeme_sec,status_id,registracija,uparivanje_id,originalstatus_id,imeprezimealias_id,klubalias_id,kategorijaalias_id) VALUES (305,30,1480,3501,1,1,1,0,Null,Null,Null);</v>
      </c>
      <c r="ET138" s="47" t="s">
        <v>0</v>
      </c>
      <c r="EU138" s="19" t="str">
        <f t="shared" si="182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8" s="47" t="s">
        <v>0</v>
      </c>
      <c r="EW138" s="180" t="str">
        <f t="shared" si="147"/>
        <v xml:space="preserve">
INSERT INTO rezultat(id,stazakategorija_id,imeprezime_id,vrijeme_sec,status_id,registracija,uparivanje_id,originalstatus_id,imeprezimealias_id,klubalias_id,kategorijaalias_id) VALUES (305,30,1480,3501,1,1,1,0,Null,Null,Null);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8" s="47" t="s">
        <v>0</v>
      </c>
    </row>
    <row r="139" spans="1:154" x14ac:dyDescent="0.25">
      <c r="A139" t="s">
        <v>0</v>
      </c>
      <c r="B139" s="52" t="str">
        <f>IF(csv!F129="","",csv!T129)</f>
        <v>M45</v>
      </c>
      <c r="C139" s="31" t="s">
        <v>0</v>
      </c>
      <c r="D139" s="31" t="str">
        <f>IF(csv!F129="","",csv!F129)</f>
        <v>Ivo</v>
      </c>
      <c r="E139" s="31" t="str">
        <f>IF(csv!E129="","",csv!E129)</f>
        <v>Tišljar</v>
      </c>
      <c r="F139" s="31" t="s">
        <v>0</v>
      </c>
      <c r="G139" s="73" t="str">
        <f>IF(csv!M129="","",csv!M129)</f>
        <v>61:06</v>
      </c>
      <c r="H139" s="73" t="str">
        <f>IF(csv!N129="","",csv!N129)</f>
        <v>0</v>
      </c>
      <c r="I139" s="31" t="s">
        <v>0</v>
      </c>
      <c r="J139" s="31" t="str">
        <f>IF(csv!P129="","",csv!P129)</f>
        <v>ORI</v>
      </c>
      <c r="K139" s="31" t="str">
        <f>IF(csv!Q129="","",csv!Q129)</f>
        <v>OK Orion</v>
      </c>
      <c r="L139" s="31" t="s">
        <v>0</v>
      </c>
      <c r="M139" s="66" t="str">
        <f>IF(csv!R129="","",csv!R129)</f>
        <v>CRO</v>
      </c>
      <c r="N139" s="47" t="s">
        <v>0</v>
      </c>
      <c r="O139" s="246" t="str">
        <f t="shared" si="148"/>
        <v>ok</v>
      </c>
      <c r="P139" s="47"/>
      <c r="Q139" s="52" t="str">
        <f t="shared" si="149"/>
        <v>M45</v>
      </c>
      <c r="R139" s="73">
        <f>IF(Q139="","",IF(COUNTIF(Q$12:Q138,Q139)=0,R138+1,R138))</f>
        <v>8</v>
      </c>
      <c r="S139" s="73">
        <f t="shared" si="150"/>
        <v>106</v>
      </c>
      <c r="T139" s="73">
        <f t="shared" si="113"/>
        <v>17</v>
      </c>
      <c r="U139" s="66" t="str">
        <f t="shared" si="114"/>
        <v>M45</v>
      </c>
      <c r="V139" s="47" t="s">
        <v>0</v>
      </c>
      <c r="W139" s="222" t="str">
        <f t="shared" si="115"/>
        <v>M45</v>
      </c>
      <c r="X139" s="223">
        <f t="shared" si="116"/>
        <v>30</v>
      </c>
      <c r="Y139" s="47" t="s">
        <v>0</v>
      </c>
      <c r="Z139" s="52" t="str">
        <f t="shared" si="151"/>
        <v>CRO</v>
      </c>
      <c r="AA139" s="73">
        <f t="shared" si="117"/>
        <v>1</v>
      </c>
      <c r="AB139" s="31" t="str">
        <f t="shared" si="152"/>
        <v/>
      </c>
      <c r="AC139" s="66" t="str">
        <f>IF(AB139="","",MAX(AC$12:AC138)+1)</f>
        <v/>
      </c>
      <c r="AD139" s="47" t="s">
        <v>0</v>
      </c>
      <c r="AE139" s="125"/>
      <c r="AF139" s="47" t="s">
        <v>0</v>
      </c>
      <c r="AG139" s="19" t="str">
        <f t="shared" si="153"/>
        <v/>
      </c>
      <c r="AH139" s="47" t="s">
        <v>0</v>
      </c>
      <c r="AI139" s="143" t="str">
        <f t="shared" si="154"/>
        <v>CRO</v>
      </c>
      <c r="AJ139" s="47"/>
      <c r="AK139" s="52" t="str">
        <f t="shared" si="155"/>
        <v>Ivo</v>
      </c>
      <c r="AL139" s="31" t="str">
        <f t="shared" si="156"/>
        <v>Tišljar</v>
      </c>
      <c r="AM139" s="73">
        <f t="shared" si="157"/>
        <v>1249</v>
      </c>
      <c r="AN139" s="73" t="str">
        <f t="shared" si="158"/>
        <v/>
      </c>
      <c r="AO139" s="31" t="str">
        <f t="shared" si="118"/>
        <v>Ivo</v>
      </c>
      <c r="AP139" s="66" t="str">
        <f t="shared" si="119"/>
        <v>Tišljar</v>
      </c>
      <c r="AQ139" s="47" t="s">
        <v>0</v>
      </c>
      <c r="AR139" s="82" t="str">
        <f t="shared" si="159"/>
        <v/>
      </c>
      <c r="AS139" s="47" t="s">
        <v>0</v>
      </c>
      <c r="AT139" s="19" t="str">
        <f t="shared" si="160"/>
        <v/>
      </c>
      <c r="AU139" s="47" t="s">
        <v>0</v>
      </c>
      <c r="AV139" s="103"/>
      <c r="AW139" s="105"/>
      <c r="AX139" s="47" t="s">
        <v>0</v>
      </c>
      <c r="AY139" s="259" t="str">
        <f t="shared" si="183"/>
        <v/>
      </c>
      <c r="AZ139" s="47" t="s">
        <v>0</v>
      </c>
      <c r="BA139" s="52" t="str">
        <f t="shared" si="120"/>
        <v/>
      </c>
      <c r="BB139" s="73" t="str">
        <f>IF(AV139&amp;AW139="","",MAX(BB$12:BB138)+1)</f>
        <v/>
      </c>
      <c r="BC139" s="272" t="str">
        <f t="shared" si="121"/>
        <v/>
      </c>
      <c r="BD139" s="53" t="str">
        <f>IF(AND(AM139="NEMA",AN139="NEMA",OR(AV139&amp;AW139="",BC139="NEMA")),MAX(BD$12:BD138)+1,"")</f>
        <v/>
      </c>
      <c r="BE139" s="47" t="s">
        <v>0</v>
      </c>
      <c r="BF139" s="52" t="str">
        <f t="shared" si="161"/>
        <v>Ivo</v>
      </c>
      <c r="BG139" s="66" t="str">
        <f t="shared" si="162"/>
        <v>Tišljar</v>
      </c>
      <c r="BH139" s="47" t="s">
        <v>0</v>
      </c>
      <c r="BI139" s="52" t="str">
        <f t="shared" si="122"/>
        <v>ORI</v>
      </c>
      <c r="BJ139" s="31" t="str">
        <f t="shared" si="123"/>
        <v>OK Orion</v>
      </c>
      <c r="BK139" s="73" t="str">
        <f t="shared" si="124"/>
        <v/>
      </c>
      <c r="BL139" s="31" t="str" cm="1">
        <f t="array" ref="BL139">IF(BK139="",""&amp;BJ139,IF(BK139="NEMA",BJ139,INDEX(regKlub_naziv,MATCH(INDEX(regKlub_alias_klubId,BK139),regKlub_id,0))))</f>
        <v>OK Orion</v>
      </c>
      <c r="BM139" s="31" t="str" cm="1">
        <f t="array" ref="BM139">IFERROR(""&amp;INDEX(regNatjecatelj_klub,DV139),"")</f>
        <v>OK Orion</v>
      </c>
      <c r="BN139" s="73" t="str">
        <f t="shared" si="163"/>
        <v/>
      </c>
      <c r="BO139" s="66" t="str">
        <f t="shared" si="164"/>
        <v>OK Orion</v>
      </c>
      <c r="BP139" s="47" t="s">
        <v>0</v>
      </c>
      <c r="BQ139" s="52" t="str">
        <f>IF(X139&lt;&gt;"NEMA","",IF(IFERROR(MATCH(W139,W$12:W138,0),0)&lt;&gt;0,"",W139))</f>
        <v/>
      </c>
      <c r="BR139" s="73" t="str">
        <f t="shared" si="165"/>
        <v/>
      </c>
      <c r="BS139" s="31" t="str">
        <f>IF(OR(BR139="",BR139&lt;&gt;"NEMA"),"",MAX(BS$12:BS138)+1)</f>
        <v/>
      </c>
      <c r="BT139" s="66" t="str">
        <f t="shared" si="166"/>
        <v/>
      </c>
      <c r="BU139" s="47" t="s">
        <v>0</v>
      </c>
      <c r="BV139" s="19" t="str">
        <f t="shared" si="167"/>
        <v/>
      </c>
      <c r="BW139" s="47" t="s">
        <v>0</v>
      </c>
      <c r="BX139" s="82" t="str">
        <f>IF(BK139&lt;&gt;"NEMA","",IF(IFERROR(MATCH(BJ139,BJ$12:BJ138,0),0)&lt;&gt;0,"",BJ139))</f>
        <v/>
      </c>
      <c r="BY139" s="47" t="s">
        <v>0</v>
      </c>
      <c r="BZ139" s="125"/>
      <c r="CA139" s="47" t="s">
        <v>0</v>
      </c>
      <c r="CB139" s="58" t="str">
        <f t="shared" si="168"/>
        <v/>
      </c>
      <c r="CC139" s="31" t="str">
        <f t="shared" si="169"/>
        <v/>
      </c>
      <c r="CD139" s="31" t="str">
        <f>IF(CC139="","",MAX(CD$12:CD138)+1)</f>
        <v/>
      </c>
      <c r="CE139" s="31" t="str">
        <f t="shared" si="125"/>
        <v/>
      </c>
      <c r="CF139" s="31" t="str">
        <f t="shared" si="170"/>
        <v/>
      </c>
      <c r="CG139" s="31" t="str">
        <f>IF(BZ139="","",MAX(CG$12:CG138)+1)</f>
        <v/>
      </c>
      <c r="CH139" s="31" t="str">
        <f t="shared" si="171"/>
        <v/>
      </c>
      <c r="CI139" s="66" t="str">
        <f t="shared" si="172"/>
        <v/>
      </c>
      <c r="CJ139" s="47" t="s">
        <v>0</v>
      </c>
      <c r="CK139" s="73" t="str">
        <f t="shared" si="126"/>
        <v/>
      </c>
      <c r="CL139" s="47"/>
      <c r="CM139" s="19" t="str">
        <f t="shared" si="173"/>
        <v/>
      </c>
      <c r="CN139" s="47" t="s">
        <v>0</v>
      </c>
      <c r="CO139" s="143" t="str">
        <f t="shared" si="174"/>
        <v>OK Orion</v>
      </c>
      <c r="CP139" s="47" t="s">
        <v>0</v>
      </c>
      <c r="CQ139" s="58" t="str">
        <f t="shared" si="190"/>
        <v>61:06</v>
      </c>
      <c r="CR139" s="73" t="str">
        <f t="shared" si="191"/>
        <v>0</v>
      </c>
      <c r="CS139" s="229" t="str">
        <f t="shared" si="127"/>
        <v/>
      </c>
      <c r="CT139" s="230">
        <f t="shared" si="192"/>
        <v>3666</v>
      </c>
      <c r="CU139" s="163">
        <f t="shared" si="128"/>
        <v>1</v>
      </c>
      <c r="CV139" s="47" t="s">
        <v>0</v>
      </c>
      <c r="CW139" s="222" t="str">
        <f t="shared" si="175"/>
        <v xml:space="preserve">
</v>
      </c>
      <c r="CX139" s="223">
        <f t="shared" si="176"/>
        <v>6</v>
      </c>
      <c r="CY139" s="47" t="s">
        <v>0</v>
      </c>
      <c r="CZ139" s="47"/>
      <c r="DA139" s="47"/>
      <c r="DB139" s="47"/>
      <c r="DC139" s="47" t="s">
        <v>0</v>
      </c>
      <c r="DD139" s="53" t="str">
        <f t="shared" si="184"/>
        <v/>
      </c>
      <c r="DE139" t="s">
        <v>0</v>
      </c>
      <c r="DF139" s="128" t="str">
        <f t="shared" si="185"/>
        <v>M</v>
      </c>
      <c r="DG139" t="s">
        <v>0</v>
      </c>
      <c r="DH139" s="52" t="str">
        <f t="shared" si="186"/>
        <v/>
      </c>
      <c r="DI139" s="66" t="str">
        <f t="shared" si="187"/>
        <v/>
      </c>
      <c r="DJ139" t="s">
        <v>0</v>
      </c>
      <c r="DK139" s="19" t="str">
        <f t="shared" si="188"/>
        <v/>
      </c>
      <c r="DL139" s="47" t="s">
        <v>0</v>
      </c>
      <c r="DM139" s="19" t="str">
        <f t="shared" si="189"/>
        <v/>
      </c>
      <c r="DN139" s="47" t="s">
        <v>0</v>
      </c>
      <c r="DO139" s="52" t="str">
        <f t="shared" si="129"/>
        <v>Ivo – Tišljar – OK Orion – M45</v>
      </c>
      <c r="DP139" s="53">
        <f t="shared" si="130"/>
        <v>445</v>
      </c>
      <c r="DQ139" s="47" t="s">
        <v>0</v>
      </c>
      <c r="DR139" s="52" t="str">
        <f t="shared" si="131"/>
        <v>Ivo – Tišljar – OK Orion</v>
      </c>
      <c r="DS139" s="53">
        <f t="shared" si="132"/>
        <v>445</v>
      </c>
      <c r="DT139" s="47" t="s">
        <v>0</v>
      </c>
      <c r="DU139" s="52" t="str">
        <f t="shared" si="133"/>
        <v>Ivo – Tišljar</v>
      </c>
      <c r="DV139" s="53">
        <f t="shared" si="134"/>
        <v>445</v>
      </c>
      <c r="DW139" s="47" t="s">
        <v>0</v>
      </c>
      <c r="DX139" s="58">
        <f t="shared" si="177"/>
        <v>445</v>
      </c>
      <c r="DY139" s="53" cm="1">
        <f t="array" ref="DY139">IF(DX139&lt;&gt;"",INDEX(regNatjecatelj_id,DX139,0),IF(BD139&lt;&gt;"",BD139,""))</f>
        <v>1249</v>
      </c>
      <c r="DZ139" s="47" t="s">
        <v>0</v>
      </c>
      <c r="EA139" s="58" t="str">
        <f t="shared" si="135"/>
        <v>imepre</v>
      </c>
      <c r="EB139" s="73" t="str">
        <f t="shared" si="136"/>
        <v>klu</v>
      </c>
      <c r="EC139" s="73" t="str">
        <f t="shared" si="137"/>
        <v>kat</v>
      </c>
      <c r="ED139" s="73" t="str">
        <f t="shared" si="138"/>
        <v/>
      </c>
      <c r="EE139" s="66" t="str">
        <f t="shared" si="139"/>
        <v>imepre-klu-kat</v>
      </c>
      <c r="EF139" s="47" t="s">
        <v>0</v>
      </c>
      <c r="EG139" s="58">
        <f>IF(AL139="","",MAX(EG$12:EG138)+1)</f>
        <v>306</v>
      </c>
      <c r="EH139" s="73">
        <f t="shared" si="140"/>
        <v>30</v>
      </c>
      <c r="EI139" s="73">
        <f t="shared" si="178"/>
        <v>1249</v>
      </c>
      <c r="EJ139" s="73">
        <f t="shared" si="141"/>
        <v>3666</v>
      </c>
      <c r="EK139" s="73">
        <f t="shared" si="142"/>
        <v>1</v>
      </c>
      <c r="EL139" s="73">
        <f t="shared" si="179"/>
        <v>1</v>
      </c>
      <c r="EM139" s="73">
        <f t="shared" si="180"/>
        <v>1</v>
      </c>
      <c r="EN139" s="73" t="str">
        <f t="shared" si="143"/>
        <v>0</v>
      </c>
      <c r="EO139" s="73" t="str">
        <f t="shared" si="144"/>
        <v/>
      </c>
      <c r="EP139" s="73" t="str">
        <f t="shared" si="145"/>
        <v/>
      </c>
      <c r="EQ139" s="53" t="str">
        <f t="shared" si="146"/>
        <v/>
      </c>
      <c r="ER139" s="47" t="s">
        <v>0</v>
      </c>
      <c r="ES139" s="19" t="str">
        <f t="shared" si="181"/>
        <v>INSERT INTO rezultat(id,stazakategorija_id,imeprezime_id,vrijeme_sec,status_id,registracija,uparivanje_id,originalstatus_id,imeprezimealias_id,klubalias_id,kategorijaalias_id) VALUES (306,30,1249,3666,1,1,1,0,Null,Null,Null);</v>
      </c>
      <c r="ET139" s="47" t="s">
        <v>0</v>
      </c>
      <c r="EU139" s="19" t="str">
        <f t="shared" si="182"/>
        <v>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9" s="47" t="s">
        <v>0</v>
      </c>
      <c r="EW139" s="180" t="str">
        <f t="shared" si="147"/>
        <v xml:space="preserve">
INSERT INTO rezultat(id,stazakategorija_id,imeprezime_id,vrijeme_sec,status_id,registracija,uparivanje_id,originalstatus_id,imeprezimealias_id,klubalias_id,kategorijaalias_id) VALUES (306,30,1249,3666,1,1,1,0,Null,Null,Null);
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9" s="47" t="s">
        <v>0</v>
      </c>
    </row>
    <row r="140" spans="1:154" x14ac:dyDescent="0.25">
      <c r="A140" t="s">
        <v>0</v>
      </c>
      <c r="B140" s="52" t="str">
        <f>IF(csv!F130="","",csv!T130)</f>
        <v>M45</v>
      </c>
      <c r="C140" s="31" t="s">
        <v>0</v>
      </c>
      <c r="D140" s="31" t="str">
        <f>IF(csv!F130="","",csv!F130)</f>
        <v>Ivan</v>
      </c>
      <c r="E140" s="31" t="str">
        <f>IF(csv!E130="","",csv!E130)</f>
        <v>Posinjak</v>
      </c>
      <c r="F140" s="31" t="s">
        <v>0</v>
      </c>
      <c r="G140" s="73" t="str">
        <f>IF(csv!M130="","",csv!M130)</f>
        <v>62:11</v>
      </c>
      <c r="H140" s="73" t="str">
        <f>IF(csv!N130="","",csv!N130)</f>
        <v>0</v>
      </c>
      <c r="I140" s="31" t="s">
        <v>0</v>
      </c>
      <c r="J140" s="31" t="str">
        <f>IF(csv!P130="","",csv!P130)</f>
        <v>KAP</v>
      </c>
      <c r="K140" s="31" t="str">
        <f>IF(csv!Q130="","",csv!Q130)</f>
        <v>OK Kapela</v>
      </c>
      <c r="L140" s="31" t="s">
        <v>0</v>
      </c>
      <c r="M140" s="66" t="str">
        <f>IF(csv!R130="","",csv!R130)</f>
        <v>CRO</v>
      </c>
      <c r="N140" s="47" t="s">
        <v>0</v>
      </c>
      <c r="O140" s="246" t="str">
        <f t="shared" si="148"/>
        <v>ok</v>
      </c>
      <c r="P140" s="47"/>
      <c r="Q140" s="52" t="str">
        <f t="shared" si="149"/>
        <v>M45</v>
      </c>
      <c r="R140" s="73">
        <f>IF(Q140="","",IF(COUNTIF(Q$12:Q139,Q140)=0,R139+1,R139))</f>
        <v>8</v>
      </c>
      <c r="S140" s="73">
        <f t="shared" si="150"/>
        <v>106</v>
      </c>
      <c r="T140" s="73">
        <f t="shared" si="113"/>
        <v>17</v>
      </c>
      <c r="U140" s="66" t="str">
        <f t="shared" si="114"/>
        <v>M45</v>
      </c>
      <c r="V140" s="47" t="s">
        <v>0</v>
      </c>
      <c r="W140" s="222" t="str">
        <f t="shared" si="115"/>
        <v>M45</v>
      </c>
      <c r="X140" s="223">
        <f t="shared" si="116"/>
        <v>30</v>
      </c>
      <c r="Y140" s="47" t="s">
        <v>0</v>
      </c>
      <c r="Z140" s="52" t="str">
        <f t="shared" si="151"/>
        <v>CRO</v>
      </c>
      <c r="AA140" s="73">
        <f t="shared" si="117"/>
        <v>1</v>
      </c>
      <c r="AB140" s="31" t="str">
        <f t="shared" si="152"/>
        <v/>
      </c>
      <c r="AC140" s="66" t="str">
        <f>IF(AB140="","",MAX(AC$12:AC139)+1)</f>
        <v/>
      </c>
      <c r="AD140" s="47" t="s">
        <v>0</v>
      </c>
      <c r="AE140" s="125"/>
      <c r="AF140" s="47" t="s">
        <v>0</v>
      </c>
      <c r="AG140" s="19" t="str">
        <f t="shared" si="153"/>
        <v/>
      </c>
      <c r="AH140" s="47" t="s">
        <v>0</v>
      </c>
      <c r="AI140" s="143" t="str">
        <f t="shared" si="154"/>
        <v>CRO</v>
      </c>
      <c r="AJ140" s="47"/>
      <c r="AK140" s="52" t="str">
        <f t="shared" si="155"/>
        <v>Ivan</v>
      </c>
      <c r="AL140" s="31" t="str">
        <f t="shared" si="156"/>
        <v>Posinjak</v>
      </c>
      <c r="AM140" s="73">
        <f t="shared" si="157"/>
        <v>1500</v>
      </c>
      <c r="AN140" s="73" t="str">
        <f t="shared" si="158"/>
        <v/>
      </c>
      <c r="AO140" s="31" t="str">
        <f t="shared" si="118"/>
        <v>Ivan</v>
      </c>
      <c r="AP140" s="66" t="str">
        <f t="shared" si="119"/>
        <v>Posinjak</v>
      </c>
      <c r="AQ140" s="47" t="s">
        <v>0</v>
      </c>
      <c r="AR140" s="82" t="str">
        <f t="shared" si="159"/>
        <v/>
      </c>
      <c r="AS140" s="47" t="s">
        <v>0</v>
      </c>
      <c r="AT140" s="19" t="str">
        <f t="shared" si="160"/>
        <v/>
      </c>
      <c r="AU140" s="47" t="s">
        <v>0</v>
      </c>
      <c r="AV140" s="103"/>
      <c r="AW140" s="105"/>
      <c r="AX140" s="47" t="s">
        <v>0</v>
      </c>
      <c r="AY140" s="259" t="str">
        <f t="shared" si="183"/>
        <v/>
      </c>
      <c r="AZ140" s="47" t="s">
        <v>0</v>
      </c>
      <c r="BA140" s="52" t="str">
        <f t="shared" si="120"/>
        <v/>
      </c>
      <c r="BB140" s="73" t="str">
        <f>IF(AV140&amp;AW140="","",MAX(BB$12:BB139)+1)</f>
        <v/>
      </c>
      <c r="BC140" s="272" t="str">
        <f t="shared" si="121"/>
        <v/>
      </c>
      <c r="BD140" s="53" t="str">
        <f>IF(AND(AM140="NEMA",AN140="NEMA",OR(AV140&amp;AW140="",BC140="NEMA")),MAX(BD$12:BD139)+1,"")</f>
        <v/>
      </c>
      <c r="BE140" s="47" t="s">
        <v>0</v>
      </c>
      <c r="BF140" s="52" t="str">
        <f t="shared" si="161"/>
        <v>Ivan</v>
      </c>
      <c r="BG140" s="66" t="str">
        <f t="shared" si="162"/>
        <v>Posinjak</v>
      </c>
      <c r="BH140" s="47" t="s">
        <v>0</v>
      </c>
      <c r="BI140" s="52" t="str">
        <f t="shared" si="122"/>
        <v>KAP</v>
      </c>
      <c r="BJ140" s="31" t="str">
        <f t="shared" si="123"/>
        <v>OK Kapela</v>
      </c>
      <c r="BK140" s="73" t="str">
        <f t="shared" si="124"/>
        <v/>
      </c>
      <c r="BL140" s="31" t="str" cm="1">
        <f t="array" ref="BL140">IF(BK140="",""&amp;BJ140,IF(BK140="NEMA",BJ140,INDEX(regKlub_naziv,MATCH(INDEX(regKlub_alias_klubId,BK140),regKlub_id,0))))</f>
        <v>OK Kapela</v>
      </c>
      <c r="BM140" s="31" t="str" cm="1">
        <f t="array" ref="BM140">IFERROR(""&amp;INDEX(regNatjecatelj_klub,DV140),"")</f>
        <v>OK Kapela</v>
      </c>
      <c r="BN140" s="73" t="str">
        <f t="shared" si="163"/>
        <v/>
      </c>
      <c r="BO140" s="66" t="str">
        <f t="shared" si="164"/>
        <v>OK Kapela</v>
      </c>
      <c r="BP140" s="47" t="s">
        <v>0</v>
      </c>
      <c r="BQ140" s="52" t="str">
        <f>IF(X140&lt;&gt;"NEMA","",IF(IFERROR(MATCH(W140,W$12:W139,0),0)&lt;&gt;0,"",W140))</f>
        <v/>
      </c>
      <c r="BR140" s="73" t="str">
        <f t="shared" si="165"/>
        <v/>
      </c>
      <c r="BS140" s="31" t="str">
        <f>IF(OR(BR140="",BR140&lt;&gt;"NEMA"),"",MAX(BS$12:BS139)+1)</f>
        <v/>
      </c>
      <c r="BT140" s="66" t="str">
        <f t="shared" si="166"/>
        <v/>
      </c>
      <c r="BU140" s="47" t="s">
        <v>0</v>
      </c>
      <c r="BV140" s="19" t="str">
        <f t="shared" si="167"/>
        <v/>
      </c>
      <c r="BW140" s="47" t="s">
        <v>0</v>
      </c>
      <c r="BX140" s="82" t="str">
        <f>IF(BK140&lt;&gt;"NEMA","",IF(IFERROR(MATCH(BJ140,BJ$12:BJ139,0),0)&lt;&gt;0,"",BJ140))</f>
        <v/>
      </c>
      <c r="BY140" s="47" t="s">
        <v>0</v>
      </c>
      <c r="BZ140" s="125"/>
      <c r="CA140" s="47" t="s">
        <v>0</v>
      </c>
      <c r="CB140" s="58" t="str">
        <f t="shared" si="168"/>
        <v/>
      </c>
      <c r="CC140" s="31" t="str">
        <f t="shared" si="169"/>
        <v/>
      </c>
      <c r="CD140" s="31" t="str">
        <f>IF(CC140="","",MAX(CD$12:CD139)+1)</f>
        <v/>
      </c>
      <c r="CE140" s="31" t="str">
        <f t="shared" si="125"/>
        <v/>
      </c>
      <c r="CF140" s="31" t="str">
        <f t="shared" si="170"/>
        <v/>
      </c>
      <c r="CG140" s="31" t="str">
        <f>IF(BZ140="","",MAX(CG$12:CG139)+1)</f>
        <v/>
      </c>
      <c r="CH140" s="31" t="str">
        <f t="shared" si="171"/>
        <v/>
      </c>
      <c r="CI140" s="66" t="str">
        <f t="shared" si="172"/>
        <v/>
      </c>
      <c r="CJ140" s="47" t="s">
        <v>0</v>
      </c>
      <c r="CK140" s="73" t="str">
        <f t="shared" si="126"/>
        <v/>
      </c>
      <c r="CL140" s="47"/>
      <c r="CM140" s="19" t="str">
        <f t="shared" si="173"/>
        <v/>
      </c>
      <c r="CN140" s="47" t="s">
        <v>0</v>
      </c>
      <c r="CO140" s="143" t="str">
        <f t="shared" si="174"/>
        <v>OK Kapela</v>
      </c>
      <c r="CP140" s="47" t="s">
        <v>0</v>
      </c>
      <c r="CQ140" s="58" t="str">
        <f t="shared" si="190"/>
        <v>62:11</v>
      </c>
      <c r="CR140" s="73" t="str">
        <f t="shared" si="191"/>
        <v>0</v>
      </c>
      <c r="CS140" s="229" t="str">
        <f t="shared" si="127"/>
        <v/>
      </c>
      <c r="CT140" s="230">
        <f t="shared" si="192"/>
        <v>3731</v>
      </c>
      <c r="CU140" s="163">
        <f t="shared" si="128"/>
        <v>1</v>
      </c>
      <c r="CV140" s="47" t="s">
        <v>0</v>
      </c>
      <c r="CW140" s="222" t="str">
        <f t="shared" si="175"/>
        <v xml:space="preserve">
</v>
      </c>
      <c r="CX140" s="223">
        <f t="shared" si="176"/>
        <v>6</v>
      </c>
      <c r="CY140" s="47" t="s">
        <v>0</v>
      </c>
      <c r="CZ140" s="47"/>
      <c r="DA140" s="47"/>
      <c r="DB140" s="47"/>
      <c r="DC140" s="47" t="s">
        <v>0</v>
      </c>
      <c r="DD140" s="53" t="str">
        <f t="shared" si="184"/>
        <v/>
      </c>
      <c r="DE140" t="s">
        <v>0</v>
      </c>
      <c r="DF140" s="128" t="str">
        <f t="shared" si="185"/>
        <v>M</v>
      </c>
      <c r="DG140" t="s">
        <v>0</v>
      </c>
      <c r="DH140" s="52" t="str">
        <f t="shared" si="186"/>
        <v/>
      </c>
      <c r="DI140" s="66" t="str">
        <f t="shared" si="187"/>
        <v/>
      </c>
      <c r="DJ140" t="s">
        <v>0</v>
      </c>
      <c r="DK140" s="19" t="str">
        <f t="shared" si="188"/>
        <v/>
      </c>
      <c r="DL140" s="47" t="s">
        <v>0</v>
      </c>
      <c r="DM140" s="19" t="str">
        <f t="shared" si="189"/>
        <v/>
      </c>
      <c r="DN140" s="47" t="s">
        <v>0</v>
      </c>
      <c r="DO140" s="52" t="str">
        <f t="shared" si="129"/>
        <v>Ivan – Posinjak – OK Kapela – M45</v>
      </c>
      <c r="DP140" s="53">
        <f t="shared" si="130"/>
        <v>298</v>
      </c>
      <c r="DQ140" s="47" t="s">
        <v>0</v>
      </c>
      <c r="DR140" s="52" t="str">
        <f t="shared" si="131"/>
        <v>Ivan – Posinjak – OK Kapela</v>
      </c>
      <c r="DS140" s="53">
        <f t="shared" si="132"/>
        <v>298</v>
      </c>
      <c r="DT140" s="47" t="s">
        <v>0</v>
      </c>
      <c r="DU140" s="52" t="str">
        <f t="shared" si="133"/>
        <v>Ivan – Posinjak</v>
      </c>
      <c r="DV140" s="53">
        <f t="shared" si="134"/>
        <v>298</v>
      </c>
      <c r="DW140" s="47" t="s">
        <v>0</v>
      </c>
      <c r="DX140" s="58">
        <f t="shared" si="177"/>
        <v>298</v>
      </c>
      <c r="DY140" s="53" cm="1">
        <f t="array" ref="DY140">IF(DX140&lt;&gt;"",INDEX(regNatjecatelj_id,DX140,0),IF(BD140&lt;&gt;"",BD140,""))</f>
        <v>1500</v>
      </c>
      <c r="DZ140" s="47" t="s">
        <v>0</v>
      </c>
      <c r="EA140" s="58" t="str">
        <f t="shared" si="135"/>
        <v>imepre</v>
      </c>
      <c r="EB140" s="73" t="str">
        <f t="shared" si="136"/>
        <v>klu</v>
      </c>
      <c r="EC140" s="73" t="str">
        <f t="shared" si="137"/>
        <v>kat</v>
      </c>
      <c r="ED140" s="73" t="str">
        <f t="shared" si="138"/>
        <v/>
      </c>
      <c r="EE140" s="66" t="str">
        <f t="shared" si="139"/>
        <v>imepre-klu-kat</v>
      </c>
      <c r="EF140" s="47" t="s">
        <v>0</v>
      </c>
      <c r="EG140" s="58">
        <f>IF(AL140="","",MAX(EG$12:EG139)+1)</f>
        <v>307</v>
      </c>
      <c r="EH140" s="73">
        <f t="shared" si="140"/>
        <v>30</v>
      </c>
      <c r="EI140" s="73">
        <f t="shared" si="178"/>
        <v>1500</v>
      </c>
      <c r="EJ140" s="73">
        <f t="shared" si="141"/>
        <v>3731</v>
      </c>
      <c r="EK140" s="73">
        <f t="shared" si="142"/>
        <v>1</v>
      </c>
      <c r="EL140" s="73">
        <f t="shared" si="179"/>
        <v>1</v>
      </c>
      <c r="EM140" s="73">
        <f t="shared" si="180"/>
        <v>1</v>
      </c>
      <c r="EN140" s="73" t="str">
        <f t="shared" si="143"/>
        <v>0</v>
      </c>
      <c r="EO140" s="73" t="str">
        <f t="shared" si="144"/>
        <v/>
      </c>
      <c r="EP140" s="73" t="str">
        <f t="shared" si="145"/>
        <v/>
      </c>
      <c r="EQ140" s="53" t="str">
        <f t="shared" si="146"/>
        <v/>
      </c>
      <c r="ER140" s="47" t="s">
        <v>0</v>
      </c>
      <c r="ES140" s="19" t="str">
        <f t="shared" si="181"/>
        <v>INSERT INTO rezultat(id,stazakategorija_id,imeprezime_id,vrijeme_sec,status_id,registracija,uparivanje_id,originalstatus_id,imeprezimealias_id,klubalias_id,kategorijaalias_id) VALUES (307,30,1500,3731,1,1,1,0,Null,Null,Null);</v>
      </c>
      <c r="ET140" s="47" t="s">
        <v>0</v>
      </c>
      <c r="EU140" s="19" t="str">
        <f t="shared" si="182"/>
        <v>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0" s="47" t="s">
        <v>0</v>
      </c>
      <c r="EW140" s="180" t="str">
        <f t="shared" si="147"/>
        <v xml:space="preserve">
INSERT INTO rezultat(id,stazakategorija_id,imeprezime_id,vrijeme_sec,status_id,registracija,uparivanje_id,originalstatus_id,imeprezimealias_id,klubalias_id,kategorijaalias_id) VALUES (307,30,1500,3731,1,1,1,0,Null,Null,Null);
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0" s="47" t="s">
        <v>0</v>
      </c>
    </row>
    <row r="141" spans="1:154" x14ac:dyDescent="0.25">
      <c r="A141" t="s">
        <v>0</v>
      </c>
      <c r="B141" s="52" t="str">
        <f>IF(csv!F131="","",csv!T131)</f>
        <v>M45</v>
      </c>
      <c r="C141" s="31" t="s">
        <v>0</v>
      </c>
      <c r="D141" s="31" t="str">
        <f>IF(csv!F131="","",csv!F131)</f>
        <v>Ivan Ivo</v>
      </c>
      <c r="E141" s="31" t="str">
        <f>IF(csv!E131="","",csv!E131)</f>
        <v>Penić</v>
      </c>
      <c r="F141" s="31" t="s">
        <v>0</v>
      </c>
      <c r="G141" s="73" t="str">
        <f>IF(csv!M131="","",csv!M131)</f>
        <v>62:29</v>
      </c>
      <c r="H141" s="73" t="str">
        <f>IF(csv!N131="","",csv!N131)</f>
        <v>0</v>
      </c>
      <c r="I141" s="31" t="s">
        <v>0</v>
      </c>
      <c r="J141" s="31" t="str">
        <f>IF(csv!P131="","",csv!P131)</f>
        <v>KAP</v>
      </c>
      <c r="K141" s="31" t="str">
        <f>IF(csv!Q131="","",csv!Q131)</f>
        <v>OK Kapela</v>
      </c>
      <c r="L141" s="31" t="s">
        <v>0</v>
      </c>
      <c r="M141" s="66" t="str">
        <f>IF(csv!R131="","",csv!R131)</f>
        <v>CRO</v>
      </c>
      <c r="N141" s="47" t="s">
        <v>0</v>
      </c>
      <c r="O141" s="246" t="str">
        <f t="shared" si="148"/>
        <v>ok</v>
      </c>
      <c r="P141" s="47"/>
      <c r="Q141" s="52" t="str">
        <f t="shared" si="149"/>
        <v>M45</v>
      </c>
      <c r="R141" s="73">
        <f>IF(Q141="","",IF(COUNTIF(Q$12:Q140,Q141)=0,R140+1,R140))</f>
        <v>8</v>
      </c>
      <c r="S141" s="73">
        <f t="shared" si="150"/>
        <v>106</v>
      </c>
      <c r="T141" s="73">
        <f t="shared" ref="T141:T204" si="193">IF(Q141="","",IFERROR(INDEX(natStaza_id,MATCH(Q141,natStaza_kategorija,0)),""))</f>
        <v>17</v>
      </c>
      <c r="U141" s="66" t="str">
        <f t="shared" ref="U141:U204" si="194">IF(T141="","",INDEX(natStaza_naziv,MATCH(T141,natStaza_id,0)))</f>
        <v>M45</v>
      </c>
      <c r="V141" s="47" t="s">
        <v>0</v>
      </c>
      <c r="W141" s="222" t="str">
        <f t="shared" ref="W141:W204" si="195">IF(O141="","",INDEX(regKategorija_oznaka,MATCH(S141,regKategorija_id,0)))</f>
        <v>M45</v>
      </c>
      <c r="X141" s="223">
        <f t="shared" ref="X141:X204" si="196">IF(W141="","",INDEX(natKategorija_stazaKatId,MATCH(S141,natKategorija_katRegId,0)))</f>
        <v>30</v>
      </c>
      <c r="Y141" s="47" t="s">
        <v>0</v>
      </c>
      <c r="Z141" s="52" t="str">
        <f t="shared" si="151"/>
        <v>CRO</v>
      </c>
      <c r="AA141" s="73">
        <f t="shared" ref="AA141:AA204" si="197">IF(Z141="","",IFERROR(INDEX(regDrzava_id,MATCH(Z141,regDrzava_oznaka,0)),"NEMA"))</f>
        <v>1</v>
      </c>
      <c r="AB141" s="31" t="str">
        <f t="shared" si="152"/>
        <v/>
      </c>
      <c r="AC141" s="66" t="str">
        <f>IF(AB141="","",MAX(AC$12:AC140)+1)</f>
        <v/>
      </c>
      <c r="AD141" s="47" t="s">
        <v>0</v>
      </c>
      <c r="AE141" s="125"/>
      <c r="AF141" s="47" t="s">
        <v>0</v>
      </c>
      <c r="AG141" s="19" t="str">
        <f t="shared" si="153"/>
        <v/>
      </c>
      <c r="AH141" s="47" t="s">
        <v>0</v>
      </c>
      <c r="AI141" s="143" t="str">
        <f t="shared" si="154"/>
        <v>CRO</v>
      </c>
      <c r="AJ141" s="47"/>
      <c r="AK141" s="52" t="str">
        <f t="shared" si="155"/>
        <v>Ivan Ivo</v>
      </c>
      <c r="AL141" s="31" t="str">
        <f t="shared" si="156"/>
        <v>Penić</v>
      </c>
      <c r="AM141" s="73">
        <f t="shared" si="157"/>
        <v>1211</v>
      </c>
      <c r="AN141" s="73" t="str">
        <f t="shared" si="158"/>
        <v/>
      </c>
      <c r="AO141" s="31" t="str">
        <f t="shared" ref="AO141:AO204" si="198">IF(O141="","",IF(OR(AN141="",AN141="NEMA"),AK141,INDEX(regNatjecatelj_ime,MATCH(AN141,regNatjecatelj_id,0))))</f>
        <v>Ivan Ivo</v>
      </c>
      <c r="AP141" s="66" t="str">
        <f t="shared" ref="AP141:AP204" si="199">IF(O141="","",IF(OR(AN141="",AN141="NEMA"),AL141,INDEX(regNatjecatelj_prezime,MATCH(AN141,regNatjecatelj_id,0))))</f>
        <v>Penić</v>
      </c>
      <c r="AQ141" s="47" t="s">
        <v>0</v>
      </c>
      <c r="AR141" s="82" t="str">
        <f t="shared" si="159"/>
        <v/>
      </c>
      <c r="AS141" s="47" t="s">
        <v>0</v>
      </c>
      <c r="AT141" s="19" t="str">
        <f t="shared" si="160"/>
        <v/>
      </c>
      <c r="AU141" s="47" t="s">
        <v>0</v>
      </c>
      <c r="AV141" s="103"/>
      <c r="AW141" s="105"/>
      <c r="AX141" s="47" t="s">
        <v>0</v>
      </c>
      <c r="AY141" s="259" t="str">
        <f t="shared" si="183"/>
        <v/>
      </c>
      <c r="AZ141" s="47" t="s">
        <v>0</v>
      </c>
      <c r="BA141" s="52" t="str">
        <f t="shared" ref="BA141:BA204" si="200">IF(AV141&amp;AW141="","",AR141)</f>
        <v/>
      </c>
      <c r="BB141" s="73" t="str">
        <f>IF(AV141&amp;AW141="","",MAX(BB$12:BB140)+1)</f>
        <v/>
      </c>
      <c r="BC141" s="272" t="str">
        <f t="shared" ref="BC141:BC204" si="201">IF(AV141&amp;AW141="","",IFERROR(INDEX(regNatjecatelj_id,MATCH(AV141&amp;" – "&amp;AW141,regNatjecatelj_imePrezime,0)),"NEMA"))</f>
        <v/>
      </c>
      <c r="BD141" s="53" t="str">
        <f>IF(AND(AM141="NEMA",AN141="NEMA",OR(AV141&amp;AW141="",BC141="NEMA")),MAX(BD$12:BD140)+1,"")</f>
        <v/>
      </c>
      <c r="BE141" s="47" t="s">
        <v>0</v>
      </c>
      <c r="BF141" s="52" t="str">
        <f t="shared" si="161"/>
        <v>Ivan Ivo</v>
      </c>
      <c r="BG141" s="66" t="str">
        <f t="shared" si="162"/>
        <v>Penić</v>
      </c>
      <c r="BH141" s="47" t="s">
        <v>0</v>
      </c>
      <c r="BI141" s="52" t="str">
        <f t="shared" ref="BI141:BI204" si="202">IF(O141="","",J141)</f>
        <v>KAP</v>
      </c>
      <c r="BJ141" s="31" t="str">
        <f t="shared" ref="BJ141:BJ204" si="203">IF(O141="","",K141)</f>
        <v>OK Kapela</v>
      </c>
      <c r="BK141" s="73" t="str">
        <f t="shared" ref="BK141:BK204" si="204">IF(BJ141="","",IF(IFERROR(MATCH(BJ141,regKlub_naziv,0),"")&lt;&gt;"","",IFERROR(MATCH(BJ141,regKlub_alias_alias,0),"NEMA")))</f>
        <v/>
      </c>
      <c r="BL141" s="31" t="str" cm="1">
        <f t="array" ref="BL141">IF(BK141="",""&amp;BJ141,IF(BK141="NEMA",BJ141,INDEX(regKlub_naziv,MATCH(INDEX(regKlub_alias_klubId,BK141),regKlub_id,0))))</f>
        <v>OK Kapela</v>
      </c>
      <c r="BM141" s="31" t="str" cm="1">
        <f t="array" ref="BM141">IFERROR(""&amp;INDEX(regNatjecatelj_klub,DV141),"")</f>
        <v>OK Kapela</v>
      </c>
      <c r="BN141" s="73" t="str">
        <f t="shared" si="163"/>
        <v/>
      </c>
      <c r="BO141" s="66" t="str">
        <f t="shared" si="164"/>
        <v>OK Kapela</v>
      </c>
      <c r="BP141" s="47" t="s">
        <v>0</v>
      </c>
      <c r="BQ141" s="52" t="str">
        <f>IF(X141&lt;&gt;"NEMA","",IF(IFERROR(MATCH(W141,W$12:W140,0),0)&lt;&gt;0,"",W141))</f>
        <v/>
      </c>
      <c r="BR141" s="73" t="str">
        <f t="shared" si="165"/>
        <v/>
      </c>
      <c r="BS141" s="31" t="str">
        <f>IF(OR(BR141="",BR141&lt;&gt;"NEMA"),"",MAX(BS$12:BS140)+1)</f>
        <v/>
      </c>
      <c r="BT141" s="66" t="str">
        <f t="shared" si="166"/>
        <v/>
      </c>
      <c r="BU141" s="47" t="s">
        <v>0</v>
      </c>
      <c r="BV141" s="19" t="str">
        <f t="shared" si="167"/>
        <v/>
      </c>
      <c r="BW141" s="47" t="s">
        <v>0</v>
      </c>
      <c r="BX141" s="82" t="str">
        <f>IF(BK141&lt;&gt;"NEMA","",IF(IFERROR(MATCH(BJ141,BJ$12:BJ140,0),0)&lt;&gt;0,"",BJ141))</f>
        <v/>
      </c>
      <c r="BY141" s="47" t="s">
        <v>0</v>
      </c>
      <c r="BZ141" s="125"/>
      <c r="CA141" s="47" t="s">
        <v>0</v>
      </c>
      <c r="CB141" s="58" t="str">
        <f t="shared" si="168"/>
        <v/>
      </c>
      <c r="CC141" s="31" t="str">
        <f t="shared" si="169"/>
        <v/>
      </c>
      <c r="CD141" s="31" t="str">
        <f>IF(CC141="","",MAX(CD$12:CD140)+1)</f>
        <v/>
      </c>
      <c r="CE141" s="31" t="str">
        <f t="shared" ref="CE141:CE204" si="205">IF(CC141="","",IF(AA141="","",IF(AA141="NEMA",AC141,AA141)))</f>
        <v/>
      </c>
      <c r="CF141" s="31" t="str">
        <f t="shared" si="170"/>
        <v/>
      </c>
      <c r="CG141" s="31" t="str">
        <f>IF(BZ141="","",MAX(CG$12:CG140)+1)</f>
        <v/>
      </c>
      <c r="CH141" s="31" t="str">
        <f t="shared" si="171"/>
        <v/>
      </c>
      <c r="CI141" s="66" t="str">
        <f t="shared" si="172"/>
        <v/>
      </c>
      <c r="CJ141" s="47" t="s">
        <v>0</v>
      </c>
      <c r="CK141" s="73" t="str">
        <f t="shared" ref="CK141:CK204" si="206">IF(BK141="","",IF(BK141&lt;&gt;"NEMA","",IFERROR(INDEX(nat_klubAliasId,MATCH(BJ141,nat_noviKluboviAliasi,0)),"")))</f>
        <v/>
      </c>
      <c r="CL141" s="47"/>
      <c r="CM141" s="19" t="str">
        <f t="shared" si="173"/>
        <v/>
      </c>
      <c r="CN141" s="47" t="s">
        <v>0</v>
      </c>
      <c r="CO141" s="143" t="str">
        <f t="shared" si="174"/>
        <v>OK Kapela</v>
      </c>
      <c r="CP141" s="47" t="s">
        <v>0</v>
      </c>
      <c r="CQ141" s="58" t="str">
        <f t="shared" si="190"/>
        <v>62:29</v>
      </c>
      <c r="CR141" s="73" t="str">
        <f t="shared" si="191"/>
        <v>0</v>
      </c>
      <c r="CS141" s="229" t="str">
        <f t="shared" ref="CS141:CS204" si="207">IF(CQ141="",IF(OR(AL141="",CR141&lt;&gt;"0"),"","GREŠKA"),IF(AND(65535&gt;=VALUE(LEFT(CQ141,SEARCH(":",CQ141)-1))*60+VALUE(RIGHT(CQ141,2)),OR(CR141="0",CR141="1",CR141="2",CR141="3",CR141="4")),"","GREŠKA"))</f>
        <v/>
      </c>
      <c r="CT141" s="230">
        <f t="shared" si="192"/>
        <v>3749</v>
      </c>
      <c r="CU141" s="163">
        <f t="shared" ref="CU141:CU204" si="208">IF(DU141="","",IF(AND(CR141="0",N(CT141)&gt;data_max_minuta*60),2,INDEX(regStatusRezultat_id,MATCH(VALUE(CR141),regStatusRezultat_oEvent,0))))</f>
        <v>1</v>
      </c>
      <c r="CV141" s="47" t="s">
        <v>0</v>
      </c>
      <c r="CW141" s="222" t="str">
        <f t="shared" si="175"/>
        <v xml:space="preserve">
</v>
      </c>
      <c r="CX141" s="223">
        <f t="shared" si="176"/>
        <v>6</v>
      </c>
      <c r="CY141" s="47" t="s">
        <v>0</v>
      </c>
      <c r="CZ141" s="47"/>
      <c r="DA141" s="47"/>
      <c r="DB141" s="47"/>
      <c r="DC141" s="47" t="s">
        <v>0</v>
      </c>
      <c r="DD141" s="53" t="str">
        <f t="shared" si="184"/>
        <v/>
      </c>
      <c r="DE141" t="s">
        <v>0</v>
      </c>
      <c r="DF141" s="128" t="str">
        <f t="shared" si="185"/>
        <v>M</v>
      </c>
      <c r="DG141" t="s">
        <v>0</v>
      </c>
      <c r="DH141" s="52" t="str">
        <f t="shared" si="186"/>
        <v/>
      </c>
      <c r="DI141" s="66" t="str">
        <f t="shared" si="187"/>
        <v/>
      </c>
      <c r="DJ141" t="s">
        <v>0</v>
      </c>
      <c r="DK141" s="19" t="str">
        <f t="shared" si="188"/>
        <v/>
      </c>
      <c r="DL141" s="47" t="s">
        <v>0</v>
      </c>
      <c r="DM141" s="19" t="str">
        <f t="shared" si="189"/>
        <v/>
      </c>
      <c r="DN141" s="47" t="s">
        <v>0</v>
      </c>
      <c r="DO141" s="52" t="str">
        <f t="shared" ref="DO141:DO204" si="209">IF(AL141="","",DR141 &amp; IF(Q141="",""," – " &amp; Q141))</f>
        <v>Ivan Ivo – Penić – OK Kapela – M45</v>
      </c>
      <c r="DP141" s="53">
        <f t="shared" ref="DP141:DP204" si="210">IF(DO141="","",IFERROR(MATCH(DO141,regNatjecatelj_imePrezimeKlubKategorija,0),"NEMA"))</f>
        <v>293</v>
      </c>
      <c r="DQ141" s="47" t="s">
        <v>0</v>
      </c>
      <c r="DR141" s="52" t="str">
        <f t="shared" ref="DR141:DR204" si="211">IF(AL141="","",DU141 &amp; IF(CO141="",""," – " &amp; CO141))</f>
        <v>Ivan Ivo – Penić – OK Kapela</v>
      </c>
      <c r="DS141" s="53">
        <f t="shared" ref="DS141:DS204" si="212">IF(DR141="","",IFERROR(MATCH(DR141,regNatjecatelj_imePrezimeKlub,0),"NEMA"))</f>
        <v>293</v>
      </c>
      <c r="DT141" s="47" t="s">
        <v>0</v>
      </c>
      <c r="DU141" s="52" t="str">
        <f t="shared" ref="DU141:DU204" si="213">IF(BG141="","",BF141&amp;" – "&amp;BG141)</f>
        <v>Ivan Ivo – Penić</v>
      </c>
      <c r="DV141" s="53">
        <f t="shared" ref="DV141:DV204" si="214">IF(DU141="","",IFERROR(MATCH(DU141,regNatjecatelj_imePrezime,0),"NEMA"))</f>
        <v>293</v>
      </c>
      <c r="DW141" s="47" t="s">
        <v>0</v>
      </c>
      <c r="DX141" s="58">
        <f t="shared" si="177"/>
        <v>293</v>
      </c>
      <c r="DY141" s="53" cm="1">
        <f t="array" ref="DY141">IF(DX141&lt;&gt;"",INDEX(regNatjecatelj_id,DX141,0),IF(BD141&lt;&gt;"",BD141,""))</f>
        <v>1211</v>
      </c>
      <c r="DZ141" s="47" t="s">
        <v>0</v>
      </c>
      <c r="EA141" s="58" t="str">
        <f t="shared" ref="EA141:EA204" si="215">IF(AL141="","",IF(BD141&lt;&gt;"","novo",IF(AN141="","imepre","imepre(ali)")))</f>
        <v>imepre</v>
      </c>
      <c r="EB141" s="73" t="str">
        <f t="shared" ref="EB141:EB204" si="216">IF(AL141="","",IF(BJ141="",IF(IFERROR(INDEX(regNatjecatelj_klub,MATCH(DY141,regNatjecatelj_id,0)),"NEMA")="","klu",""),IF(OR(AND(BK141&lt;&gt;"",BK141&lt;&gt;"NEMA"),CH141&lt;&gt;""),"klu(ali)",IF(AND(BM141&lt;&gt;"",BM141&lt;&gt;BL141),"(raz-klu)","klu"))))</f>
        <v>klu</v>
      </c>
      <c r="EC141" s="73" t="str">
        <f t="shared" ref="EC141:EC204" si="217">IF(AL141="","","kat"&amp;IF(AND(W141&lt;&gt;Q141,Q141&lt;&gt;"Open"),"(ali)",""))</f>
        <v>kat</v>
      </c>
      <c r="ED141" s="73" t="str">
        <f t="shared" ref="ED141:ED204" si="218">IF(OR(CS141&lt;&gt;"",CU141=2),"ot","")</f>
        <v/>
      </c>
      <c r="EE141" s="66" t="str">
        <f t="shared" ref="EE141:EE204" si="219">IF(AL141="","",EA141&amp;IF(EA141="novo","","-"&amp;EB141&amp;"-"&amp;EC141)&amp;IF(ED141="","","-"&amp;ED141))</f>
        <v>imepre-klu-kat</v>
      </c>
      <c r="EF141" s="47" t="s">
        <v>0</v>
      </c>
      <c r="EG141" s="58">
        <f>IF(AL141="","",MAX(EG$12:EG140)+1)</f>
        <v>308</v>
      </c>
      <c r="EH141" s="73">
        <f t="shared" ref="EH141:EH204" si="220">IF(AO141="","",X141)</f>
        <v>30</v>
      </c>
      <c r="EI141" s="73">
        <f t="shared" si="178"/>
        <v>1211</v>
      </c>
      <c r="EJ141" s="73">
        <f t="shared" ref="EJ141:EJ204" si="221">IF(CT141="","",CT141)</f>
        <v>3749</v>
      </c>
      <c r="EK141" s="73">
        <f t="shared" ref="EK141:EK204" si="222">IF(CU141="","",IF(AND(EJ141="",CU141=1),6,CU141))</f>
        <v>1</v>
      </c>
      <c r="EL141" s="73">
        <f t="shared" si="179"/>
        <v>1</v>
      </c>
      <c r="EM141" s="73">
        <f t="shared" si="180"/>
        <v>1</v>
      </c>
      <c r="EN141" s="73" t="str">
        <f t="shared" ref="EN141:EN204" si="223">IF(CU141="","",CR141)</f>
        <v>0</v>
      </c>
      <c r="EO141" s="73" t="str">
        <f t="shared" ref="EO141:EO204" si="224">IF(OR(AN141="",AN141="NEMA"),BB141,AN141)</f>
        <v/>
      </c>
      <c r="EP141" s="73" t="str">
        <f t="shared" ref="EP141:EP204" si="225">IF(AND(BK141&lt;&gt;"",BK141&lt;&gt;"NEMA"),BK141,IF(CK141&lt;&gt;"",CK141,IF(AND(BR141&lt;&gt;"",BR141&lt;&gt;"NEMA"),BR141,IF(BS141&lt;&gt;"",BS141,""))))</f>
        <v/>
      </c>
      <c r="EQ141" s="53" t="str">
        <f t="shared" ref="EQ141:EQ204" si="226">IF(INDEX(natKategorija_alias_Id,MATCH(S141,natKategorija_katRegId,0))="","",INDEX(natKategorija_alias_Id,MATCH(S141,natKategorija_katRegId,0)))</f>
        <v/>
      </c>
      <c r="ER141" s="47" t="s">
        <v>0</v>
      </c>
      <c r="ES141" s="19" t="str">
        <f t="shared" si="181"/>
        <v>INSERT INTO rezultat(id,stazakategorija_id,imeprezime_id,vrijeme_sec,status_id,registracija,uparivanje_id,originalstatus_id,imeprezimealias_id,klubalias_id,kategorijaalias_id) VALUES (308,30,1211,3749,1,1,1,0,Null,Null,Null);</v>
      </c>
      <c r="ET141" s="47" t="s">
        <v>0</v>
      </c>
      <c r="EU141" s="19" t="str">
        <f t="shared" si="182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1" s="47" t="s">
        <v>0</v>
      </c>
      <c r="EW141" s="180" t="str">
        <f t="shared" ref="EW141:EW204" si="227">AG141&amp;IF(BV141="","","
")&amp;BV141&amp;IF(CM141="","","
")&amp;CM141&amp;IF(DK141="","","
")&amp;DK141&amp;IF(DM141="","","
")&amp;DM141&amp;IF(ES141="","","
")&amp;ES141&amp;IF(EU141="","","
")&amp;EU141</f>
        <v xml:space="preserve">
INSERT INTO rezultat(id,stazakategorija_id,imeprezime_id,vrijeme_sec,status_id,registracija,uparivanje_id,originalstatus_id,imeprezimealias_id,klubalias_id,kategorijaalias_id) VALUES (308,30,1211,3749,1,1,1,0,Null,Null,Null);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1" s="47" t="s">
        <v>0</v>
      </c>
    </row>
    <row r="142" spans="1:154" x14ac:dyDescent="0.25">
      <c r="A142" t="s">
        <v>0</v>
      </c>
      <c r="B142" s="52" t="str">
        <f>IF(csv!F132="","",csv!T132)</f>
        <v>M45</v>
      </c>
      <c r="C142" s="31" t="s">
        <v>0</v>
      </c>
      <c r="D142" s="31" t="str">
        <f>IF(csv!F132="","",csv!F132)</f>
        <v>Domagoj</v>
      </c>
      <c r="E142" s="31" t="str">
        <f>IF(csv!E132="","",csv!E132)</f>
        <v>Šantić</v>
      </c>
      <c r="F142" s="31" t="s">
        <v>0</v>
      </c>
      <c r="G142" s="73" t="str">
        <f>IF(csv!M132="","",csv!M132)</f>
        <v>65:04</v>
      </c>
      <c r="H142" s="73" t="str">
        <f>IF(csv!N132="","",csv!N132)</f>
        <v>0</v>
      </c>
      <c r="I142" s="31" t="s">
        <v>0</v>
      </c>
      <c r="J142" s="31" t="str">
        <f>IF(csv!P132="","",csv!P132)</f>
        <v>BJE</v>
      </c>
      <c r="K142" s="31" t="str">
        <f>IF(csv!Q132="","",csv!Q132)</f>
        <v>OK Bjelovar</v>
      </c>
      <c r="L142" s="31" t="s">
        <v>0</v>
      </c>
      <c r="M142" s="66" t="str">
        <f>IF(csv!R132="","",csv!R132)</f>
        <v>CRO</v>
      </c>
      <c r="N142" s="47" t="s">
        <v>0</v>
      </c>
      <c r="O142" s="246" t="str">
        <f t="shared" ref="O142:O205" si="228">IF(E142="","","ok")</f>
        <v>ok</v>
      </c>
      <c r="P142" s="47"/>
      <c r="Q142" s="52" t="str">
        <f t="shared" ref="Q142:Q205" si="229">IF(B142="","",B142)</f>
        <v>M45</v>
      </c>
      <c r="R142" s="73">
        <f>IF(Q142="","",IF(COUNTIF(Q$12:Q141,Q142)=0,R141+1,R141))</f>
        <v>8</v>
      </c>
      <c r="S142" s="73">
        <f t="shared" ref="S142:S205" si="230">IF(Q142="","",IFERROR(INDEX(regKategorija_id,MATCH(Q142,regKategorija_oznaka,0)),IFERROR(INDEX(regKategorija_alias_id,MATCH(Q142,regKategorija_alias_oznaka,0)),INDEX(natKategorija_katRegId,MATCH(Q142,natKategorija_kategorija,0)))))</f>
        <v>106</v>
      </c>
      <c r="T142" s="73">
        <f t="shared" si="193"/>
        <v>17</v>
      </c>
      <c r="U142" s="66" t="str">
        <f t="shared" si="194"/>
        <v>M45</v>
      </c>
      <c r="V142" s="47" t="s">
        <v>0</v>
      </c>
      <c r="W142" s="222" t="str">
        <f t="shared" si="195"/>
        <v>M45</v>
      </c>
      <c r="X142" s="223">
        <f t="shared" si="196"/>
        <v>30</v>
      </c>
      <c r="Y142" s="47" t="s">
        <v>0</v>
      </c>
      <c r="Z142" s="52" t="str">
        <f t="shared" ref="Z142:Z205" si="231">IF(O142="","",M142)</f>
        <v>CRO</v>
      </c>
      <c r="AA142" s="73">
        <f t="shared" si="197"/>
        <v>1</v>
      </c>
      <c r="AB142" s="31" t="str">
        <f t="shared" ref="AB142:AB205" si="232">IF(OR(AA142="",AA142&lt;&gt;"NEMA"),"",Z142)</f>
        <v/>
      </c>
      <c r="AC142" s="66" t="str">
        <f>IF(AB142="","",MAX(AC$12:AC141)+1)</f>
        <v/>
      </c>
      <c r="AD142" s="47" t="s">
        <v>0</v>
      </c>
      <c r="AE142" s="125"/>
      <c r="AF142" s="47" t="s">
        <v>0</v>
      </c>
      <c r="AG142" s="19" t="str">
        <f t="shared" ref="AG142:AG205" si="233">IF(AB142="","","INSERT INTO drzava(id,naziv,oznaka) VALUES ("&amp;AC142&amp;",'"&amp;AE142&amp;"','"&amp;UPPER(LEFT(AB142,1))&amp;LOWER(RIGHT(AB142,2))&amp;"');")</f>
        <v/>
      </c>
      <c r="AH142" s="47" t="s">
        <v>0</v>
      </c>
      <c r="AI142" s="143" t="str">
        <f t="shared" ref="AI142:AI205" si="234">IF(AA142="","",IF(AA142="NEMA",AB142,Z142))</f>
        <v>CRO</v>
      </c>
      <c r="AJ142" s="47"/>
      <c r="AK142" s="52" t="str">
        <f t="shared" ref="AK142:AK205" si="235">IF(O142="","",D142)</f>
        <v>Domagoj</v>
      </c>
      <c r="AL142" s="31" t="str">
        <f t="shared" ref="AL142:AL205" si="236">IF(O142="","",E142)</f>
        <v>Šantić</v>
      </c>
      <c r="AM142" s="73">
        <f t="shared" ref="AM142:AM205" si="237">IF(AL142="","",IFERROR(INDEX(regNatjecatelj_id,MATCH(AK142&amp;" – "&amp;AL142,regNatjecatelj_imePrezime,0)),"NEMA"))</f>
        <v>1266</v>
      </c>
      <c r="AN142" s="73" t="str">
        <f t="shared" ref="AN142:AN205" si="238">IF(AM142&lt;&gt;"NEMA","",IFERROR(INDEX(regNatjecatelj_alias_natjecateljId,MATCH(AK142&amp;" "&amp;AL142,regNatjecatelj_alias_alias,0)),"NEMA"))</f>
        <v/>
      </c>
      <c r="AO142" s="31" t="str">
        <f t="shared" si="198"/>
        <v>Domagoj</v>
      </c>
      <c r="AP142" s="66" t="str">
        <f t="shared" si="199"/>
        <v>Šantić</v>
      </c>
      <c r="AQ142" s="47" t="s">
        <v>0</v>
      </c>
      <c r="AR142" s="82" t="str">
        <f t="shared" ref="AR142:AR205" si="239">IF(OR(O142="",AN142&lt;&gt;"NEMA"),"",AK142&amp;" "&amp;AL142)</f>
        <v/>
      </c>
      <c r="AS142" s="47" t="s">
        <v>0</v>
      </c>
      <c r="AT142" s="19" t="str">
        <f t="shared" ref="AT142:AT205" si="240">IF(OR(AM142&lt;&gt;"NEMA",AN142&lt;&gt;"NEMA"),"","SELECT '"&amp;AO142&amp;" – "&amp;AP142&amp;"', ime, prezime FROM imeprezime WHERE ime LIKE '%"&amp;MID(AO142,2,LEN(AO142)-2)&amp;"%' Or prezime LIKE '%"&amp;MID(AP142,2,LEN(AP142)-2)&amp;"%' Or ime LIKE '%"&amp;MID(AP142,2,LEN(AP142)-2)&amp;"%' Or prezime LIKE '%"&amp;MID(AO142,2,LEN(AO142)-2)&amp;"%' ORDER BY ime, prezime;")</f>
        <v/>
      </c>
      <c r="AU142" s="47" t="s">
        <v>0</v>
      </c>
      <c r="AV142" s="103"/>
      <c r="AW142" s="105"/>
      <c r="AX142" s="47" t="s">
        <v>0</v>
      </c>
      <c r="AY142" s="259" t="str">
        <f t="shared" si="183"/>
        <v/>
      </c>
      <c r="AZ142" s="47" t="s">
        <v>0</v>
      </c>
      <c r="BA142" s="52" t="str">
        <f t="shared" si="200"/>
        <v/>
      </c>
      <c r="BB142" s="73" t="str">
        <f>IF(AV142&amp;AW142="","",MAX(BB$12:BB141)+1)</f>
        <v/>
      </c>
      <c r="BC142" s="272" t="str">
        <f t="shared" si="201"/>
        <v/>
      </c>
      <c r="BD142" s="53" t="str">
        <f>IF(AND(AM142="NEMA",AN142="NEMA",OR(AV142&amp;AW142="",BC142="NEMA")),MAX(BD$12:BD141)+1,"")</f>
        <v/>
      </c>
      <c r="BE142" s="47" t="s">
        <v>0</v>
      </c>
      <c r="BF142" s="52" t="str">
        <f t="shared" ref="BF142:BF205" si="241">IF(AL142="","",IF(BC142="",AO142,IF(BC142="NEMA",AV142,INDEX(regNatjecatelj_ime,MATCH(BC142,regNatjecatelj_id,0)))))</f>
        <v>Domagoj</v>
      </c>
      <c r="BG142" s="66" t="str">
        <f t="shared" ref="BG142:BG205" si="242">IF(AL142="","",IF(BC142="",AP142,IF(BC142="NEMA",AW142,INDEX(regNatjecatelj_prezime,MATCH(BC142,regNatjecatelj_id,0)))))</f>
        <v>Šantić</v>
      </c>
      <c r="BH142" s="47" t="s">
        <v>0</v>
      </c>
      <c r="BI142" s="52" t="str">
        <f t="shared" si="202"/>
        <v>BJE</v>
      </c>
      <c r="BJ142" s="31" t="str">
        <f t="shared" si="203"/>
        <v>OK Bjelovar</v>
      </c>
      <c r="BK142" s="73" t="str">
        <f t="shared" si="204"/>
        <v/>
      </c>
      <c r="BL142" s="31" t="str" cm="1">
        <f t="array" ref="BL142">IF(BK142="",""&amp;BJ142,IF(BK142="NEMA",BJ142,INDEX(regKlub_naziv,MATCH(INDEX(regKlub_alias_klubId,BK142),regKlub_id,0))))</f>
        <v>OK Bjelovar</v>
      </c>
      <c r="BM142" s="31" t="str" cm="1">
        <f t="array" ref="BM142">IFERROR(""&amp;INDEX(regNatjecatelj_klub,DV142),"")</f>
        <v>OK Bjelovar</v>
      </c>
      <c r="BN142" s="73" t="str">
        <f t="shared" ref="BN142:BN205" si="243">IF(BL142=BM142,"",IF(BM142="","",1))</f>
        <v/>
      </c>
      <c r="BO142" s="66" t="str">
        <f t="shared" ref="BO142:BO205" si="244">IF(AND(BM142&lt;&gt;"",BM142&lt;&gt;BL142),BM142,""&amp;BL142)</f>
        <v>OK Bjelovar</v>
      </c>
      <c r="BP142" s="47" t="s">
        <v>0</v>
      </c>
      <c r="BQ142" s="52" t="str">
        <f>IF(X142&lt;&gt;"NEMA","",IF(IFERROR(MATCH(W142,W$12:W141,0),0)&lt;&gt;0,"",W142))</f>
        <v/>
      </c>
      <c r="BR142" s="73" t="str">
        <f t="shared" ref="BR142:BR205" si="245">IF(BQ142="","",IFERROR(INDEX(regKlub_alias_id,MATCH(BQ142,regKlub_alias_alias,0)),"NEMA"))</f>
        <v/>
      </c>
      <c r="BS142" s="31" t="str">
        <f>IF(OR(BR142="",BR142&lt;&gt;"NEMA"),"",MAX(BS$12:BS141)+1)</f>
        <v/>
      </c>
      <c r="BT142" s="66" t="str">
        <f t="shared" ref="BT142:BT205" si="246">IF(OR(BR142="",BR142&lt;&gt;"NEMA"),"",INDEX(regKlub_id,MATCH(BQ142,regKlub_naziv,0)))</f>
        <v/>
      </c>
      <c r="BU142" s="47" t="s">
        <v>0</v>
      </c>
      <c r="BV142" s="19" t="str">
        <f t="shared" ref="BV142:BV205" si="247">IF(OR(BR142="",BR142&lt;&gt;"NEMA"),"","INSERT INTO klub_alias(id,alias,klub_id) VALUES ("&amp;BS142&amp;",'"&amp;BQ142&amp;"',"&amp;BT142&amp;");")</f>
        <v/>
      </c>
      <c r="BW142" s="47" t="s">
        <v>0</v>
      </c>
      <c r="BX142" s="82" t="str">
        <f>IF(BK142&lt;&gt;"NEMA","",IF(IFERROR(MATCH(BJ142,BJ$12:BJ141,0),0)&lt;&gt;0,"",BJ142))</f>
        <v/>
      </c>
      <c r="BY142" s="47" t="s">
        <v>0</v>
      </c>
      <c r="BZ142" s="125"/>
      <c r="CA142" s="47" t="s">
        <v>0</v>
      </c>
      <c r="CB142" s="58" t="str">
        <f t="shared" ref="CB142:CB205" si="248">IF(BZ142="","",IFERROR(INDEX(regKlub_id,MATCH(BZ142,regKlub_naziv,0)),"NEMA"))</f>
        <v/>
      </c>
      <c r="CC142" s="31" t="str">
        <f t="shared" ref="CC142:CC205" si="249">IF(BX142="","",IF(BZ142="",BX142,""))</f>
        <v/>
      </c>
      <c r="CD142" s="31" t="str">
        <f>IF(CC142="","",MAX(CD$12:CD141)+1)</f>
        <v/>
      </c>
      <c r="CE142" s="31" t="str">
        <f t="shared" si="205"/>
        <v/>
      </c>
      <c r="CF142" s="31" t="str">
        <f t="shared" ref="CF142:CF205" si="250">IF(CC142="","","INSERT INTO klub(id,naziv,drzava_id,aktivan) VALUES ("&amp;CD142&amp;",'"&amp;CC142&amp;"',"&amp;CE142&amp;",1);")</f>
        <v/>
      </c>
      <c r="CG142" s="31" t="str">
        <f>IF(BZ142="","",MAX(CG$12:CG141)+1)</f>
        <v/>
      </c>
      <c r="CH142" s="31" t="str">
        <f t="shared" ref="CH142:CH205" si="251">IF(BZ142="","",IF(CD142="",INDEX(regKlub_id,MATCH(BZ142,regKlub_naziv,0)),CD142))</f>
        <v/>
      </c>
      <c r="CI142" s="66" t="str">
        <f t="shared" ref="CI142:CI205" si="252">IF(BZ142="","","INSERT INTO klub_alias(id,alias,klub_id) VALUES ("&amp;CG142&amp;",'"&amp;BX142&amp;"',"&amp;CH142&amp;");")</f>
        <v/>
      </c>
      <c r="CJ142" s="47" t="s">
        <v>0</v>
      </c>
      <c r="CK142" s="73" t="str">
        <f t="shared" si="206"/>
        <v/>
      </c>
      <c r="CL142" s="47"/>
      <c r="CM142" s="19" t="str">
        <f t="shared" ref="CM142:CM205" si="253">""&amp;CF142&amp;IF(AND(CF142&lt;&gt;"",CI142&lt;&gt;""),"
","")&amp;CI142</f>
        <v/>
      </c>
      <c r="CN142" s="47" t="s">
        <v>0</v>
      </c>
      <c r="CO142" s="143" t="str">
        <f t="shared" ref="CO142:CO205" si="254">IF(BO142="","",IF(BZ142="",IF(IFERROR(MATCH(BO142,nat_noviKluboviAliasi,0),0)&gt;0,INDEX(nat_kluboviAliasi,MATCH(BO142,nat_noviKluboviAliasi,0)),BO142),BZ142))</f>
        <v>OK Bjelovar</v>
      </c>
      <c r="CP142" s="47" t="s">
        <v>0</v>
      </c>
      <c r="CQ142" s="58" t="str">
        <f t="shared" si="190"/>
        <v>65:04</v>
      </c>
      <c r="CR142" s="73" t="str">
        <f t="shared" si="191"/>
        <v>0</v>
      </c>
      <c r="CS142" s="229" t="str">
        <f t="shared" si="207"/>
        <v/>
      </c>
      <c r="CT142" s="230">
        <f t="shared" si="192"/>
        <v>3904</v>
      </c>
      <c r="CU142" s="163">
        <f t="shared" si="208"/>
        <v>1</v>
      </c>
      <c r="CV142" s="47" t="s">
        <v>0</v>
      </c>
      <c r="CW142" s="222" t="str">
        <f t="shared" ref="CW142:CW205" si="255">IF(CS142&lt;&gt;"GREŠKA","",AK142&amp;" "&amp;AL142&amp;" – Molim u OEventu provjeriti i ispraviti rezultat – vrijeme ("&amp;IF(CQ142="","nije upisano",CQ142)&amp;") i classifier ("&amp;CR142&amp;").")&amp;IF(OR(CS142&lt;&gt;"GREŠKA",CU142&lt;&gt;5),"
","")&amp;IF(CU142&lt;&gt;5,"",AK142&amp;" "&amp;AL142&amp;" – Molim u provjeriti je li natjecatelj zaista diskvalificiran. Ako je koje je obrazloženje, ako nije molim u OEventu ispraviti rezultat")</f>
        <v xml:space="preserve">
</v>
      </c>
      <c r="CX142" s="223">
        <f t="shared" ref="CX142:CX205" si="256">IF(DX142="","",IF(AND(CU142="0",N(CW142)&gt;data_max_minuta*60),2,INDEX(regStatusRezultat_id,MATCH(VALUE(CU142),regStatusRezultat_oEvent,0))))</f>
        <v>6</v>
      </c>
      <c r="CY142" s="47" t="s">
        <v>0</v>
      </c>
      <c r="CZ142" s="47"/>
      <c r="DA142" s="47"/>
      <c r="DB142" s="47"/>
      <c r="DC142" s="47" t="s">
        <v>0</v>
      </c>
      <c r="DD142" s="53" t="str">
        <f t="shared" si="184"/>
        <v/>
      </c>
      <c r="DE142" t="s">
        <v>0</v>
      </c>
      <c r="DF142" s="128" t="str">
        <f t="shared" si="185"/>
        <v>M</v>
      </c>
      <c r="DG142" t="s">
        <v>0</v>
      </c>
      <c r="DH142" s="52" t="str">
        <f t="shared" si="186"/>
        <v/>
      </c>
      <c r="DI142" s="66" t="str">
        <f t="shared" si="187"/>
        <v/>
      </c>
      <c r="DJ142" t="s">
        <v>0</v>
      </c>
      <c r="DK142" s="19" t="str">
        <f t="shared" si="188"/>
        <v/>
      </c>
      <c r="DL142" s="47" t="s">
        <v>0</v>
      </c>
      <c r="DM142" s="19" t="str">
        <f t="shared" si="189"/>
        <v/>
      </c>
      <c r="DN142" s="47" t="s">
        <v>0</v>
      </c>
      <c r="DO142" s="52" t="str">
        <f t="shared" si="209"/>
        <v>Domagoj – Šantić – OK Bjelovar – M45</v>
      </c>
      <c r="DP142" s="53">
        <f t="shared" si="210"/>
        <v>23</v>
      </c>
      <c r="DQ142" s="47" t="s">
        <v>0</v>
      </c>
      <c r="DR142" s="52" t="str">
        <f t="shared" si="211"/>
        <v>Domagoj – Šantić – OK Bjelovar</v>
      </c>
      <c r="DS142" s="53">
        <f t="shared" si="212"/>
        <v>23</v>
      </c>
      <c r="DT142" s="47" t="s">
        <v>0</v>
      </c>
      <c r="DU142" s="52" t="str">
        <f t="shared" si="213"/>
        <v>Domagoj – Šantić</v>
      </c>
      <c r="DV142" s="53">
        <f t="shared" si="214"/>
        <v>23</v>
      </c>
      <c r="DW142" s="47" t="s">
        <v>0</v>
      </c>
      <c r="DX142" s="58">
        <f t="shared" ref="DX142:DX205" si="257">IF(DP142="","",IF(DP142&lt;&gt;"NEMA",DP142,IF(DS142&lt;&gt;"NEMA",DS142,IF(DV142&lt;&gt;"NEMA",DV142,""))))</f>
        <v>23</v>
      </c>
      <c r="DY142" s="53" cm="1">
        <f t="array" ref="DY142">IF(DX142&lt;&gt;"",INDEX(regNatjecatelj_id,DX142,0),IF(BD142&lt;&gt;"",BD142,""))</f>
        <v>1266</v>
      </c>
      <c r="DZ142" s="47" t="s">
        <v>0</v>
      </c>
      <c r="EA142" s="58" t="str">
        <f t="shared" si="215"/>
        <v>imepre</v>
      </c>
      <c r="EB142" s="73" t="str">
        <f t="shared" si="216"/>
        <v>klu</v>
      </c>
      <c r="EC142" s="73" t="str">
        <f t="shared" si="217"/>
        <v>kat</v>
      </c>
      <c r="ED142" s="73" t="str">
        <f t="shared" si="218"/>
        <v/>
      </c>
      <c r="EE142" s="66" t="str">
        <f t="shared" si="219"/>
        <v>imepre-klu-kat</v>
      </c>
      <c r="EF142" s="47" t="s">
        <v>0</v>
      </c>
      <c r="EG142" s="58">
        <f>IF(AL142="","",MAX(EG$12:EG141)+1)</f>
        <v>309</v>
      </c>
      <c r="EH142" s="73">
        <f t="shared" si="220"/>
        <v>30</v>
      </c>
      <c r="EI142" s="73">
        <f t="shared" ref="EI142:EI205" si="258">IF(DY142="","",DY142)</f>
        <v>1266</v>
      </c>
      <c r="EJ142" s="73">
        <f t="shared" si="221"/>
        <v>3904</v>
      </c>
      <c r="EK142" s="73">
        <f t="shared" si="222"/>
        <v>1</v>
      </c>
      <c r="EL142" s="73">
        <f t="shared" ref="EL142:EL205" si="259">IF(DU142="","",IF(data_trka_je_rangirana=0,0,IF(OR(DP142="",DP142="NEMA"),0,1)))</f>
        <v>1</v>
      </c>
      <c r="EM142" s="73">
        <f t="shared" ref="EM142:EM205" si="260">IF(EG142="","",INDEX(regUparivanje_id,MATCH(EE142,regUparivanje_oznaka,0)))</f>
        <v>1</v>
      </c>
      <c r="EN142" s="73" t="str">
        <f t="shared" si="223"/>
        <v>0</v>
      </c>
      <c r="EO142" s="73" t="str">
        <f t="shared" si="224"/>
        <v/>
      </c>
      <c r="EP142" s="73" t="str">
        <f t="shared" si="225"/>
        <v/>
      </c>
      <c r="EQ142" s="53" t="str">
        <f t="shared" si="226"/>
        <v/>
      </c>
      <c r="ER142" s="47" t="s">
        <v>0</v>
      </c>
      <c r="ES142" s="19" t="str">
        <f t="shared" ref="ES142:ES205" si="261">IF(EH142="","","INSERT INTO rezultat(id,stazakategorija_id,imeprezime_id,vrijeme_sec,status_id,registracija,uparivanje_id,originalstatus_id,imeprezimealias_id,klubalias_id,kategorijaalias_id) VALUES ("&amp;EG142&amp;","&amp;EH142&amp;","&amp;EI142&amp;","&amp;IF(EJ142="","Null",EJ142)&amp;","&amp;EK142&amp;","&amp;EL142&amp;","&amp;EM142&amp;","&amp;EN142&amp;","&amp;IF(EO142="","Null",EO142)&amp;","&amp;IF(EP142="","Null",EP142)&amp;","&amp;IF(EQ142="","Null",EQ142)&amp;");")</f>
        <v>INSERT INTO rezultat(id,stazakategorija_id,imeprezime_id,vrijeme_sec,status_id,registracija,uparivanje_id,originalstatus_id,imeprezimealias_id,klubalias_id,kategorijaalias_id) VALUES (309,30,1266,3904,1,1,1,0,Null,Null,Null);</v>
      </c>
      <c r="ET142" s="47" t="s">
        <v>0</v>
      </c>
      <c r="EU142" s="19" t="str">
        <f t="shared" ref="EU142:EU205" si="262">IF(EH142="","",IF(EL142=1,"UPDATE
	registar
SET
	potvrda = 1
WHERE
	imeprezime_id="&amp;EI142&amp;"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2" s="47" t="s">
        <v>0</v>
      </c>
      <c r="EW142" s="180" t="str">
        <f t="shared" si="227"/>
        <v xml:space="preserve">
INSERT INTO rezultat(id,stazakategorija_id,imeprezime_id,vrijeme_sec,status_id,registracija,uparivanje_id,originalstatus_id,imeprezimealias_id,klubalias_id,kategorijaalias_id) VALUES (309,30,1266,3904,1,1,1,0,Null,Null,Null);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2" s="47" t="s">
        <v>0</v>
      </c>
    </row>
    <row r="143" spans="1:154" x14ac:dyDescent="0.25">
      <c r="A143" t="s">
        <v>0</v>
      </c>
      <c r="B143" s="52" t="str">
        <f>IF(csv!F133="","",csv!T133)</f>
        <v>M45</v>
      </c>
      <c r="C143" s="31" t="s">
        <v>0</v>
      </c>
      <c r="D143" s="31" t="str">
        <f>IF(csv!F133="","",csv!F133)</f>
        <v>Alen</v>
      </c>
      <c r="E143" s="31" t="str">
        <f>IF(csv!E133="","",csv!E133)</f>
        <v>Paliska</v>
      </c>
      <c r="F143" s="31" t="s">
        <v>0</v>
      </c>
      <c r="G143" s="73" t="str">
        <f>IF(csv!M133="","",csv!M133)</f>
        <v>65:53</v>
      </c>
      <c r="H143" s="73" t="str">
        <f>IF(csv!N133="","",csv!N133)</f>
        <v>0</v>
      </c>
      <c r="I143" s="31" t="s">
        <v>0</v>
      </c>
      <c r="J143" s="31" t="str">
        <f>IF(csv!P133="","",csv!P133)</f>
        <v>Vihor</v>
      </c>
      <c r="K143" s="31" t="str">
        <f>IF(csv!Q133="","",csv!Q133)</f>
        <v>OK Vihor</v>
      </c>
      <c r="L143" s="31" t="s">
        <v>0</v>
      </c>
      <c r="M143" s="66" t="str">
        <f>IF(csv!R133="","",csv!R133)</f>
        <v>CRO</v>
      </c>
      <c r="N143" s="47" t="s">
        <v>0</v>
      </c>
      <c r="O143" s="246" t="str">
        <f t="shared" si="228"/>
        <v>ok</v>
      </c>
      <c r="P143" s="47"/>
      <c r="Q143" s="52" t="str">
        <f t="shared" si="229"/>
        <v>M45</v>
      </c>
      <c r="R143" s="73">
        <f>IF(Q143="","",IF(COUNTIF(Q$12:Q142,Q143)=0,R142+1,R142))</f>
        <v>8</v>
      </c>
      <c r="S143" s="73">
        <f t="shared" si="230"/>
        <v>106</v>
      </c>
      <c r="T143" s="73">
        <f t="shared" si="193"/>
        <v>17</v>
      </c>
      <c r="U143" s="66" t="str">
        <f t="shared" si="194"/>
        <v>M45</v>
      </c>
      <c r="V143" s="47" t="s">
        <v>0</v>
      </c>
      <c r="W143" s="222" t="str">
        <f t="shared" si="195"/>
        <v>M45</v>
      </c>
      <c r="X143" s="223">
        <f t="shared" si="196"/>
        <v>30</v>
      </c>
      <c r="Y143" s="47" t="s">
        <v>0</v>
      </c>
      <c r="Z143" s="52" t="str">
        <f t="shared" si="231"/>
        <v>CRO</v>
      </c>
      <c r="AA143" s="73">
        <f t="shared" si="197"/>
        <v>1</v>
      </c>
      <c r="AB143" s="31" t="str">
        <f t="shared" si="232"/>
        <v/>
      </c>
      <c r="AC143" s="66" t="str">
        <f>IF(AB143="","",MAX(AC$12:AC142)+1)</f>
        <v/>
      </c>
      <c r="AD143" s="47" t="s">
        <v>0</v>
      </c>
      <c r="AE143" s="125"/>
      <c r="AF143" s="47" t="s">
        <v>0</v>
      </c>
      <c r="AG143" s="19" t="str">
        <f t="shared" si="233"/>
        <v/>
      </c>
      <c r="AH143" s="47" t="s">
        <v>0</v>
      </c>
      <c r="AI143" s="143" t="str">
        <f t="shared" si="234"/>
        <v>CRO</v>
      </c>
      <c r="AJ143" s="47"/>
      <c r="AK143" s="52" t="str">
        <f t="shared" si="235"/>
        <v>Alen</v>
      </c>
      <c r="AL143" s="31" t="str">
        <f t="shared" si="236"/>
        <v>Paliska</v>
      </c>
      <c r="AM143" s="73">
        <f t="shared" si="237"/>
        <v>1925</v>
      </c>
      <c r="AN143" s="73" t="str">
        <f t="shared" si="238"/>
        <v/>
      </c>
      <c r="AO143" s="31" t="str">
        <f t="shared" si="198"/>
        <v>Alen</v>
      </c>
      <c r="AP143" s="66" t="str">
        <f t="shared" si="199"/>
        <v>Paliska</v>
      </c>
      <c r="AQ143" s="47" t="s">
        <v>0</v>
      </c>
      <c r="AR143" s="82" t="str">
        <f t="shared" si="239"/>
        <v/>
      </c>
      <c r="AS143" s="47" t="s">
        <v>0</v>
      </c>
      <c r="AT143" s="19" t="str">
        <f t="shared" si="240"/>
        <v/>
      </c>
      <c r="AU143" s="47" t="s">
        <v>0</v>
      </c>
      <c r="AV143" s="103"/>
      <c r="AW143" s="105"/>
      <c r="AX143" s="47" t="s">
        <v>0</v>
      </c>
      <c r="AY143" s="259" t="str">
        <f t="shared" si="183"/>
        <v/>
      </c>
      <c r="AZ143" s="47" t="s">
        <v>0</v>
      </c>
      <c r="BA143" s="52" t="str">
        <f t="shared" si="200"/>
        <v/>
      </c>
      <c r="BB143" s="73" t="str">
        <f>IF(AV143&amp;AW143="","",MAX(BB$12:BB142)+1)</f>
        <v/>
      </c>
      <c r="BC143" s="272" t="str">
        <f t="shared" si="201"/>
        <v/>
      </c>
      <c r="BD143" s="53" t="str">
        <f>IF(AND(AM143="NEMA",AN143="NEMA",OR(AV143&amp;AW143="",BC143="NEMA")),MAX(BD$12:BD142)+1,"")</f>
        <v/>
      </c>
      <c r="BE143" s="47" t="s">
        <v>0</v>
      </c>
      <c r="BF143" s="52" t="str">
        <f t="shared" si="241"/>
        <v>Alen</v>
      </c>
      <c r="BG143" s="66" t="str">
        <f t="shared" si="242"/>
        <v>Paliska</v>
      </c>
      <c r="BH143" s="47" t="s">
        <v>0</v>
      </c>
      <c r="BI143" s="52" t="str">
        <f t="shared" si="202"/>
        <v>Vihor</v>
      </c>
      <c r="BJ143" s="31" t="str">
        <f t="shared" si="203"/>
        <v>OK Vihor</v>
      </c>
      <c r="BK143" s="73" t="str">
        <f t="shared" si="204"/>
        <v/>
      </c>
      <c r="BL143" s="31" t="str" cm="1">
        <f t="array" ref="BL143">IF(BK143="",""&amp;BJ143,IF(BK143="NEMA",BJ143,INDEX(regKlub_naziv,MATCH(INDEX(regKlub_alias_klubId,BK143),regKlub_id,0))))</f>
        <v>OK Vihor</v>
      </c>
      <c r="BM143" s="31" t="str" cm="1">
        <f t="array" ref="BM143">IFERROR(""&amp;INDEX(regNatjecatelj_klub,DV143),"")</f>
        <v>OK Vihor</v>
      </c>
      <c r="BN143" s="73" t="str">
        <f t="shared" si="243"/>
        <v/>
      </c>
      <c r="BO143" s="66" t="str">
        <f t="shared" si="244"/>
        <v>OK Vihor</v>
      </c>
      <c r="BP143" s="47" t="s">
        <v>0</v>
      </c>
      <c r="BQ143" s="52" t="str">
        <f>IF(X143&lt;&gt;"NEMA","",IF(IFERROR(MATCH(W143,W$12:W142,0),0)&lt;&gt;0,"",W143))</f>
        <v/>
      </c>
      <c r="BR143" s="73" t="str">
        <f t="shared" si="245"/>
        <v/>
      </c>
      <c r="BS143" s="31" t="str">
        <f>IF(OR(BR143="",BR143&lt;&gt;"NEMA"),"",MAX(BS$12:BS142)+1)</f>
        <v/>
      </c>
      <c r="BT143" s="66" t="str">
        <f t="shared" si="246"/>
        <v/>
      </c>
      <c r="BU143" s="47" t="s">
        <v>0</v>
      </c>
      <c r="BV143" s="19" t="str">
        <f t="shared" si="247"/>
        <v/>
      </c>
      <c r="BW143" s="47" t="s">
        <v>0</v>
      </c>
      <c r="BX143" s="82" t="str">
        <f>IF(BK143&lt;&gt;"NEMA","",IF(IFERROR(MATCH(BJ143,BJ$12:BJ142,0),0)&lt;&gt;0,"",BJ143))</f>
        <v/>
      </c>
      <c r="BY143" s="47" t="s">
        <v>0</v>
      </c>
      <c r="BZ143" s="125"/>
      <c r="CA143" s="47" t="s">
        <v>0</v>
      </c>
      <c r="CB143" s="58" t="str">
        <f t="shared" si="248"/>
        <v/>
      </c>
      <c r="CC143" s="31" t="str">
        <f t="shared" si="249"/>
        <v/>
      </c>
      <c r="CD143" s="31" t="str">
        <f>IF(CC143="","",MAX(CD$12:CD142)+1)</f>
        <v/>
      </c>
      <c r="CE143" s="31" t="str">
        <f t="shared" si="205"/>
        <v/>
      </c>
      <c r="CF143" s="31" t="str">
        <f t="shared" si="250"/>
        <v/>
      </c>
      <c r="CG143" s="31" t="str">
        <f>IF(BZ143="","",MAX(CG$12:CG142)+1)</f>
        <v/>
      </c>
      <c r="CH143" s="31" t="str">
        <f t="shared" si="251"/>
        <v/>
      </c>
      <c r="CI143" s="66" t="str">
        <f t="shared" si="252"/>
        <v/>
      </c>
      <c r="CJ143" s="47" t="s">
        <v>0</v>
      </c>
      <c r="CK143" s="73" t="str">
        <f t="shared" si="206"/>
        <v/>
      </c>
      <c r="CL143" s="47"/>
      <c r="CM143" s="19" t="str">
        <f t="shared" si="253"/>
        <v/>
      </c>
      <c r="CN143" s="47" t="s">
        <v>0</v>
      </c>
      <c r="CO143" s="143" t="str">
        <f t="shared" si="254"/>
        <v>OK Vihor</v>
      </c>
      <c r="CP143" s="47" t="s">
        <v>0</v>
      </c>
      <c r="CQ143" s="58" t="str">
        <f t="shared" si="190"/>
        <v>65:53</v>
      </c>
      <c r="CR143" s="73" t="str">
        <f t="shared" si="191"/>
        <v>0</v>
      </c>
      <c r="CS143" s="229" t="str">
        <f t="shared" si="207"/>
        <v/>
      </c>
      <c r="CT143" s="230">
        <f t="shared" si="192"/>
        <v>3953</v>
      </c>
      <c r="CU143" s="163">
        <f t="shared" si="208"/>
        <v>1</v>
      </c>
      <c r="CV143" s="47" t="s">
        <v>0</v>
      </c>
      <c r="CW143" s="222" t="str">
        <f t="shared" si="255"/>
        <v xml:space="preserve">
</v>
      </c>
      <c r="CX143" s="223">
        <f t="shared" si="256"/>
        <v>6</v>
      </c>
      <c r="CY143" s="47" t="s">
        <v>0</v>
      </c>
      <c r="CZ143" s="47"/>
      <c r="DA143" s="47"/>
      <c r="DB143" s="47"/>
      <c r="DC143" s="47" t="s">
        <v>0</v>
      </c>
      <c r="DD143" s="53" t="str">
        <f t="shared" si="184"/>
        <v/>
      </c>
      <c r="DE143" t="s">
        <v>0</v>
      </c>
      <c r="DF143" s="128" t="str">
        <f t="shared" si="185"/>
        <v>M</v>
      </c>
      <c r="DG143" t="s">
        <v>0</v>
      </c>
      <c r="DH143" s="52" t="str">
        <f t="shared" si="186"/>
        <v/>
      </c>
      <c r="DI143" s="66" t="str">
        <f t="shared" si="187"/>
        <v/>
      </c>
      <c r="DJ143" t="s">
        <v>0</v>
      </c>
      <c r="DK143" s="19" t="str">
        <f t="shared" si="188"/>
        <v/>
      </c>
      <c r="DL143" s="47" t="s">
        <v>0</v>
      </c>
      <c r="DM143" s="19" t="str">
        <f t="shared" si="189"/>
        <v/>
      </c>
      <c r="DN143" s="47" t="s">
        <v>0</v>
      </c>
      <c r="DO143" s="52" t="str">
        <f t="shared" si="209"/>
        <v>Alen – Paliska – OK Vihor – M45</v>
      </c>
      <c r="DP143" s="53">
        <f t="shared" si="210"/>
        <v>835</v>
      </c>
      <c r="DQ143" s="47" t="s">
        <v>0</v>
      </c>
      <c r="DR143" s="52" t="str">
        <f t="shared" si="211"/>
        <v>Alen – Paliska – OK Vihor</v>
      </c>
      <c r="DS143" s="53">
        <f t="shared" si="212"/>
        <v>835</v>
      </c>
      <c r="DT143" s="47" t="s">
        <v>0</v>
      </c>
      <c r="DU143" s="52" t="str">
        <f t="shared" si="213"/>
        <v>Alen – Paliska</v>
      </c>
      <c r="DV143" s="53">
        <f t="shared" si="214"/>
        <v>835</v>
      </c>
      <c r="DW143" s="47" t="s">
        <v>0</v>
      </c>
      <c r="DX143" s="58">
        <f t="shared" si="257"/>
        <v>835</v>
      </c>
      <c r="DY143" s="53" cm="1">
        <f t="array" ref="DY143">IF(DX143&lt;&gt;"",INDEX(regNatjecatelj_id,DX143,0),IF(BD143&lt;&gt;"",BD143,""))</f>
        <v>1925</v>
      </c>
      <c r="DZ143" s="47" t="s">
        <v>0</v>
      </c>
      <c r="EA143" s="58" t="str">
        <f t="shared" si="215"/>
        <v>imepre</v>
      </c>
      <c r="EB143" s="73" t="str">
        <f t="shared" si="216"/>
        <v>klu</v>
      </c>
      <c r="EC143" s="73" t="str">
        <f t="shared" si="217"/>
        <v>kat</v>
      </c>
      <c r="ED143" s="73" t="str">
        <f t="shared" si="218"/>
        <v/>
      </c>
      <c r="EE143" s="66" t="str">
        <f t="shared" si="219"/>
        <v>imepre-klu-kat</v>
      </c>
      <c r="EF143" s="47" t="s">
        <v>0</v>
      </c>
      <c r="EG143" s="58">
        <f>IF(AL143="","",MAX(EG$12:EG142)+1)</f>
        <v>310</v>
      </c>
      <c r="EH143" s="73">
        <f t="shared" si="220"/>
        <v>30</v>
      </c>
      <c r="EI143" s="73">
        <f t="shared" si="258"/>
        <v>1925</v>
      </c>
      <c r="EJ143" s="73">
        <f t="shared" si="221"/>
        <v>3953</v>
      </c>
      <c r="EK143" s="73">
        <f t="shared" si="222"/>
        <v>1</v>
      </c>
      <c r="EL143" s="73">
        <f t="shared" si="259"/>
        <v>1</v>
      </c>
      <c r="EM143" s="73">
        <f t="shared" si="260"/>
        <v>1</v>
      </c>
      <c r="EN143" s="73" t="str">
        <f t="shared" si="223"/>
        <v>0</v>
      </c>
      <c r="EO143" s="73" t="str">
        <f t="shared" si="224"/>
        <v/>
      </c>
      <c r="EP143" s="73" t="str">
        <f t="shared" si="225"/>
        <v/>
      </c>
      <c r="EQ143" s="53" t="str">
        <f t="shared" si="226"/>
        <v/>
      </c>
      <c r="ER143" s="47" t="s">
        <v>0</v>
      </c>
      <c r="ES143" s="19" t="str">
        <f t="shared" si="261"/>
        <v>INSERT INTO rezultat(id,stazakategorija_id,imeprezime_id,vrijeme_sec,status_id,registracija,uparivanje_id,originalstatus_id,imeprezimealias_id,klubalias_id,kategorijaalias_id) VALUES (310,30,1925,3953,1,1,1,0,Null,Null,Null);</v>
      </c>
      <c r="ET143" s="47" t="s">
        <v>0</v>
      </c>
      <c r="EU143" s="19" t="str">
        <f t="shared" si="262"/>
        <v>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3" s="47" t="s">
        <v>0</v>
      </c>
      <c r="EW143" s="180" t="str">
        <f t="shared" si="227"/>
        <v xml:space="preserve">
INSERT INTO rezultat(id,stazakategorija_id,imeprezime_id,vrijeme_sec,status_id,registracija,uparivanje_id,originalstatus_id,imeprezimealias_id,klubalias_id,kategorijaalias_id) VALUES (310,30,1925,3953,1,1,1,0,Null,Null,Null);
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3" s="47" t="s">
        <v>0</v>
      </c>
    </row>
    <row r="144" spans="1:154" x14ac:dyDescent="0.25">
      <c r="A144" t="s">
        <v>0</v>
      </c>
      <c r="B144" s="52" t="str">
        <f>IF(csv!F134="","",csv!T134)</f>
        <v>M45</v>
      </c>
      <c r="C144" s="31" t="s">
        <v>0</v>
      </c>
      <c r="D144" s="31" t="str">
        <f>IF(csv!F134="","",csv!F134)</f>
        <v>Siniša</v>
      </c>
      <c r="E144" s="31" t="str">
        <f>IF(csv!E134="","",csv!E134)</f>
        <v>Mareković</v>
      </c>
      <c r="F144" s="31" t="s">
        <v>0</v>
      </c>
      <c r="G144" s="73" t="str">
        <f>IF(csv!M134="","",csv!M134)</f>
        <v>66:59</v>
      </c>
      <c r="H144" s="73" t="str">
        <f>IF(csv!N134="","",csv!N134)</f>
        <v>0</v>
      </c>
      <c r="I144" s="31" t="s">
        <v>0</v>
      </c>
      <c r="J144" s="31" t="str">
        <f>IF(csv!P134="","",csv!P134)</f>
        <v>Vihor</v>
      </c>
      <c r="K144" s="31" t="str">
        <f>IF(csv!Q134="","",csv!Q134)</f>
        <v>OK Vihor</v>
      </c>
      <c r="L144" s="31" t="s">
        <v>0</v>
      </c>
      <c r="M144" s="66" t="str">
        <f>IF(csv!R134="","",csv!R134)</f>
        <v>CRO</v>
      </c>
      <c r="N144" s="47" t="s">
        <v>0</v>
      </c>
      <c r="O144" s="246" t="str">
        <f t="shared" si="228"/>
        <v>ok</v>
      </c>
      <c r="P144" s="47"/>
      <c r="Q144" s="52" t="str">
        <f t="shared" si="229"/>
        <v>M45</v>
      </c>
      <c r="R144" s="73">
        <f>IF(Q144="","",IF(COUNTIF(Q$12:Q143,Q144)=0,R143+1,R143))</f>
        <v>8</v>
      </c>
      <c r="S144" s="73">
        <f t="shared" si="230"/>
        <v>106</v>
      </c>
      <c r="T144" s="73">
        <f t="shared" si="193"/>
        <v>17</v>
      </c>
      <c r="U144" s="66" t="str">
        <f t="shared" si="194"/>
        <v>M45</v>
      </c>
      <c r="V144" s="47" t="s">
        <v>0</v>
      </c>
      <c r="W144" s="222" t="str">
        <f t="shared" si="195"/>
        <v>M45</v>
      </c>
      <c r="X144" s="223">
        <f t="shared" si="196"/>
        <v>30</v>
      </c>
      <c r="Y144" s="47" t="s">
        <v>0</v>
      </c>
      <c r="Z144" s="52" t="str">
        <f t="shared" si="231"/>
        <v>CRO</v>
      </c>
      <c r="AA144" s="73">
        <f t="shared" si="197"/>
        <v>1</v>
      </c>
      <c r="AB144" s="31" t="str">
        <f t="shared" si="232"/>
        <v/>
      </c>
      <c r="AC144" s="66" t="str">
        <f>IF(AB144="","",MAX(AC$12:AC143)+1)</f>
        <v/>
      </c>
      <c r="AD144" s="47" t="s">
        <v>0</v>
      </c>
      <c r="AE144" s="125"/>
      <c r="AF144" s="47" t="s">
        <v>0</v>
      </c>
      <c r="AG144" s="19" t="str">
        <f t="shared" si="233"/>
        <v/>
      </c>
      <c r="AH144" s="47" t="s">
        <v>0</v>
      </c>
      <c r="AI144" s="143" t="str">
        <f t="shared" si="234"/>
        <v>CRO</v>
      </c>
      <c r="AJ144" s="47"/>
      <c r="AK144" s="52" t="str">
        <f t="shared" si="235"/>
        <v>Siniša</v>
      </c>
      <c r="AL144" s="31" t="str">
        <f t="shared" si="236"/>
        <v>Mareković</v>
      </c>
      <c r="AM144" s="73">
        <f t="shared" si="237"/>
        <v>1183</v>
      </c>
      <c r="AN144" s="73" t="str">
        <f t="shared" si="238"/>
        <v/>
      </c>
      <c r="AO144" s="31" t="str">
        <f t="shared" si="198"/>
        <v>Siniša</v>
      </c>
      <c r="AP144" s="66" t="str">
        <f t="shared" si="199"/>
        <v>Mareković</v>
      </c>
      <c r="AQ144" s="47" t="s">
        <v>0</v>
      </c>
      <c r="AR144" s="82" t="str">
        <f t="shared" si="239"/>
        <v/>
      </c>
      <c r="AS144" s="47" t="s">
        <v>0</v>
      </c>
      <c r="AT144" s="19" t="str">
        <f t="shared" si="240"/>
        <v/>
      </c>
      <c r="AU144" s="47" t="s">
        <v>0</v>
      </c>
      <c r="AV144" s="103"/>
      <c r="AW144" s="105"/>
      <c r="AX144" s="47" t="s">
        <v>0</v>
      </c>
      <c r="AY144" s="259" t="str">
        <f t="shared" si="183"/>
        <v/>
      </c>
      <c r="AZ144" s="47" t="s">
        <v>0</v>
      </c>
      <c r="BA144" s="52" t="str">
        <f t="shared" si="200"/>
        <v/>
      </c>
      <c r="BB144" s="73" t="str">
        <f>IF(AV144&amp;AW144="","",MAX(BB$12:BB143)+1)</f>
        <v/>
      </c>
      <c r="BC144" s="272" t="str">
        <f t="shared" si="201"/>
        <v/>
      </c>
      <c r="BD144" s="53" t="str">
        <f>IF(AND(AM144="NEMA",AN144="NEMA",OR(AV144&amp;AW144="",BC144="NEMA")),MAX(BD$12:BD143)+1,"")</f>
        <v/>
      </c>
      <c r="BE144" s="47" t="s">
        <v>0</v>
      </c>
      <c r="BF144" s="52" t="str">
        <f t="shared" si="241"/>
        <v>Siniša</v>
      </c>
      <c r="BG144" s="66" t="str">
        <f t="shared" si="242"/>
        <v>Mareković</v>
      </c>
      <c r="BH144" s="47" t="s">
        <v>0</v>
      </c>
      <c r="BI144" s="52" t="str">
        <f t="shared" si="202"/>
        <v>Vihor</v>
      </c>
      <c r="BJ144" s="31" t="str">
        <f t="shared" si="203"/>
        <v>OK Vihor</v>
      </c>
      <c r="BK144" s="73" t="str">
        <f t="shared" si="204"/>
        <v/>
      </c>
      <c r="BL144" s="31" t="str" cm="1">
        <f t="array" ref="BL144">IF(BK144="",""&amp;BJ144,IF(BK144="NEMA",BJ144,INDEX(regKlub_naziv,MATCH(INDEX(regKlub_alias_klubId,BK144),regKlub_id,0))))</f>
        <v>OK Vihor</v>
      </c>
      <c r="BM144" s="31" t="str" cm="1">
        <f t="array" ref="BM144">IFERROR(""&amp;INDEX(regNatjecatelj_klub,DV144),"")</f>
        <v>OK Vihor</v>
      </c>
      <c r="BN144" s="73" t="str">
        <f t="shared" si="243"/>
        <v/>
      </c>
      <c r="BO144" s="66" t="str">
        <f t="shared" si="244"/>
        <v>OK Vihor</v>
      </c>
      <c r="BP144" s="47" t="s">
        <v>0</v>
      </c>
      <c r="BQ144" s="52" t="str">
        <f>IF(X144&lt;&gt;"NEMA","",IF(IFERROR(MATCH(W144,W$12:W143,0),0)&lt;&gt;0,"",W144))</f>
        <v/>
      </c>
      <c r="BR144" s="73" t="str">
        <f t="shared" si="245"/>
        <v/>
      </c>
      <c r="BS144" s="31" t="str">
        <f>IF(OR(BR144="",BR144&lt;&gt;"NEMA"),"",MAX(BS$12:BS143)+1)</f>
        <v/>
      </c>
      <c r="BT144" s="66" t="str">
        <f t="shared" si="246"/>
        <v/>
      </c>
      <c r="BU144" s="47" t="s">
        <v>0</v>
      </c>
      <c r="BV144" s="19" t="str">
        <f t="shared" si="247"/>
        <v/>
      </c>
      <c r="BW144" s="47" t="s">
        <v>0</v>
      </c>
      <c r="BX144" s="82" t="str">
        <f>IF(BK144&lt;&gt;"NEMA","",IF(IFERROR(MATCH(BJ144,BJ$12:BJ143,0),0)&lt;&gt;0,"",BJ144))</f>
        <v/>
      </c>
      <c r="BY144" s="47" t="s">
        <v>0</v>
      </c>
      <c r="BZ144" s="125"/>
      <c r="CA144" s="47" t="s">
        <v>0</v>
      </c>
      <c r="CB144" s="58" t="str">
        <f t="shared" si="248"/>
        <v/>
      </c>
      <c r="CC144" s="31" t="str">
        <f t="shared" si="249"/>
        <v/>
      </c>
      <c r="CD144" s="31" t="str">
        <f>IF(CC144="","",MAX(CD$12:CD143)+1)</f>
        <v/>
      </c>
      <c r="CE144" s="31" t="str">
        <f t="shared" si="205"/>
        <v/>
      </c>
      <c r="CF144" s="31" t="str">
        <f t="shared" si="250"/>
        <v/>
      </c>
      <c r="CG144" s="31" t="str">
        <f>IF(BZ144="","",MAX(CG$12:CG143)+1)</f>
        <v/>
      </c>
      <c r="CH144" s="31" t="str">
        <f t="shared" si="251"/>
        <v/>
      </c>
      <c r="CI144" s="66" t="str">
        <f t="shared" si="252"/>
        <v/>
      </c>
      <c r="CJ144" s="47" t="s">
        <v>0</v>
      </c>
      <c r="CK144" s="73" t="str">
        <f t="shared" si="206"/>
        <v/>
      </c>
      <c r="CL144" s="47"/>
      <c r="CM144" s="19" t="str">
        <f t="shared" si="253"/>
        <v/>
      </c>
      <c r="CN144" s="47" t="s">
        <v>0</v>
      </c>
      <c r="CO144" s="143" t="str">
        <f t="shared" si="254"/>
        <v>OK Vihor</v>
      </c>
      <c r="CP144" s="47" t="s">
        <v>0</v>
      </c>
      <c r="CQ144" s="58" t="str">
        <f t="shared" si="190"/>
        <v>66:59</v>
      </c>
      <c r="CR144" s="73" t="str">
        <f t="shared" si="191"/>
        <v>0</v>
      </c>
      <c r="CS144" s="229" t="str">
        <f t="shared" si="207"/>
        <v/>
      </c>
      <c r="CT144" s="230">
        <f t="shared" si="192"/>
        <v>4019</v>
      </c>
      <c r="CU144" s="163">
        <f t="shared" si="208"/>
        <v>1</v>
      </c>
      <c r="CV144" s="47" t="s">
        <v>0</v>
      </c>
      <c r="CW144" s="222" t="str">
        <f t="shared" si="255"/>
        <v xml:space="preserve">
</v>
      </c>
      <c r="CX144" s="223">
        <f t="shared" si="256"/>
        <v>6</v>
      </c>
      <c r="CY144" s="47" t="s">
        <v>0</v>
      </c>
      <c r="CZ144" s="47"/>
      <c r="DA144" s="47"/>
      <c r="DB144" s="47"/>
      <c r="DC144" s="47" t="s">
        <v>0</v>
      </c>
      <c r="DD144" s="53" t="str">
        <f t="shared" si="184"/>
        <v/>
      </c>
      <c r="DE144" t="s">
        <v>0</v>
      </c>
      <c r="DF144" s="128" t="str">
        <f t="shared" si="185"/>
        <v>M</v>
      </c>
      <c r="DG144" t="s">
        <v>0</v>
      </c>
      <c r="DH144" s="52" t="str">
        <f t="shared" si="186"/>
        <v/>
      </c>
      <c r="DI144" s="66" t="str">
        <f t="shared" si="187"/>
        <v/>
      </c>
      <c r="DJ144" t="s">
        <v>0</v>
      </c>
      <c r="DK144" s="19" t="str">
        <f t="shared" si="188"/>
        <v/>
      </c>
      <c r="DL144" s="47" t="s">
        <v>0</v>
      </c>
      <c r="DM144" s="19" t="str">
        <f t="shared" si="189"/>
        <v/>
      </c>
      <c r="DN144" s="47" t="s">
        <v>0</v>
      </c>
      <c r="DO144" s="52" t="str">
        <f t="shared" si="209"/>
        <v>Siniša – Mareković – OK Vihor – M45</v>
      </c>
      <c r="DP144" s="53">
        <f t="shared" si="210"/>
        <v>788</v>
      </c>
      <c r="DQ144" s="47" t="s">
        <v>0</v>
      </c>
      <c r="DR144" s="52" t="str">
        <f t="shared" si="211"/>
        <v>Siniša – Mareković – OK Vihor</v>
      </c>
      <c r="DS144" s="53">
        <f t="shared" si="212"/>
        <v>788</v>
      </c>
      <c r="DT144" s="47" t="s">
        <v>0</v>
      </c>
      <c r="DU144" s="52" t="str">
        <f t="shared" si="213"/>
        <v>Siniša – Mareković</v>
      </c>
      <c r="DV144" s="53">
        <f t="shared" si="214"/>
        <v>788</v>
      </c>
      <c r="DW144" s="47" t="s">
        <v>0</v>
      </c>
      <c r="DX144" s="58">
        <f t="shared" si="257"/>
        <v>788</v>
      </c>
      <c r="DY144" s="53" cm="1">
        <f t="array" ref="DY144">IF(DX144&lt;&gt;"",INDEX(regNatjecatelj_id,DX144,0),IF(BD144&lt;&gt;"",BD144,""))</f>
        <v>1183</v>
      </c>
      <c r="DZ144" s="47" t="s">
        <v>0</v>
      </c>
      <c r="EA144" s="58" t="str">
        <f t="shared" si="215"/>
        <v>imepre</v>
      </c>
      <c r="EB144" s="73" t="str">
        <f t="shared" si="216"/>
        <v>klu</v>
      </c>
      <c r="EC144" s="73" t="str">
        <f t="shared" si="217"/>
        <v>kat</v>
      </c>
      <c r="ED144" s="73" t="str">
        <f t="shared" si="218"/>
        <v/>
      </c>
      <c r="EE144" s="66" t="str">
        <f t="shared" si="219"/>
        <v>imepre-klu-kat</v>
      </c>
      <c r="EF144" s="47" t="s">
        <v>0</v>
      </c>
      <c r="EG144" s="58">
        <f>IF(AL144="","",MAX(EG$12:EG143)+1)</f>
        <v>311</v>
      </c>
      <c r="EH144" s="73">
        <f t="shared" si="220"/>
        <v>30</v>
      </c>
      <c r="EI144" s="73">
        <f t="shared" si="258"/>
        <v>1183</v>
      </c>
      <c r="EJ144" s="73">
        <f t="shared" si="221"/>
        <v>4019</v>
      </c>
      <c r="EK144" s="73">
        <f t="shared" si="222"/>
        <v>1</v>
      </c>
      <c r="EL144" s="73">
        <f t="shared" si="259"/>
        <v>1</v>
      </c>
      <c r="EM144" s="73">
        <f t="shared" si="260"/>
        <v>1</v>
      </c>
      <c r="EN144" s="73" t="str">
        <f t="shared" si="223"/>
        <v>0</v>
      </c>
      <c r="EO144" s="73" t="str">
        <f t="shared" si="224"/>
        <v/>
      </c>
      <c r="EP144" s="73" t="str">
        <f t="shared" si="225"/>
        <v/>
      </c>
      <c r="EQ144" s="53" t="str">
        <f t="shared" si="226"/>
        <v/>
      </c>
      <c r="ER144" s="47" t="s">
        <v>0</v>
      </c>
      <c r="ES144" s="19" t="str">
        <f t="shared" si="261"/>
        <v>INSERT INTO rezultat(id,stazakategorija_id,imeprezime_id,vrijeme_sec,status_id,registracija,uparivanje_id,originalstatus_id,imeprezimealias_id,klubalias_id,kategorijaalias_id) VALUES (311,30,1183,4019,1,1,1,0,Null,Null,Null);</v>
      </c>
      <c r="ET144" s="47" t="s">
        <v>0</v>
      </c>
      <c r="EU144" s="19" t="str">
        <f t="shared" si="262"/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4" s="47" t="s">
        <v>0</v>
      </c>
      <c r="EW144" s="180" t="str">
        <f t="shared" si="227"/>
        <v xml:space="preserve">
INSERT INTO rezultat(id,stazakategorija_id,imeprezime_id,vrijeme_sec,status_id,registracija,uparivanje_id,originalstatus_id,imeprezimealias_id,klubalias_id,kategorijaalias_id) VALUES (311,30,1183,4019,1,1,1,0,Null,Null,Null);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4" s="47" t="s">
        <v>0</v>
      </c>
    </row>
    <row r="145" spans="1:154" x14ac:dyDescent="0.25">
      <c r="A145" t="s">
        <v>0</v>
      </c>
      <c r="B145" s="52" t="str">
        <f>IF(csv!F135="","",csv!T135)</f>
        <v>M45</v>
      </c>
      <c r="C145" s="31" t="s">
        <v>0</v>
      </c>
      <c r="D145" s="31" t="str">
        <f>IF(csv!F135="","",csv!F135)</f>
        <v>Hrvoje</v>
      </c>
      <c r="E145" s="31" t="str">
        <f>IF(csv!E135="","",csv!E135)</f>
        <v>Dasović</v>
      </c>
      <c r="F145" s="31" t="s">
        <v>0</v>
      </c>
      <c r="G145" s="73" t="str">
        <f>IF(csv!M135="","",csv!M135)</f>
        <v>68:40</v>
      </c>
      <c r="H145" s="73" t="str">
        <f>IF(csv!N135="","",csv!N135)</f>
        <v>0</v>
      </c>
      <c r="I145" s="31" t="s">
        <v>0</v>
      </c>
      <c r="J145" s="31" t="str">
        <f>IF(csv!P135="","",csv!P135)</f>
        <v>KAP</v>
      </c>
      <c r="K145" s="31" t="str">
        <f>IF(csv!Q135="","",csv!Q135)</f>
        <v>OK Kapela</v>
      </c>
      <c r="L145" s="31" t="s">
        <v>0</v>
      </c>
      <c r="M145" s="66" t="str">
        <f>IF(csv!R135="","",csv!R135)</f>
        <v>CRO</v>
      </c>
      <c r="N145" s="47" t="s">
        <v>0</v>
      </c>
      <c r="O145" s="246" t="str">
        <f t="shared" si="228"/>
        <v>ok</v>
      </c>
      <c r="P145" s="47"/>
      <c r="Q145" s="52" t="str">
        <f t="shared" si="229"/>
        <v>M45</v>
      </c>
      <c r="R145" s="73">
        <f>IF(Q145="","",IF(COUNTIF(Q$12:Q144,Q145)=0,R144+1,R144))</f>
        <v>8</v>
      </c>
      <c r="S145" s="73">
        <f t="shared" si="230"/>
        <v>106</v>
      </c>
      <c r="T145" s="73">
        <f t="shared" si="193"/>
        <v>17</v>
      </c>
      <c r="U145" s="66" t="str">
        <f t="shared" si="194"/>
        <v>M45</v>
      </c>
      <c r="V145" s="47" t="s">
        <v>0</v>
      </c>
      <c r="W145" s="222" t="str">
        <f t="shared" si="195"/>
        <v>M45</v>
      </c>
      <c r="X145" s="223">
        <f t="shared" si="196"/>
        <v>30</v>
      </c>
      <c r="Y145" s="47" t="s">
        <v>0</v>
      </c>
      <c r="Z145" s="52" t="str">
        <f t="shared" si="231"/>
        <v>CRO</v>
      </c>
      <c r="AA145" s="73">
        <f t="shared" si="197"/>
        <v>1</v>
      </c>
      <c r="AB145" s="31" t="str">
        <f t="shared" si="232"/>
        <v/>
      </c>
      <c r="AC145" s="66" t="str">
        <f>IF(AB145="","",MAX(AC$12:AC144)+1)</f>
        <v/>
      </c>
      <c r="AD145" s="47" t="s">
        <v>0</v>
      </c>
      <c r="AE145" s="125"/>
      <c r="AF145" s="47" t="s">
        <v>0</v>
      </c>
      <c r="AG145" s="19" t="str">
        <f t="shared" si="233"/>
        <v/>
      </c>
      <c r="AH145" s="47" t="s">
        <v>0</v>
      </c>
      <c r="AI145" s="143" t="str">
        <f t="shared" si="234"/>
        <v>CRO</v>
      </c>
      <c r="AJ145" s="47"/>
      <c r="AK145" s="52" t="str">
        <f t="shared" si="235"/>
        <v>Hrvoje</v>
      </c>
      <c r="AL145" s="31" t="str">
        <f t="shared" si="236"/>
        <v>Dasović</v>
      </c>
      <c r="AM145" s="73">
        <f t="shared" si="237"/>
        <v>1450</v>
      </c>
      <c r="AN145" s="73" t="str">
        <f t="shared" si="238"/>
        <v/>
      </c>
      <c r="AO145" s="31" t="str">
        <f t="shared" si="198"/>
        <v>Hrvoje</v>
      </c>
      <c r="AP145" s="66" t="str">
        <f t="shared" si="199"/>
        <v>Dasović</v>
      </c>
      <c r="AQ145" s="47" t="s">
        <v>0</v>
      </c>
      <c r="AR145" s="82" t="str">
        <f t="shared" si="239"/>
        <v/>
      </c>
      <c r="AS145" s="47" t="s">
        <v>0</v>
      </c>
      <c r="AT145" s="19" t="str">
        <f t="shared" si="240"/>
        <v/>
      </c>
      <c r="AU145" s="47" t="s">
        <v>0</v>
      </c>
      <c r="AV145" s="103"/>
      <c r="AW145" s="105"/>
      <c r="AX145" s="47" t="s">
        <v>0</v>
      </c>
      <c r="AY145" s="259" t="str">
        <f t="shared" si="183"/>
        <v/>
      </c>
      <c r="AZ145" s="47" t="s">
        <v>0</v>
      </c>
      <c r="BA145" s="52" t="str">
        <f t="shared" si="200"/>
        <v/>
      </c>
      <c r="BB145" s="73" t="str">
        <f>IF(AV145&amp;AW145="","",MAX(BB$12:BB144)+1)</f>
        <v/>
      </c>
      <c r="BC145" s="272" t="str">
        <f t="shared" si="201"/>
        <v/>
      </c>
      <c r="BD145" s="53" t="str">
        <f>IF(AND(AM145="NEMA",AN145="NEMA",OR(AV145&amp;AW145="",BC145="NEMA")),MAX(BD$12:BD144)+1,"")</f>
        <v/>
      </c>
      <c r="BE145" s="47" t="s">
        <v>0</v>
      </c>
      <c r="BF145" s="52" t="str">
        <f t="shared" si="241"/>
        <v>Hrvoje</v>
      </c>
      <c r="BG145" s="66" t="str">
        <f t="shared" si="242"/>
        <v>Dasović</v>
      </c>
      <c r="BH145" s="47" t="s">
        <v>0</v>
      </c>
      <c r="BI145" s="52" t="str">
        <f t="shared" si="202"/>
        <v>KAP</v>
      </c>
      <c r="BJ145" s="31" t="str">
        <f t="shared" si="203"/>
        <v>OK Kapela</v>
      </c>
      <c r="BK145" s="73" t="str">
        <f t="shared" si="204"/>
        <v/>
      </c>
      <c r="BL145" s="31" t="str" cm="1">
        <f t="array" ref="BL145">IF(BK145="",""&amp;BJ145,IF(BK145="NEMA",BJ145,INDEX(regKlub_naziv,MATCH(INDEX(regKlub_alias_klubId,BK145),regKlub_id,0))))</f>
        <v>OK Kapela</v>
      </c>
      <c r="BM145" s="31" t="str" cm="1">
        <f t="array" ref="BM145">IFERROR(""&amp;INDEX(regNatjecatelj_klub,DV145),"")</f>
        <v>OK Kapela</v>
      </c>
      <c r="BN145" s="73" t="str">
        <f t="shared" si="243"/>
        <v/>
      </c>
      <c r="BO145" s="66" t="str">
        <f t="shared" si="244"/>
        <v>OK Kapela</v>
      </c>
      <c r="BP145" s="47" t="s">
        <v>0</v>
      </c>
      <c r="BQ145" s="52" t="str">
        <f>IF(X145&lt;&gt;"NEMA","",IF(IFERROR(MATCH(W145,W$12:W144,0),0)&lt;&gt;0,"",W145))</f>
        <v/>
      </c>
      <c r="BR145" s="73" t="str">
        <f t="shared" si="245"/>
        <v/>
      </c>
      <c r="BS145" s="31" t="str">
        <f>IF(OR(BR145="",BR145&lt;&gt;"NEMA"),"",MAX(BS$12:BS144)+1)</f>
        <v/>
      </c>
      <c r="BT145" s="66" t="str">
        <f t="shared" si="246"/>
        <v/>
      </c>
      <c r="BU145" s="47" t="s">
        <v>0</v>
      </c>
      <c r="BV145" s="19" t="str">
        <f t="shared" si="247"/>
        <v/>
      </c>
      <c r="BW145" s="47" t="s">
        <v>0</v>
      </c>
      <c r="BX145" s="82" t="str">
        <f>IF(BK145&lt;&gt;"NEMA","",IF(IFERROR(MATCH(BJ145,BJ$12:BJ144,0),0)&lt;&gt;0,"",BJ145))</f>
        <v/>
      </c>
      <c r="BY145" s="47" t="s">
        <v>0</v>
      </c>
      <c r="BZ145" s="125"/>
      <c r="CA145" s="47" t="s">
        <v>0</v>
      </c>
      <c r="CB145" s="58" t="str">
        <f t="shared" si="248"/>
        <v/>
      </c>
      <c r="CC145" s="31" t="str">
        <f t="shared" si="249"/>
        <v/>
      </c>
      <c r="CD145" s="31" t="str">
        <f>IF(CC145="","",MAX(CD$12:CD144)+1)</f>
        <v/>
      </c>
      <c r="CE145" s="31" t="str">
        <f t="shared" si="205"/>
        <v/>
      </c>
      <c r="CF145" s="31" t="str">
        <f t="shared" si="250"/>
        <v/>
      </c>
      <c r="CG145" s="31" t="str">
        <f>IF(BZ145="","",MAX(CG$12:CG144)+1)</f>
        <v/>
      </c>
      <c r="CH145" s="31" t="str">
        <f t="shared" si="251"/>
        <v/>
      </c>
      <c r="CI145" s="66" t="str">
        <f t="shared" si="252"/>
        <v/>
      </c>
      <c r="CJ145" s="47" t="s">
        <v>0</v>
      </c>
      <c r="CK145" s="73" t="str">
        <f t="shared" si="206"/>
        <v/>
      </c>
      <c r="CL145" s="47"/>
      <c r="CM145" s="19" t="str">
        <f t="shared" si="253"/>
        <v/>
      </c>
      <c r="CN145" s="47" t="s">
        <v>0</v>
      </c>
      <c r="CO145" s="143" t="str">
        <f t="shared" si="254"/>
        <v>OK Kapela</v>
      </c>
      <c r="CP145" s="47" t="s">
        <v>0</v>
      </c>
      <c r="CQ145" s="58" t="str">
        <f t="shared" si="190"/>
        <v>68:40</v>
      </c>
      <c r="CR145" s="73" t="str">
        <f t="shared" si="191"/>
        <v>0</v>
      </c>
      <c r="CS145" s="229" t="str">
        <f t="shared" si="207"/>
        <v/>
      </c>
      <c r="CT145" s="230">
        <f t="shared" si="192"/>
        <v>4120</v>
      </c>
      <c r="CU145" s="163">
        <f t="shared" si="208"/>
        <v>1</v>
      </c>
      <c r="CV145" s="47" t="s">
        <v>0</v>
      </c>
      <c r="CW145" s="222" t="str">
        <f t="shared" si="255"/>
        <v xml:space="preserve">
</v>
      </c>
      <c r="CX145" s="223">
        <f t="shared" si="256"/>
        <v>6</v>
      </c>
      <c r="CY145" s="47" t="s">
        <v>0</v>
      </c>
      <c r="CZ145" s="47"/>
      <c r="DA145" s="47"/>
      <c r="DB145" s="47"/>
      <c r="DC145" s="47" t="s">
        <v>0</v>
      </c>
      <c r="DD145" s="53" t="str">
        <f t="shared" si="184"/>
        <v/>
      </c>
      <c r="DE145" t="s">
        <v>0</v>
      </c>
      <c r="DF145" s="128" t="str">
        <f t="shared" si="185"/>
        <v>M</v>
      </c>
      <c r="DG145" t="s">
        <v>0</v>
      </c>
      <c r="DH145" s="52" t="str">
        <f t="shared" si="186"/>
        <v/>
      </c>
      <c r="DI145" s="66" t="str">
        <f t="shared" si="187"/>
        <v/>
      </c>
      <c r="DJ145" t="s">
        <v>0</v>
      </c>
      <c r="DK145" s="19" t="str">
        <f t="shared" si="188"/>
        <v/>
      </c>
      <c r="DL145" s="47" t="s">
        <v>0</v>
      </c>
      <c r="DM145" s="19" t="str">
        <f t="shared" si="189"/>
        <v/>
      </c>
      <c r="DN145" s="47" t="s">
        <v>0</v>
      </c>
      <c r="DO145" s="52" t="str">
        <f t="shared" si="209"/>
        <v>Hrvoje – Dasović – OK Kapela – M45</v>
      </c>
      <c r="DP145" s="53">
        <f t="shared" si="210"/>
        <v>225</v>
      </c>
      <c r="DQ145" s="47" t="s">
        <v>0</v>
      </c>
      <c r="DR145" s="52" t="str">
        <f t="shared" si="211"/>
        <v>Hrvoje – Dasović – OK Kapela</v>
      </c>
      <c r="DS145" s="53">
        <f t="shared" si="212"/>
        <v>225</v>
      </c>
      <c r="DT145" s="47" t="s">
        <v>0</v>
      </c>
      <c r="DU145" s="52" t="str">
        <f t="shared" si="213"/>
        <v>Hrvoje – Dasović</v>
      </c>
      <c r="DV145" s="53">
        <f t="shared" si="214"/>
        <v>225</v>
      </c>
      <c r="DW145" s="47" t="s">
        <v>0</v>
      </c>
      <c r="DX145" s="58">
        <f t="shared" si="257"/>
        <v>225</v>
      </c>
      <c r="DY145" s="53" cm="1">
        <f t="array" ref="DY145">IF(DX145&lt;&gt;"",INDEX(regNatjecatelj_id,DX145,0),IF(BD145&lt;&gt;"",BD145,""))</f>
        <v>1450</v>
      </c>
      <c r="DZ145" s="47" t="s">
        <v>0</v>
      </c>
      <c r="EA145" s="58" t="str">
        <f t="shared" si="215"/>
        <v>imepre</v>
      </c>
      <c r="EB145" s="73" t="str">
        <f t="shared" si="216"/>
        <v>klu</v>
      </c>
      <c r="EC145" s="73" t="str">
        <f t="shared" si="217"/>
        <v>kat</v>
      </c>
      <c r="ED145" s="73" t="str">
        <f t="shared" si="218"/>
        <v/>
      </c>
      <c r="EE145" s="66" t="str">
        <f t="shared" si="219"/>
        <v>imepre-klu-kat</v>
      </c>
      <c r="EF145" s="47" t="s">
        <v>0</v>
      </c>
      <c r="EG145" s="58">
        <f>IF(AL145="","",MAX(EG$12:EG144)+1)</f>
        <v>312</v>
      </c>
      <c r="EH145" s="73">
        <f t="shared" si="220"/>
        <v>30</v>
      </c>
      <c r="EI145" s="73">
        <f t="shared" si="258"/>
        <v>1450</v>
      </c>
      <c r="EJ145" s="73">
        <f t="shared" si="221"/>
        <v>4120</v>
      </c>
      <c r="EK145" s="73">
        <f t="shared" si="222"/>
        <v>1</v>
      </c>
      <c r="EL145" s="73">
        <f t="shared" si="259"/>
        <v>1</v>
      </c>
      <c r="EM145" s="73">
        <f t="shared" si="260"/>
        <v>1</v>
      </c>
      <c r="EN145" s="73" t="str">
        <f t="shared" si="223"/>
        <v>0</v>
      </c>
      <c r="EO145" s="73" t="str">
        <f t="shared" si="224"/>
        <v/>
      </c>
      <c r="EP145" s="73" t="str">
        <f t="shared" si="225"/>
        <v/>
      </c>
      <c r="EQ145" s="53" t="str">
        <f t="shared" si="226"/>
        <v/>
      </c>
      <c r="ER145" s="47" t="s">
        <v>0</v>
      </c>
      <c r="ES145" s="19" t="str">
        <f t="shared" si="261"/>
        <v>INSERT INTO rezultat(id,stazakategorija_id,imeprezime_id,vrijeme_sec,status_id,registracija,uparivanje_id,originalstatus_id,imeprezimealias_id,klubalias_id,kategorijaalias_id) VALUES (312,30,1450,4120,1,1,1,0,Null,Null,Null);</v>
      </c>
      <c r="ET145" s="47" t="s">
        <v>0</v>
      </c>
      <c r="EU145" s="19" t="str">
        <f t="shared" si="262"/>
        <v>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5" s="47" t="s">
        <v>0</v>
      </c>
      <c r="EW145" s="180" t="str">
        <f t="shared" si="227"/>
        <v xml:space="preserve">
INSERT INTO rezultat(id,stazakategorija_id,imeprezime_id,vrijeme_sec,status_id,registracija,uparivanje_id,originalstatus_id,imeprezimealias_id,klubalias_id,kategorijaalias_id) VALUES (312,30,1450,4120,1,1,1,0,Null,Null,Null);
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5" s="47" t="s">
        <v>0</v>
      </c>
    </row>
    <row r="146" spans="1:154" x14ac:dyDescent="0.25">
      <c r="A146" t="s">
        <v>0</v>
      </c>
      <c r="B146" s="52" t="str">
        <f>IF(csv!F136="","",csv!T136)</f>
        <v>M45</v>
      </c>
      <c r="C146" s="31" t="s">
        <v>0</v>
      </c>
      <c r="D146" s="31" t="str">
        <f>IF(csv!F136="","",csv!F136)</f>
        <v>Mario</v>
      </c>
      <c r="E146" s="31" t="str">
        <f>IF(csv!E136="","",csv!E136)</f>
        <v>Nimac</v>
      </c>
      <c r="F146" s="31" t="s">
        <v>0</v>
      </c>
      <c r="G146" s="73" t="str">
        <f>IF(csv!M136="","",csv!M136)</f>
        <v>71:50</v>
      </c>
      <c r="H146" s="73" t="str">
        <f>IF(csv!N136="","",csv!N136)</f>
        <v>0</v>
      </c>
      <c r="I146" s="31" t="s">
        <v>0</v>
      </c>
      <c r="J146" s="31" t="str">
        <f>IF(csv!P136="","",csv!P136)</f>
        <v>KAP</v>
      </c>
      <c r="K146" s="31" t="str">
        <f>IF(csv!Q136="","",csv!Q136)</f>
        <v>OK Kapela</v>
      </c>
      <c r="L146" s="31" t="s">
        <v>0</v>
      </c>
      <c r="M146" s="66" t="str">
        <f>IF(csv!R136="","",csv!R136)</f>
        <v>CRO</v>
      </c>
      <c r="N146" s="47" t="s">
        <v>0</v>
      </c>
      <c r="O146" s="246" t="str">
        <f t="shared" si="228"/>
        <v>ok</v>
      </c>
      <c r="P146" s="47"/>
      <c r="Q146" s="52" t="str">
        <f t="shared" si="229"/>
        <v>M45</v>
      </c>
      <c r="R146" s="73">
        <f>IF(Q146="","",IF(COUNTIF(Q$12:Q145,Q146)=0,R145+1,R145))</f>
        <v>8</v>
      </c>
      <c r="S146" s="73">
        <f t="shared" si="230"/>
        <v>106</v>
      </c>
      <c r="T146" s="73">
        <f t="shared" si="193"/>
        <v>17</v>
      </c>
      <c r="U146" s="66" t="str">
        <f t="shared" si="194"/>
        <v>M45</v>
      </c>
      <c r="V146" s="47" t="s">
        <v>0</v>
      </c>
      <c r="W146" s="222" t="str">
        <f t="shared" si="195"/>
        <v>M45</v>
      </c>
      <c r="X146" s="223">
        <f t="shared" si="196"/>
        <v>30</v>
      </c>
      <c r="Y146" s="47" t="s">
        <v>0</v>
      </c>
      <c r="Z146" s="52" t="str">
        <f t="shared" si="231"/>
        <v>CRO</v>
      </c>
      <c r="AA146" s="73">
        <f t="shared" si="197"/>
        <v>1</v>
      </c>
      <c r="AB146" s="31" t="str">
        <f t="shared" si="232"/>
        <v/>
      </c>
      <c r="AC146" s="66" t="str">
        <f>IF(AB146="","",MAX(AC$12:AC145)+1)</f>
        <v/>
      </c>
      <c r="AD146" s="47" t="s">
        <v>0</v>
      </c>
      <c r="AE146" s="125"/>
      <c r="AF146" s="47" t="s">
        <v>0</v>
      </c>
      <c r="AG146" s="19" t="str">
        <f t="shared" si="233"/>
        <v/>
      </c>
      <c r="AH146" s="47" t="s">
        <v>0</v>
      </c>
      <c r="AI146" s="143" t="str">
        <f t="shared" si="234"/>
        <v>CRO</v>
      </c>
      <c r="AJ146" s="47"/>
      <c r="AK146" s="52" t="str">
        <f t="shared" si="235"/>
        <v>Mario</v>
      </c>
      <c r="AL146" s="31" t="str">
        <f t="shared" si="236"/>
        <v>Nimac</v>
      </c>
      <c r="AM146" s="73">
        <f t="shared" si="237"/>
        <v>1516</v>
      </c>
      <c r="AN146" s="73" t="str">
        <f t="shared" si="238"/>
        <v/>
      </c>
      <c r="AO146" s="31" t="str">
        <f t="shared" si="198"/>
        <v>Mario</v>
      </c>
      <c r="AP146" s="66" t="str">
        <f t="shared" si="199"/>
        <v>Nimac</v>
      </c>
      <c r="AQ146" s="47" t="s">
        <v>0</v>
      </c>
      <c r="AR146" s="82" t="str">
        <f t="shared" si="239"/>
        <v/>
      </c>
      <c r="AS146" s="47" t="s">
        <v>0</v>
      </c>
      <c r="AT146" s="19" t="str">
        <f t="shared" si="240"/>
        <v/>
      </c>
      <c r="AU146" s="47" t="s">
        <v>0</v>
      </c>
      <c r="AV146" s="103"/>
      <c r="AW146" s="105"/>
      <c r="AX146" s="47" t="s">
        <v>0</v>
      </c>
      <c r="AY146" s="259" t="str">
        <f t="shared" si="183"/>
        <v/>
      </c>
      <c r="AZ146" s="47" t="s">
        <v>0</v>
      </c>
      <c r="BA146" s="52" t="str">
        <f t="shared" si="200"/>
        <v/>
      </c>
      <c r="BB146" s="73" t="str">
        <f>IF(AV146&amp;AW146="","",MAX(BB$12:BB145)+1)</f>
        <v/>
      </c>
      <c r="BC146" s="272" t="str">
        <f t="shared" si="201"/>
        <v/>
      </c>
      <c r="BD146" s="53" t="str">
        <f>IF(AND(AM146="NEMA",AN146="NEMA",OR(AV146&amp;AW146="",BC146="NEMA")),MAX(BD$12:BD145)+1,"")</f>
        <v/>
      </c>
      <c r="BE146" s="47" t="s">
        <v>0</v>
      </c>
      <c r="BF146" s="52" t="str">
        <f t="shared" si="241"/>
        <v>Mario</v>
      </c>
      <c r="BG146" s="66" t="str">
        <f t="shared" si="242"/>
        <v>Nimac</v>
      </c>
      <c r="BH146" s="47" t="s">
        <v>0</v>
      </c>
      <c r="BI146" s="52" t="str">
        <f t="shared" si="202"/>
        <v>KAP</v>
      </c>
      <c r="BJ146" s="31" t="str">
        <f t="shared" si="203"/>
        <v>OK Kapela</v>
      </c>
      <c r="BK146" s="73" t="str">
        <f t="shared" si="204"/>
        <v/>
      </c>
      <c r="BL146" s="31" t="str" cm="1">
        <f t="array" ref="BL146">IF(BK146="",""&amp;BJ146,IF(BK146="NEMA",BJ146,INDEX(regKlub_naziv,MATCH(INDEX(regKlub_alias_klubId,BK146),regKlub_id,0))))</f>
        <v>OK Kapela</v>
      </c>
      <c r="BM146" s="31" t="str" cm="1">
        <f t="array" ref="BM146">IFERROR(""&amp;INDEX(regNatjecatelj_klub,DV146),"")</f>
        <v>OK Kapela</v>
      </c>
      <c r="BN146" s="73" t="str">
        <f t="shared" si="243"/>
        <v/>
      </c>
      <c r="BO146" s="66" t="str">
        <f t="shared" si="244"/>
        <v>OK Kapela</v>
      </c>
      <c r="BP146" s="47" t="s">
        <v>0</v>
      </c>
      <c r="BQ146" s="52" t="str">
        <f>IF(X146&lt;&gt;"NEMA","",IF(IFERROR(MATCH(W146,W$12:W145,0),0)&lt;&gt;0,"",W146))</f>
        <v/>
      </c>
      <c r="BR146" s="73" t="str">
        <f t="shared" si="245"/>
        <v/>
      </c>
      <c r="BS146" s="31" t="str">
        <f>IF(OR(BR146="",BR146&lt;&gt;"NEMA"),"",MAX(BS$12:BS145)+1)</f>
        <v/>
      </c>
      <c r="BT146" s="66" t="str">
        <f t="shared" si="246"/>
        <v/>
      </c>
      <c r="BU146" s="47" t="s">
        <v>0</v>
      </c>
      <c r="BV146" s="19" t="str">
        <f t="shared" si="247"/>
        <v/>
      </c>
      <c r="BW146" s="47" t="s">
        <v>0</v>
      </c>
      <c r="BX146" s="82" t="str">
        <f>IF(BK146&lt;&gt;"NEMA","",IF(IFERROR(MATCH(BJ146,BJ$12:BJ145,0),0)&lt;&gt;0,"",BJ146))</f>
        <v/>
      </c>
      <c r="BY146" s="47" t="s">
        <v>0</v>
      </c>
      <c r="BZ146" s="125"/>
      <c r="CA146" s="47" t="s">
        <v>0</v>
      </c>
      <c r="CB146" s="58" t="str">
        <f t="shared" si="248"/>
        <v/>
      </c>
      <c r="CC146" s="31" t="str">
        <f t="shared" si="249"/>
        <v/>
      </c>
      <c r="CD146" s="31" t="str">
        <f>IF(CC146="","",MAX(CD$12:CD145)+1)</f>
        <v/>
      </c>
      <c r="CE146" s="31" t="str">
        <f t="shared" si="205"/>
        <v/>
      </c>
      <c r="CF146" s="31" t="str">
        <f t="shared" si="250"/>
        <v/>
      </c>
      <c r="CG146" s="31" t="str">
        <f>IF(BZ146="","",MAX(CG$12:CG145)+1)</f>
        <v/>
      </c>
      <c r="CH146" s="31" t="str">
        <f t="shared" si="251"/>
        <v/>
      </c>
      <c r="CI146" s="66" t="str">
        <f t="shared" si="252"/>
        <v/>
      </c>
      <c r="CJ146" s="47" t="s">
        <v>0</v>
      </c>
      <c r="CK146" s="73" t="str">
        <f t="shared" si="206"/>
        <v/>
      </c>
      <c r="CL146" s="47"/>
      <c r="CM146" s="19" t="str">
        <f t="shared" si="253"/>
        <v/>
      </c>
      <c r="CN146" s="47" t="s">
        <v>0</v>
      </c>
      <c r="CO146" s="143" t="str">
        <f t="shared" si="254"/>
        <v>OK Kapela</v>
      </c>
      <c r="CP146" s="47" t="s">
        <v>0</v>
      </c>
      <c r="CQ146" s="58" t="str">
        <f t="shared" si="190"/>
        <v>71:50</v>
      </c>
      <c r="CR146" s="73" t="str">
        <f t="shared" si="191"/>
        <v>0</v>
      </c>
      <c r="CS146" s="229" t="str">
        <f t="shared" si="207"/>
        <v/>
      </c>
      <c r="CT146" s="230">
        <f t="shared" si="192"/>
        <v>4310</v>
      </c>
      <c r="CU146" s="163">
        <f t="shared" si="208"/>
        <v>1</v>
      </c>
      <c r="CV146" s="47" t="s">
        <v>0</v>
      </c>
      <c r="CW146" s="222" t="str">
        <f t="shared" si="255"/>
        <v xml:space="preserve">
</v>
      </c>
      <c r="CX146" s="223">
        <f t="shared" si="256"/>
        <v>6</v>
      </c>
      <c r="CY146" s="47" t="s">
        <v>0</v>
      </c>
      <c r="CZ146" s="47"/>
      <c r="DA146" s="47"/>
      <c r="DB146" s="47"/>
      <c r="DC146" s="47" t="s">
        <v>0</v>
      </c>
      <c r="DD146" s="53" t="str">
        <f t="shared" si="184"/>
        <v/>
      </c>
      <c r="DE146" t="s">
        <v>0</v>
      </c>
      <c r="DF146" s="128" t="str">
        <f t="shared" si="185"/>
        <v>M</v>
      </c>
      <c r="DG146" t="s">
        <v>0</v>
      </c>
      <c r="DH146" s="52" t="str">
        <f t="shared" si="186"/>
        <v/>
      </c>
      <c r="DI146" s="66" t="str">
        <f t="shared" si="187"/>
        <v/>
      </c>
      <c r="DJ146" t="s">
        <v>0</v>
      </c>
      <c r="DK146" s="19" t="str">
        <f t="shared" si="188"/>
        <v/>
      </c>
      <c r="DL146" s="47" t="s">
        <v>0</v>
      </c>
      <c r="DM146" s="19" t="str">
        <f t="shared" si="189"/>
        <v/>
      </c>
      <c r="DN146" s="47" t="s">
        <v>0</v>
      </c>
      <c r="DO146" s="52" t="str">
        <f t="shared" si="209"/>
        <v>Mario – Nimac – OK Kapela – M45</v>
      </c>
      <c r="DP146" s="53">
        <f t="shared" si="210"/>
        <v>287</v>
      </c>
      <c r="DQ146" s="47" t="s">
        <v>0</v>
      </c>
      <c r="DR146" s="52" t="str">
        <f t="shared" si="211"/>
        <v>Mario – Nimac – OK Kapela</v>
      </c>
      <c r="DS146" s="53">
        <f t="shared" si="212"/>
        <v>287</v>
      </c>
      <c r="DT146" s="47" t="s">
        <v>0</v>
      </c>
      <c r="DU146" s="52" t="str">
        <f t="shared" si="213"/>
        <v>Mario – Nimac</v>
      </c>
      <c r="DV146" s="53">
        <f t="shared" si="214"/>
        <v>287</v>
      </c>
      <c r="DW146" s="47" t="s">
        <v>0</v>
      </c>
      <c r="DX146" s="58">
        <f t="shared" si="257"/>
        <v>287</v>
      </c>
      <c r="DY146" s="53" cm="1">
        <f t="array" ref="DY146">IF(DX146&lt;&gt;"",INDEX(regNatjecatelj_id,DX146,0),IF(BD146&lt;&gt;"",BD146,""))</f>
        <v>1516</v>
      </c>
      <c r="DZ146" s="47" t="s">
        <v>0</v>
      </c>
      <c r="EA146" s="58" t="str">
        <f t="shared" si="215"/>
        <v>imepre</v>
      </c>
      <c r="EB146" s="73" t="str">
        <f t="shared" si="216"/>
        <v>klu</v>
      </c>
      <c r="EC146" s="73" t="str">
        <f t="shared" si="217"/>
        <v>kat</v>
      </c>
      <c r="ED146" s="73" t="str">
        <f t="shared" si="218"/>
        <v/>
      </c>
      <c r="EE146" s="66" t="str">
        <f t="shared" si="219"/>
        <v>imepre-klu-kat</v>
      </c>
      <c r="EF146" s="47" t="s">
        <v>0</v>
      </c>
      <c r="EG146" s="58">
        <f>IF(AL146="","",MAX(EG$12:EG145)+1)</f>
        <v>313</v>
      </c>
      <c r="EH146" s="73">
        <f t="shared" si="220"/>
        <v>30</v>
      </c>
      <c r="EI146" s="73">
        <f t="shared" si="258"/>
        <v>1516</v>
      </c>
      <c r="EJ146" s="73">
        <f t="shared" si="221"/>
        <v>4310</v>
      </c>
      <c r="EK146" s="73">
        <f t="shared" si="222"/>
        <v>1</v>
      </c>
      <c r="EL146" s="73">
        <f t="shared" si="259"/>
        <v>1</v>
      </c>
      <c r="EM146" s="73">
        <f t="shared" si="260"/>
        <v>1</v>
      </c>
      <c r="EN146" s="73" t="str">
        <f t="shared" si="223"/>
        <v>0</v>
      </c>
      <c r="EO146" s="73" t="str">
        <f t="shared" si="224"/>
        <v/>
      </c>
      <c r="EP146" s="73" t="str">
        <f t="shared" si="225"/>
        <v/>
      </c>
      <c r="EQ146" s="53" t="str">
        <f t="shared" si="226"/>
        <v/>
      </c>
      <c r="ER146" s="47" t="s">
        <v>0</v>
      </c>
      <c r="ES146" s="19" t="str">
        <f t="shared" si="261"/>
        <v>INSERT INTO rezultat(id,stazakategorija_id,imeprezime_id,vrijeme_sec,status_id,registracija,uparivanje_id,originalstatus_id,imeprezimealias_id,klubalias_id,kategorijaalias_id) VALUES (313,30,1516,4310,1,1,1,0,Null,Null,Null);</v>
      </c>
      <c r="ET146" s="47" t="s">
        <v>0</v>
      </c>
      <c r="EU146" s="19" t="str">
        <f t="shared" si="262"/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6" s="47" t="s">
        <v>0</v>
      </c>
      <c r="EW146" s="180" t="str">
        <f t="shared" si="227"/>
        <v xml:space="preserve">
INSERT INTO rezultat(id,stazakategorija_id,imeprezime_id,vrijeme_sec,status_id,registracija,uparivanje_id,originalstatus_id,imeprezimealias_id,klubalias_id,kategorijaalias_id) VALUES (313,30,1516,4310,1,1,1,0,Null,Null,Null);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6" s="47" t="s">
        <v>0</v>
      </c>
    </row>
    <row r="147" spans="1:154" x14ac:dyDescent="0.25">
      <c r="A147" t="s">
        <v>0</v>
      </c>
      <c r="B147" s="52" t="str">
        <f>IF(csv!F137="","",csv!T137)</f>
        <v>M45</v>
      </c>
      <c r="C147" s="31" t="s">
        <v>0</v>
      </c>
      <c r="D147" s="31" t="str">
        <f>IF(csv!F137="","",csv!F137)</f>
        <v>Domagoj</v>
      </c>
      <c r="E147" s="31" t="str">
        <f>IF(csv!E137="","",csv!E137)</f>
        <v>Pavlin</v>
      </c>
      <c r="F147" s="31" t="s">
        <v>0</v>
      </c>
      <c r="G147" s="73" t="str">
        <f>IF(csv!M137="","",csv!M137)</f>
        <v>75:42</v>
      </c>
      <c r="H147" s="73" t="str">
        <f>IF(csv!N137="","",csv!N137)</f>
        <v>0</v>
      </c>
      <c r="I147" s="31" t="s">
        <v>0</v>
      </c>
      <c r="J147" s="31" t="str">
        <f>IF(csv!P137="","",csv!P137)</f>
        <v>Vihor</v>
      </c>
      <c r="K147" s="31" t="str">
        <f>IF(csv!Q137="","",csv!Q137)</f>
        <v>OK Vihor</v>
      </c>
      <c r="L147" s="31" t="s">
        <v>0</v>
      </c>
      <c r="M147" s="66" t="str">
        <f>IF(csv!R137="","",csv!R137)</f>
        <v>CRO</v>
      </c>
      <c r="N147" s="47" t="s">
        <v>0</v>
      </c>
      <c r="O147" s="246" t="str">
        <f t="shared" si="228"/>
        <v>ok</v>
      </c>
      <c r="P147" s="47"/>
      <c r="Q147" s="52" t="str">
        <f t="shared" si="229"/>
        <v>M45</v>
      </c>
      <c r="R147" s="73">
        <f>IF(Q147="","",IF(COUNTIF(Q$12:Q146,Q147)=0,R146+1,R146))</f>
        <v>8</v>
      </c>
      <c r="S147" s="73">
        <f t="shared" si="230"/>
        <v>106</v>
      </c>
      <c r="T147" s="73">
        <f t="shared" si="193"/>
        <v>17</v>
      </c>
      <c r="U147" s="66" t="str">
        <f t="shared" si="194"/>
        <v>M45</v>
      </c>
      <c r="V147" s="47" t="s">
        <v>0</v>
      </c>
      <c r="W147" s="222" t="str">
        <f t="shared" si="195"/>
        <v>M45</v>
      </c>
      <c r="X147" s="223">
        <f t="shared" si="196"/>
        <v>30</v>
      </c>
      <c r="Y147" s="47" t="s">
        <v>0</v>
      </c>
      <c r="Z147" s="52" t="str">
        <f t="shared" si="231"/>
        <v>CRO</v>
      </c>
      <c r="AA147" s="73">
        <f t="shared" si="197"/>
        <v>1</v>
      </c>
      <c r="AB147" s="31" t="str">
        <f t="shared" si="232"/>
        <v/>
      </c>
      <c r="AC147" s="66" t="str">
        <f>IF(AB147="","",MAX(AC$12:AC146)+1)</f>
        <v/>
      </c>
      <c r="AD147" s="47" t="s">
        <v>0</v>
      </c>
      <c r="AE147" s="125"/>
      <c r="AF147" s="47" t="s">
        <v>0</v>
      </c>
      <c r="AG147" s="19" t="str">
        <f t="shared" si="233"/>
        <v/>
      </c>
      <c r="AH147" s="47" t="s">
        <v>0</v>
      </c>
      <c r="AI147" s="143" t="str">
        <f t="shared" si="234"/>
        <v>CRO</v>
      </c>
      <c r="AJ147" s="47"/>
      <c r="AK147" s="52" t="str">
        <f t="shared" si="235"/>
        <v>Domagoj</v>
      </c>
      <c r="AL147" s="31" t="str">
        <f t="shared" si="236"/>
        <v>Pavlin</v>
      </c>
      <c r="AM147" s="73">
        <f t="shared" si="237"/>
        <v>1237</v>
      </c>
      <c r="AN147" s="73" t="str">
        <f t="shared" si="238"/>
        <v/>
      </c>
      <c r="AO147" s="31" t="str">
        <f t="shared" si="198"/>
        <v>Domagoj</v>
      </c>
      <c r="AP147" s="66" t="str">
        <f t="shared" si="199"/>
        <v>Pavlin</v>
      </c>
      <c r="AQ147" s="47" t="s">
        <v>0</v>
      </c>
      <c r="AR147" s="82" t="str">
        <f t="shared" si="239"/>
        <v/>
      </c>
      <c r="AS147" s="47" t="s">
        <v>0</v>
      </c>
      <c r="AT147" s="19" t="str">
        <f t="shared" si="240"/>
        <v/>
      </c>
      <c r="AU147" s="47" t="s">
        <v>0</v>
      </c>
      <c r="AV147" s="103"/>
      <c r="AW147" s="105"/>
      <c r="AX147" s="47" t="s">
        <v>0</v>
      </c>
      <c r="AY147" s="259" t="str">
        <f t="shared" si="183"/>
        <v/>
      </c>
      <c r="AZ147" s="47" t="s">
        <v>0</v>
      </c>
      <c r="BA147" s="52" t="str">
        <f t="shared" si="200"/>
        <v/>
      </c>
      <c r="BB147" s="73" t="str">
        <f>IF(AV147&amp;AW147="","",MAX(BB$12:BB146)+1)</f>
        <v/>
      </c>
      <c r="BC147" s="272" t="str">
        <f t="shared" si="201"/>
        <v/>
      </c>
      <c r="BD147" s="53" t="str">
        <f>IF(AND(AM147="NEMA",AN147="NEMA",OR(AV147&amp;AW147="",BC147="NEMA")),MAX(BD$12:BD146)+1,"")</f>
        <v/>
      </c>
      <c r="BE147" s="47" t="s">
        <v>0</v>
      </c>
      <c r="BF147" s="52" t="str">
        <f t="shared" si="241"/>
        <v>Domagoj</v>
      </c>
      <c r="BG147" s="66" t="str">
        <f t="shared" si="242"/>
        <v>Pavlin</v>
      </c>
      <c r="BH147" s="47" t="s">
        <v>0</v>
      </c>
      <c r="BI147" s="52" t="str">
        <f t="shared" si="202"/>
        <v>Vihor</v>
      </c>
      <c r="BJ147" s="31" t="str">
        <f t="shared" si="203"/>
        <v>OK Vihor</v>
      </c>
      <c r="BK147" s="73" t="str">
        <f t="shared" si="204"/>
        <v/>
      </c>
      <c r="BL147" s="31" t="str" cm="1">
        <f t="array" ref="BL147">IF(BK147="",""&amp;BJ147,IF(BK147="NEMA",BJ147,INDEX(regKlub_naziv,MATCH(INDEX(regKlub_alias_klubId,BK147),regKlub_id,0))))</f>
        <v>OK Vihor</v>
      </c>
      <c r="BM147" s="31" t="str" cm="1">
        <f t="array" ref="BM147">IFERROR(""&amp;INDEX(regNatjecatelj_klub,DV147),"")</f>
        <v>OK Vihor</v>
      </c>
      <c r="BN147" s="73" t="str">
        <f t="shared" si="243"/>
        <v/>
      </c>
      <c r="BO147" s="66" t="str">
        <f t="shared" si="244"/>
        <v>OK Vihor</v>
      </c>
      <c r="BP147" s="47" t="s">
        <v>0</v>
      </c>
      <c r="BQ147" s="52" t="str">
        <f>IF(X147&lt;&gt;"NEMA","",IF(IFERROR(MATCH(W147,W$12:W146,0),0)&lt;&gt;0,"",W147))</f>
        <v/>
      </c>
      <c r="BR147" s="73" t="str">
        <f t="shared" si="245"/>
        <v/>
      </c>
      <c r="BS147" s="31" t="str">
        <f>IF(OR(BR147="",BR147&lt;&gt;"NEMA"),"",MAX(BS$12:BS146)+1)</f>
        <v/>
      </c>
      <c r="BT147" s="66" t="str">
        <f t="shared" si="246"/>
        <v/>
      </c>
      <c r="BU147" s="47" t="s">
        <v>0</v>
      </c>
      <c r="BV147" s="19" t="str">
        <f t="shared" si="247"/>
        <v/>
      </c>
      <c r="BW147" s="47" t="s">
        <v>0</v>
      </c>
      <c r="BX147" s="82" t="str">
        <f>IF(BK147&lt;&gt;"NEMA","",IF(IFERROR(MATCH(BJ147,BJ$12:BJ146,0),0)&lt;&gt;0,"",BJ147))</f>
        <v/>
      </c>
      <c r="BY147" s="47" t="s">
        <v>0</v>
      </c>
      <c r="BZ147" s="125"/>
      <c r="CA147" s="47" t="s">
        <v>0</v>
      </c>
      <c r="CB147" s="58" t="str">
        <f t="shared" si="248"/>
        <v/>
      </c>
      <c r="CC147" s="31" t="str">
        <f t="shared" si="249"/>
        <v/>
      </c>
      <c r="CD147" s="31" t="str">
        <f>IF(CC147="","",MAX(CD$12:CD146)+1)</f>
        <v/>
      </c>
      <c r="CE147" s="31" t="str">
        <f t="shared" si="205"/>
        <v/>
      </c>
      <c r="CF147" s="31" t="str">
        <f t="shared" si="250"/>
        <v/>
      </c>
      <c r="CG147" s="31" t="str">
        <f>IF(BZ147="","",MAX(CG$12:CG146)+1)</f>
        <v/>
      </c>
      <c r="CH147" s="31" t="str">
        <f t="shared" si="251"/>
        <v/>
      </c>
      <c r="CI147" s="66" t="str">
        <f t="shared" si="252"/>
        <v/>
      </c>
      <c r="CJ147" s="47" t="s">
        <v>0</v>
      </c>
      <c r="CK147" s="73" t="str">
        <f t="shared" si="206"/>
        <v/>
      </c>
      <c r="CL147" s="47"/>
      <c r="CM147" s="19" t="str">
        <f t="shared" si="253"/>
        <v/>
      </c>
      <c r="CN147" s="47" t="s">
        <v>0</v>
      </c>
      <c r="CO147" s="143" t="str">
        <f t="shared" si="254"/>
        <v>OK Vihor</v>
      </c>
      <c r="CP147" s="47" t="s">
        <v>0</v>
      </c>
      <c r="CQ147" s="58" t="str">
        <f t="shared" si="190"/>
        <v>75:42</v>
      </c>
      <c r="CR147" s="73" t="str">
        <f t="shared" si="191"/>
        <v>0</v>
      </c>
      <c r="CS147" s="229" t="str">
        <f t="shared" si="207"/>
        <v/>
      </c>
      <c r="CT147" s="230">
        <f t="shared" si="192"/>
        <v>4542</v>
      </c>
      <c r="CU147" s="163">
        <f t="shared" si="208"/>
        <v>1</v>
      </c>
      <c r="CV147" s="47" t="s">
        <v>0</v>
      </c>
      <c r="CW147" s="222" t="str">
        <f t="shared" si="255"/>
        <v xml:space="preserve">
</v>
      </c>
      <c r="CX147" s="223">
        <f t="shared" si="256"/>
        <v>6</v>
      </c>
      <c r="CY147" s="47" t="s">
        <v>0</v>
      </c>
      <c r="CZ147" s="47"/>
      <c r="DA147" s="47"/>
      <c r="DB147" s="47"/>
      <c r="DC147" s="47" t="s">
        <v>0</v>
      </c>
      <c r="DD147" s="53" t="str">
        <f t="shared" si="184"/>
        <v/>
      </c>
      <c r="DE147" t="s">
        <v>0</v>
      </c>
      <c r="DF147" s="128" t="str">
        <f t="shared" si="185"/>
        <v>M</v>
      </c>
      <c r="DG147" t="s">
        <v>0</v>
      </c>
      <c r="DH147" s="52" t="str">
        <f t="shared" si="186"/>
        <v/>
      </c>
      <c r="DI147" s="66" t="str">
        <f t="shared" si="187"/>
        <v/>
      </c>
      <c r="DJ147" t="s">
        <v>0</v>
      </c>
      <c r="DK147" s="19" t="str">
        <f t="shared" si="188"/>
        <v/>
      </c>
      <c r="DL147" s="47" t="s">
        <v>0</v>
      </c>
      <c r="DM147" s="19" t="str">
        <f t="shared" si="189"/>
        <v/>
      </c>
      <c r="DN147" s="47" t="s">
        <v>0</v>
      </c>
      <c r="DO147" s="52" t="str">
        <f t="shared" si="209"/>
        <v>Domagoj – Pavlin – OK Vihor – M45</v>
      </c>
      <c r="DP147" s="53">
        <f t="shared" si="210"/>
        <v>844</v>
      </c>
      <c r="DQ147" s="47" t="s">
        <v>0</v>
      </c>
      <c r="DR147" s="52" t="str">
        <f t="shared" si="211"/>
        <v>Domagoj – Pavlin – OK Vihor</v>
      </c>
      <c r="DS147" s="53">
        <f t="shared" si="212"/>
        <v>844</v>
      </c>
      <c r="DT147" s="47" t="s">
        <v>0</v>
      </c>
      <c r="DU147" s="52" t="str">
        <f t="shared" si="213"/>
        <v>Domagoj – Pavlin</v>
      </c>
      <c r="DV147" s="53">
        <f t="shared" si="214"/>
        <v>844</v>
      </c>
      <c r="DW147" s="47" t="s">
        <v>0</v>
      </c>
      <c r="DX147" s="58">
        <f t="shared" si="257"/>
        <v>844</v>
      </c>
      <c r="DY147" s="53" cm="1">
        <f t="array" ref="DY147">IF(DX147&lt;&gt;"",INDEX(regNatjecatelj_id,DX147,0),IF(BD147&lt;&gt;"",BD147,""))</f>
        <v>1237</v>
      </c>
      <c r="DZ147" s="47" t="s">
        <v>0</v>
      </c>
      <c r="EA147" s="58" t="str">
        <f t="shared" si="215"/>
        <v>imepre</v>
      </c>
      <c r="EB147" s="73" t="str">
        <f t="shared" si="216"/>
        <v>klu</v>
      </c>
      <c r="EC147" s="73" t="str">
        <f t="shared" si="217"/>
        <v>kat</v>
      </c>
      <c r="ED147" s="73" t="str">
        <f t="shared" si="218"/>
        <v/>
      </c>
      <c r="EE147" s="66" t="str">
        <f t="shared" si="219"/>
        <v>imepre-klu-kat</v>
      </c>
      <c r="EF147" s="47" t="s">
        <v>0</v>
      </c>
      <c r="EG147" s="58">
        <f>IF(AL147="","",MAX(EG$12:EG146)+1)</f>
        <v>314</v>
      </c>
      <c r="EH147" s="73">
        <f t="shared" si="220"/>
        <v>30</v>
      </c>
      <c r="EI147" s="73">
        <f t="shared" si="258"/>
        <v>1237</v>
      </c>
      <c r="EJ147" s="73">
        <f t="shared" si="221"/>
        <v>4542</v>
      </c>
      <c r="EK147" s="73">
        <f t="shared" si="222"/>
        <v>1</v>
      </c>
      <c r="EL147" s="73">
        <f t="shared" si="259"/>
        <v>1</v>
      </c>
      <c r="EM147" s="73">
        <f t="shared" si="260"/>
        <v>1</v>
      </c>
      <c r="EN147" s="73" t="str">
        <f t="shared" si="223"/>
        <v>0</v>
      </c>
      <c r="EO147" s="73" t="str">
        <f t="shared" si="224"/>
        <v/>
      </c>
      <c r="EP147" s="73" t="str">
        <f t="shared" si="225"/>
        <v/>
      </c>
      <c r="EQ147" s="53" t="str">
        <f t="shared" si="226"/>
        <v/>
      </c>
      <c r="ER147" s="47" t="s">
        <v>0</v>
      </c>
      <c r="ES147" s="19" t="str">
        <f t="shared" si="261"/>
        <v>INSERT INTO rezultat(id,stazakategorija_id,imeprezime_id,vrijeme_sec,status_id,registracija,uparivanje_id,originalstatus_id,imeprezimealias_id,klubalias_id,kategorijaalias_id) VALUES (314,30,1237,4542,1,1,1,0,Null,Null,Null);</v>
      </c>
      <c r="ET147" s="47" t="s">
        <v>0</v>
      </c>
      <c r="EU147" s="19" t="str">
        <f t="shared" si="262"/>
        <v>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7" s="47" t="s">
        <v>0</v>
      </c>
      <c r="EW147" s="180" t="str">
        <f t="shared" si="227"/>
        <v xml:space="preserve">
INSERT INTO rezultat(id,stazakategorija_id,imeprezime_id,vrijeme_sec,status_id,registracija,uparivanje_id,originalstatus_id,imeprezimealias_id,klubalias_id,kategorijaalias_id) VALUES (314,30,1237,4542,1,1,1,0,Null,Null,Null);
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7" s="47" t="s">
        <v>0</v>
      </c>
    </row>
    <row r="148" spans="1:154" x14ac:dyDescent="0.25">
      <c r="A148" t="s">
        <v>0</v>
      </c>
      <c r="B148" s="52" t="str">
        <f>IF(csv!F138="","",csv!T138)</f>
        <v>M45</v>
      </c>
      <c r="C148" s="31" t="s">
        <v>0</v>
      </c>
      <c r="D148" s="31" t="str">
        <f>IF(csv!F138="","",csv!F138)</f>
        <v>Tomislav</v>
      </c>
      <c r="E148" s="31" t="str">
        <f>IF(csv!E138="","",csv!E138)</f>
        <v>Gojmerac</v>
      </c>
      <c r="F148" s="31" t="s">
        <v>0</v>
      </c>
      <c r="G148" s="73" t="str">
        <f>IF(csv!M138="","",csv!M138)</f>
        <v>78:59</v>
      </c>
      <c r="H148" s="73" t="str">
        <f>IF(csv!N138="","",csv!N138)</f>
        <v>0</v>
      </c>
      <c r="I148" s="31" t="s">
        <v>0</v>
      </c>
      <c r="J148" s="31" t="str">
        <f>IF(csv!P138="","",csv!P138)</f>
        <v>OK MERZ CRO</v>
      </c>
      <c r="K148" s="31" t="str">
        <f>IF(csv!Q138="","",csv!Q138)</f>
        <v>OK Ivan Merz</v>
      </c>
      <c r="L148" s="31" t="s">
        <v>0</v>
      </c>
      <c r="M148" s="66" t="str">
        <f>IF(csv!R138="","",csv!R138)</f>
        <v>CRO</v>
      </c>
      <c r="N148" s="47" t="s">
        <v>0</v>
      </c>
      <c r="O148" s="246" t="str">
        <f t="shared" si="228"/>
        <v>ok</v>
      </c>
      <c r="P148" s="47"/>
      <c r="Q148" s="52" t="str">
        <f t="shared" si="229"/>
        <v>M45</v>
      </c>
      <c r="R148" s="73">
        <f>IF(Q148="","",IF(COUNTIF(Q$12:Q147,Q148)=0,R147+1,R147))</f>
        <v>8</v>
      </c>
      <c r="S148" s="73">
        <f t="shared" si="230"/>
        <v>106</v>
      </c>
      <c r="T148" s="73">
        <f t="shared" si="193"/>
        <v>17</v>
      </c>
      <c r="U148" s="66" t="str">
        <f t="shared" si="194"/>
        <v>M45</v>
      </c>
      <c r="V148" s="47" t="s">
        <v>0</v>
      </c>
      <c r="W148" s="222" t="str">
        <f t="shared" si="195"/>
        <v>M45</v>
      </c>
      <c r="X148" s="223">
        <f t="shared" si="196"/>
        <v>30</v>
      </c>
      <c r="Y148" s="47" t="s">
        <v>0</v>
      </c>
      <c r="Z148" s="52" t="str">
        <f t="shared" si="231"/>
        <v>CRO</v>
      </c>
      <c r="AA148" s="73">
        <f t="shared" si="197"/>
        <v>1</v>
      </c>
      <c r="AB148" s="31" t="str">
        <f t="shared" si="232"/>
        <v/>
      </c>
      <c r="AC148" s="66" t="str">
        <f>IF(AB148="","",MAX(AC$12:AC147)+1)</f>
        <v/>
      </c>
      <c r="AD148" s="47" t="s">
        <v>0</v>
      </c>
      <c r="AE148" s="125"/>
      <c r="AF148" s="47" t="s">
        <v>0</v>
      </c>
      <c r="AG148" s="19" t="str">
        <f t="shared" si="233"/>
        <v/>
      </c>
      <c r="AH148" s="47" t="s">
        <v>0</v>
      </c>
      <c r="AI148" s="143" t="str">
        <f t="shared" si="234"/>
        <v>CRO</v>
      </c>
      <c r="AJ148" s="47"/>
      <c r="AK148" s="52" t="str">
        <f t="shared" si="235"/>
        <v>Tomislav</v>
      </c>
      <c r="AL148" s="31" t="str">
        <f t="shared" si="236"/>
        <v>Gojmerac</v>
      </c>
      <c r="AM148" s="73">
        <f t="shared" si="237"/>
        <v>1325</v>
      </c>
      <c r="AN148" s="73" t="str">
        <f t="shared" si="238"/>
        <v/>
      </c>
      <c r="AO148" s="31" t="str">
        <f t="shared" si="198"/>
        <v>Tomislav</v>
      </c>
      <c r="AP148" s="66" t="str">
        <f t="shared" si="199"/>
        <v>Gojmerac</v>
      </c>
      <c r="AQ148" s="47" t="s">
        <v>0</v>
      </c>
      <c r="AR148" s="82" t="str">
        <f t="shared" si="239"/>
        <v/>
      </c>
      <c r="AS148" s="47" t="s">
        <v>0</v>
      </c>
      <c r="AT148" s="19" t="str">
        <f t="shared" si="240"/>
        <v/>
      </c>
      <c r="AU148" s="47" t="s">
        <v>0</v>
      </c>
      <c r="AV148" s="103"/>
      <c r="AW148" s="105"/>
      <c r="AX148" s="47" t="s">
        <v>0</v>
      </c>
      <c r="AY148" s="259" t="str">
        <f t="shared" si="183"/>
        <v/>
      </c>
      <c r="AZ148" s="47" t="s">
        <v>0</v>
      </c>
      <c r="BA148" s="52" t="str">
        <f t="shared" si="200"/>
        <v/>
      </c>
      <c r="BB148" s="73" t="str">
        <f>IF(AV148&amp;AW148="","",MAX(BB$12:BB147)+1)</f>
        <v/>
      </c>
      <c r="BC148" s="272" t="str">
        <f t="shared" si="201"/>
        <v/>
      </c>
      <c r="BD148" s="53" t="str">
        <f>IF(AND(AM148="NEMA",AN148="NEMA",OR(AV148&amp;AW148="",BC148="NEMA")),MAX(BD$12:BD147)+1,"")</f>
        <v/>
      </c>
      <c r="BE148" s="47" t="s">
        <v>0</v>
      </c>
      <c r="BF148" s="52" t="str">
        <f t="shared" si="241"/>
        <v>Tomislav</v>
      </c>
      <c r="BG148" s="66" t="str">
        <f t="shared" si="242"/>
        <v>Gojmerac</v>
      </c>
      <c r="BH148" s="47" t="s">
        <v>0</v>
      </c>
      <c r="BI148" s="52" t="str">
        <f t="shared" si="202"/>
        <v>OK MERZ CRO</v>
      </c>
      <c r="BJ148" s="31" t="str">
        <f t="shared" si="203"/>
        <v>OK Ivan Merz</v>
      </c>
      <c r="BK148" s="73" t="str">
        <f t="shared" si="204"/>
        <v/>
      </c>
      <c r="BL148" s="31" t="str" cm="1">
        <f t="array" ref="BL148">IF(BK148="",""&amp;BJ148,IF(BK148="NEMA",BJ148,INDEX(regKlub_naziv,MATCH(INDEX(regKlub_alias_klubId,BK148),regKlub_id,0))))</f>
        <v>OK Ivan Merz</v>
      </c>
      <c r="BM148" s="31" t="str" cm="1">
        <f t="array" ref="BM148">IFERROR(""&amp;INDEX(regNatjecatelj_klub,DV148),"")</f>
        <v>OK Ivan Merz</v>
      </c>
      <c r="BN148" s="73" t="str">
        <f t="shared" si="243"/>
        <v/>
      </c>
      <c r="BO148" s="66" t="str">
        <f t="shared" si="244"/>
        <v>OK Ivan Merz</v>
      </c>
      <c r="BP148" s="47" t="s">
        <v>0</v>
      </c>
      <c r="BQ148" s="52" t="str">
        <f>IF(X148&lt;&gt;"NEMA","",IF(IFERROR(MATCH(W148,W$12:W147,0),0)&lt;&gt;0,"",W148))</f>
        <v/>
      </c>
      <c r="BR148" s="73" t="str">
        <f t="shared" si="245"/>
        <v/>
      </c>
      <c r="BS148" s="31" t="str">
        <f>IF(OR(BR148="",BR148&lt;&gt;"NEMA"),"",MAX(BS$12:BS147)+1)</f>
        <v/>
      </c>
      <c r="BT148" s="66" t="str">
        <f t="shared" si="246"/>
        <v/>
      </c>
      <c r="BU148" s="47" t="s">
        <v>0</v>
      </c>
      <c r="BV148" s="19" t="str">
        <f t="shared" si="247"/>
        <v/>
      </c>
      <c r="BW148" s="47" t="s">
        <v>0</v>
      </c>
      <c r="BX148" s="82" t="str">
        <f>IF(BK148&lt;&gt;"NEMA","",IF(IFERROR(MATCH(BJ148,BJ$12:BJ147,0),0)&lt;&gt;0,"",BJ148))</f>
        <v/>
      </c>
      <c r="BY148" s="47" t="s">
        <v>0</v>
      </c>
      <c r="BZ148" s="125"/>
      <c r="CA148" s="47" t="s">
        <v>0</v>
      </c>
      <c r="CB148" s="58" t="str">
        <f t="shared" si="248"/>
        <v/>
      </c>
      <c r="CC148" s="31" t="str">
        <f t="shared" si="249"/>
        <v/>
      </c>
      <c r="CD148" s="31" t="str">
        <f>IF(CC148="","",MAX(CD$12:CD147)+1)</f>
        <v/>
      </c>
      <c r="CE148" s="31" t="str">
        <f t="shared" si="205"/>
        <v/>
      </c>
      <c r="CF148" s="31" t="str">
        <f t="shared" si="250"/>
        <v/>
      </c>
      <c r="CG148" s="31" t="str">
        <f>IF(BZ148="","",MAX(CG$12:CG147)+1)</f>
        <v/>
      </c>
      <c r="CH148" s="31" t="str">
        <f t="shared" si="251"/>
        <v/>
      </c>
      <c r="CI148" s="66" t="str">
        <f t="shared" si="252"/>
        <v/>
      </c>
      <c r="CJ148" s="47" t="s">
        <v>0</v>
      </c>
      <c r="CK148" s="73" t="str">
        <f t="shared" si="206"/>
        <v/>
      </c>
      <c r="CL148" s="47"/>
      <c r="CM148" s="19" t="str">
        <f t="shared" si="253"/>
        <v/>
      </c>
      <c r="CN148" s="47" t="s">
        <v>0</v>
      </c>
      <c r="CO148" s="143" t="str">
        <f t="shared" si="254"/>
        <v>OK Ivan Merz</v>
      </c>
      <c r="CP148" s="47" t="s">
        <v>0</v>
      </c>
      <c r="CQ148" s="58" t="str">
        <f t="shared" si="190"/>
        <v>78:59</v>
      </c>
      <c r="CR148" s="73" t="str">
        <f t="shared" si="191"/>
        <v>0</v>
      </c>
      <c r="CS148" s="229" t="str">
        <f t="shared" si="207"/>
        <v/>
      </c>
      <c r="CT148" s="230">
        <f t="shared" si="192"/>
        <v>4739</v>
      </c>
      <c r="CU148" s="163">
        <f t="shared" si="208"/>
        <v>1</v>
      </c>
      <c r="CV148" s="47" t="s">
        <v>0</v>
      </c>
      <c r="CW148" s="222" t="str">
        <f t="shared" si="255"/>
        <v xml:space="preserve">
</v>
      </c>
      <c r="CX148" s="223">
        <f t="shared" si="256"/>
        <v>6</v>
      </c>
      <c r="CY148" s="47" t="s">
        <v>0</v>
      </c>
      <c r="CZ148" s="47"/>
      <c r="DA148" s="47"/>
      <c r="DB148" s="47"/>
      <c r="DC148" s="47" t="s">
        <v>0</v>
      </c>
      <c r="DD148" s="53" t="str">
        <f t="shared" si="184"/>
        <v/>
      </c>
      <c r="DE148" t="s">
        <v>0</v>
      </c>
      <c r="DF148" s="128" t="str">
        <f t="shared" si="185"/>
        <v>M</v>
      </c>
      <c r="DG148" t="s">
        <v>0</v>
      </c>
      <c r="DH148" s="52" t="str">
        <f t="shared" si="186"/>
        <v/>
      </c>
      <c r="DI148" s="66" t="str">
        <f t="shared" si="187"/>
        <v/>
      </c>
      <c r="DJ148" t="s">
        <v>0</v>
      </c>
      <c r="DK148" s="19" t="str">
        <f t="shared" si="188"/>
        <v/>
      </c>
      <c r="DL148" s="47" t="s">
        <v>0</v>
      </c>
      <c r="DM148" s="19" t="str">
        <f t="shared" si="189"/>
        <v/>
      </c>
      <c r="DN148" s="47" t="s">
        <v>0</v>
      </c>
      <c r="DO148" s="52" t="str">
        <f t="shared" si="209"/>
        <v>Tomislav – Gojmerac – OK Ivan Merz – M45</v>
      </c>
      <c r="DP148" s="53">
        <f t="shared" si="210"/>
        <v>46</v>
      </c>
      <c r="DQ148" s="47" t="s">
        <v>0</v>
      </c>
      <c r="DR148" s="52" t="str">
        <f t="shared" si="211"/>
        <v>Tomislav – Gojmerac – OK Ivan Merz</v>
      </c>
      <c r="DS148" s="53">
        <f t="shared" si="212"/>
        <v>46</v>
      </c>
      <c r="DT148" s="47" t="s">
        <v>0</v>
      </c>
      <c r="DU148" s="52" t="str">
        <f t="shared" si="213"/>
        <v>Tomislav – Gojmerac</v>
      </c>
      <c r="DV148" s="53">
        <f t="shared" si="214"/>
        <v>46</v>
      </c>
      <c r="DW148" s="47" t="s">
        <v>0</v>
      </c>
      <c r="DX148" s="58">
        <f t="shared" si="257"/>
        <v>46</v>
      </c>
      <c r="DY148" s="53" cm="1">
        <f t="array" ref="DY148">IF(DX148&lt;&gt;"",INDEX(regNatjecatelj_id,DX148,0),IF(BD148&lt;&gt;"",BD148,""))</f>
        <v>1325</v>
      </c>
      <c r="DZ148" s="47" t="s">
        <v>0</v>
      </c>
      <c r="EA148" s="58" t="str">
        <f t="shared" si="215"/>
        <v>imepre</v>
      </c>
      <c r="EB148" s="73" t="str">
        <f t="shared" si="216"/>
        <v>klu</v>
      </c>
      <c r="EC148" s="73" t="str">
        <f t="shared" si="217"/>
        <v>kat</v>
      </c>
      <c r="ED148" s="73" t="str">
        <f t="shared" si="218"/>
        <v/>
      </c>
      <c r="EE148" s="66" t="str">
        <f t="shared" si="219"/>
        <v>imepre-klu-kat</v>
      </c>
      <c r="EF148" s="47" t="s">
        <v>0</v>
      </c>
      <c r="EG148" s="58">
        <f>IF(AL148="","",MAX(EG$12:EG147)+1)</f>
        <v>315</v>
      </c>
      <c r="EH148" s="73">
        <f t="shared" si="220"/>
        <v>30</v>
      </c>
      <c r="EI148" s="73">
        <f t="shared" si="258"/>
        <v>1325</v>
      </c>
      <c r="EJ148" s="73">
        <f t="shared" si="221"/>
        <v>4739</v>
      </c>
      <c r="EK148" s="73">
        <f t="shared" si="222"/>
        <v>1</v>
      </c>
      <c r="EL148" s="73">
        <f t="shared" si="259"/>
        <v>1</v>
      </c>
      <c r="EM148" s="73">
        <f t="shared" si="260"/>
        <v>1</v>
      </c>
      <c r="EN148" s="73" t="str">
        <f t="shared" si="223"/>
        <v>0</v>
      </c>
      <c r="EO148" s="73" t="str">
        <f t="shared" si="224"/>
        <v/>
      </c>
      <c r="EP148" s="73" t="str">
        <f t="shared" si="225"/>
        <v/>
      </c>
      <c r="EQ148" s="53" t="str">
        <f t="shared" si="226"/>
        <v/>
      </c>
      <c r="ER148" s="47" t="s">
        <v>0</v>
      </c>
      <c r="ES148" s="19" t="str">
        <f t="shared" si="261"/>
        <v>INSERT INTO rezultat(id,stazakategorija_id,imeprezime_id,vrijeme_sec,status_id,registracija,uparivanje_id,originalstatus_id,imeprezimealias_id,klubalias_id,kategorijaalias_id) VALUES (315,30,1325,4739,1,1,1,0,Null,Null,Null);</v>
      </c>
      <c r="ET148" s="47" t="s">
        <v>0</v>
      </c>
      <c r="EU148" s="19" t="str">
        <f t="shared" si="262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8" s="47" t="s">
        <v>0</v>
      </c>
      <c r="EW148" s="180" t="str">
        <f t="shared" si="227"/>
        <v xml:space="preserve">
INSERT INTO rezultat(id,stazakategorija_id,imeprezime_id,vrijeme_sec,status_id,registracija,uparivanje_id,originalstatus_id,imeprezimealias_id,klubalias_id,kategorijaalias_id) VALUES (315,30,1325,4739,1,1,1,0,Null,Null,Null);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8" s="47" t="s">
        <v>0</v>
      </c>
    </row>
    <row r="149" spans="1:154" x14ac:dyDescent="0.25">
      <c r="A149" t="s">
        <v>0</v>
      </c>
      <c r="B149" s="52" t="str">
        <f>IF(csv!F139="","",csv!T139)</f>
        <v>M45</v>
      </c>
      <c r="C149" s="31" t="s">
        <v>0</v>
      </c>
      <c r="D149" s="31" t="str">
        <f>IF(csv!F139="","",csv!F139)</f>
        <v>Boris</v>
      </c>
      <c r="E149" s="31" t="str">
        <f>IF(csv!E139="","",csv!E139)</f>
        <v>Mazić</v>
      </c>
      <c r="F149" s="31" t="s">
        <v>0</v>
      </c>
      <c r="G149" s="73" t="str">
        <f>IF(csv!M139="","",csv!M139)</f>
        <v>79:58</v>
      </c>
      <c r="H149" s="73" t="str">
        <f>IF(csv!N139="","",csv!N139)</f>
        <v>0</v>
      </c>
      <c r="I149" s="31" t="s">
        <v>0</v>
      </c>
      <c r="J149" s="31" t="str">
        <f>IF(csv!P139="","",csv!P139)</f>
        <v>Vihor</v>
      </c>
      <c r="K149" s="31" t="str">
        <f>IF(csv!Q139="","",csv!Q139)</f>
        <v>OK Vihor</v>
      </c>
      <c r="L149" s="31" t="s">
        <v>0</v>
      </c>
      <c r="M149" s="66" t="str">
        <f>IF(csv!R139="","",csv!R139)</f>
        <v>CRO</v>
      </c>
      <c r="N149" s="47" t="s">
        <v>0</v>
      </c>
      <c r="O149" s="246" t="str">
        <f t="shared" si="228"/>
        <v>ok</v>
      </c>
      <c r="P149" s="47"/>
      <c r="Q149" s="52" t="str">
        <f t="shared" si="229"/>
        <v>M45</v>
      </c>
      <c r="R149" s="73">
        <f>IF(Q149="","",IF(COUNTIF(Q$12:Q148,Q149)=0,R148+1,R148))</f>
        <v>8</v>
      </c>
      <c r="S149" s="73">
        <f t="shared" si="230"/>
        <v>106</v>
      </c>
      <c r="T149" s="73">
        <f t="shared" si="193"/>
        <v>17</v>
      </c>
      <c r="U149" s="66" t="str">
        <f t="shared" si="194"/>
        <v>M45</v>
      </c>
      <c r="V149" s="47" t="s">
        <v>0</v>
      </c>
      <c r="W149" s="222" t="str">
        <f t="shared" si="195"/>
        <v>M45</v>
      </c>
      <c r="X149" s="223">
        <f t="shared" si="196"/>
        <v>30</v>
      </c>
      <c r="Y149" s="47" t="s">
        <v>0</v>
      </c>
      <c r="Z149" s="52" t="str">
        <f t="shared" si="231"/>
        <v>CRO</v>
      </c>
      <c r="AA149" s="73">
        <f t="shared" si="197"/>
        <v>1</v>
      </c>
      <c r="AB149" s="31" t="str">
        <f t="shared" si="232"/>
        <v/>
      </c>
      <c r="AC149" s="66" t="str">
        <f>IF(AB149="","",MAX(AC$12:AC148)+1)</f>
        <v/>
      </c>
      <c r="AD149" s="47" t="s">
        <v>0</v>
      </c>
      <c r="AE149" s="125"/>
      <c r="AF149" s="47" t="s">
        <v>0</v>
      </c>
      <c r="AG149" s="19" t="str">
        <f t="shared" si="233"/>
        <v/>
      </c>
      <c r="AH149" s="47" t="s">
        <v>0</v>
      </c>
      <c r="AI149" s="143" t="str">
        <f t="shared" si="234"/>
        <v>CRO</v>
      </c>
      <c r="AJ149" s="47"/>
      <c r="AK149" s="52" t="str">
        <f t="shared" si="235"/>
        <v>Boris</v>
      </c>
      <c r="AL149" s="31" t="str">
        <f t="shared" si="236"/>
        <v>Mazić</v>
      </c>
      <c r="AM149" s="73">
        <f t="shared" si="237"/>
        <v>1428</v>
      </c>
      <c r="AN149" s="73" t="str">
        <f t="shared" si="238"/>
        <v/>
      </c>
      <c r="AO149" s="31" t="str">
        <f t="shared" si="198"/>
        <v>Boris</v>
      </c>
      <c r="AP149" s="66" t="str">
        <f t="shared" si="199"/>
        <v>Mazić</v>
      </c>
      <c r="AQ149" s="47" t="s">
        <v>0</v>
      </c>
      <c r="AR149" s="82" t="str">
        <f t="shared" si="239"/>
        <v/>
      </c>
      <c r="AS149" s="47" t="s">
        <v>0</v>
      </c>
      <c r="AT149" s="19" t="str">
        <f t="shared" si="240"/>
        <v/>
      </c>
      <c r="AU149" s="47" t="s">
        <v>0</v>
      </c>
      <c r="AV149" s="103"/>
      <c r="AW149" s="105"/>
      <c r="AX149" s="47" t="s">
        <v>0</v>
      </c>
      <c r="AY149" s="259" t="str">
        <f t="shared" ref="AY149:AY212" si="263">IF(AND(AV149="",AW149&lt;&gt;""),"FALI IME",IF(AND(AV149&lt;&gt;"",AW149=""),"FALI PREZIME",IF(OR(AM149="",AND(AM149="NEMA",AN149="NEMA"),AV149&amp;AW149=""),"","GREŠKA")))</f>
        <v/>
      </c>
      <c r="AZ149" s="47" t="s">
        <v>0</v>
      </c>
      <c r="BA149" s="52" t="str">
        <f t="shared" si="200"/>
        <v/>
      </c>
      <c r="BB149" s="73" t="str">
        <f>IF(AV149&amp;AW149="","",MAX(BB$12:BB148)+1)</f>
        <v/>
      </c>
      <c r="BC149" s="272" t="str">
        <f t="shared" si="201"/>
        <v/>
      </c>
      <c r="BD149" s="53" t="str">
        <f>IF(AND(AM149="NEMA",AN149="NEMA",OR(AV149&amp;AW149="",BC149="NEMA")),MAX(BD$12:BD148)+1,"")</f>
        <v/>
      </c>
      <c r="BE149" s="47" t="s">
        <v>0</v>
      </c>
      <c r="BF149" s="52" t="str">
        <f t="shared" si="241"/>
        <v>Boris</v>
      </c>
      <c r="BG149" s="66" t="str">
        <f t="shared" si="242"/>
        <v>Mazić</v>
      </c>
      <c r="BH149" s="47" t="s">
        <v>0</v>
      </c>
      <c r="BI149" s="52" t="str">
        <f t="shared" si="202"/>
        <v>Vihor</v>
      </c>
      <c r="BJ149" s="31" t="str">
        <f t="shared" si="203"/>
        <v>OK Vihor</v>
      </c>
      <c r="BK149" s="73" t="str">
        <f t="shared" si="204"/>
        <v/>
      </c>
      <c r="BL149" s="31" t="str" cm="1">
        <f t="array" ref="BL149">IF(BK149="",""&amp;BJ149,IF(BK149="NEMA",BJ149,INDEX(regKlub_naziv,MATCH(INDEX(regKlub_alias_klubId,BK149),regKlub_id,0))))</f>
        <v>OK Vihor</v>
      </c>
      <c r="BM149" s="31" t="str" cm="1">
        <f t="array" ref="BM149">IFERROR(""&amp;INDEX(regNatjecatelj_klub,DV149),"")</f>
        <v>OK Vihor</v>
      </c>
      <c r="BN149" s="73" t="str">
        <f t="shared" si="243"/>
        <v/>
      </c>
      <c r="BO149" s="66" t="str">
        <f t="shared" si="244"/>
        <v>OK Vihor</v>
      </c>
      <c r="BP149" s="47" t="s">
        <v>0</v>
      </c>
      <c r="BQ149" s="52" t="str">
        <f>IF(X149&lt;&gt;"NEMA","",IF(IFERROR(MATCH(W149,W$12:W148,0),0)&lt;&gt;0,"",W149))</f>
        <v/>
      </c>
      <c r="BR149" s="73" t="str">
        <f t="shared" si="245"/>
        <v/>
      </c>
      <c r="BS149" s="31" t="str">
        <f>IF(OR(BR149="",BR149&lt;&gt;"NEMA"),"",MAX(BS$12:BS148)+1)</f>
        <v/>
      </c>
      <c r="BT149" s="66" t="str">
        <f t="shared" si="246"/>
        <v/>
      </c>
      <c r="BU149" s="47" t="s">
        <v>0</v>
      </c>
      <c r="BV149" s="19" t="str">
        <f t="shared" si="247"/>
        <v/>
      </c>
      <c r="BW149" s="47" t="s">
        <v>0</v>
      </c>
      <c r="BX149" s="82" t="str">
        <f>IF(BK149&lt;&gt;"NEMA","",IF(IFERROR(MATCH(BJ149,BJ$12:BJ148,0),0)&lt;&gt;0,"",BJ149))</f>
        <v/>
      </c>
      <c r="BY149" s="47" t="s">
        <v>0</v>
      </c>
      <c r="BZ149" s="125"/>
      <c r="CA149" s="47" t="s">
        <v>0</v>
      </c>
      <c r="CB149" s="58" t="str">
        <f t="shared" si="248"/>
        <v/>
      </c>
      <c r="CC149" s="31" t="str">
        <f t="shared" si="249"/>
        <v/>
      </c>
      <c r="CD149" s="31" t="str">
        <f>IF(CC149="","",MAX(CD$12:CD148)+1)</f>
        <v/>
      </c>
      <c r="CE149" s="31" t="str">
        <f t="shared" si="205"/>
        <v/>
      </c>
      <c r="CF149" s="31" t="str">
        <f t="shared" si="250"/>
        <v/>
      </c>
      <c r="CG149" s="31" t="str">
        <f>IF(BZ149="","",MAX(CG$12:CG148)+1)</f>
        <v/>
      </c>
      <c r="CH149" s="31" t="str">
        <f t="shared" si="251"/>
        <v/>
      </c>
      <c r="CI149" s="66" t="str">
        <f t="shared" si="252"/>
        <v/>
      </c>
      <c r="CJ149" s="47" t="s">
        <v>0</v>
      </c>
      <c r="CK149" s="73" t="str">
        <f t="shared" si="206"/>
        <v/>
      </c>
      <c r="CL149" s="47"/>
      <c r="CM149" s="19" t="str">
        <f t="shared" si="253"/>
        <v/>
      </c>
      <c r="CN149" s="47" t="s">
        <v>0</v>
      </c>
      <c r="CO149" s="143" t="str">
        <f t="shared" si="254"/>
        <v>OK Vihor</v>
      </c>
      <c r="CP149" s="47" t="s">
        <v>0</v>
      </c>
      <c r="CQ149" s="58" t="str">
        <f t="shared" si="190"/>
        <v>79:58</v>
      </c>
      <c r="CR149" s="73" t="str">
        <f t="shared" si="191"/>
        <v>0</v>
      </c>
      <c r="CS149" s="229" t="str">
        <f t="shared" si="207"/>
        <v/>
      </c>
      <c r="CT149" s="230">
        <f t="shared" si="192"/>
        <v>4798</v>
      </c>
      <c r="CU149" s="163">
        <f t="shared" si="208"/>
        <v>1</v>
      </c>
      <c r="CV149" s="47" t="s">
        <v>0</v>
      </c>
      <c r="CW149" s="222" t="str">
        <f t="shared" si="255"/>
        <v xml:space="preserve">
</v>
      </c>
      <c r="CX149" s="223">
        <f t="shared" si="256"/>
        <v>6</v>
      </c>
      <c r="CY149" s="47" t="s">
        <v>0</v>
      </c>
      <c r="CZ149" s="47"/>
      <c r="DA149" s="47"/>
      <c r="DB149" s="47"/>
      <c r="DC149" s="47" t="s">
        <v>0</v>
      </c>
      <c r="DD149" s="53" t="str">
        <f t="shared" ref="DD149:DD212" si="264">IF(BD149="","",IF(DF149="O",1,""))</f>
        <v/>
      </c>
      <c r="DE149" t="s">
        <v>0</v>
      </c>
      <c r="DF149" s="128" t="str">
        <f t="shared" ref="DF149:DF212" si="265">IF(Q149="","",LEFT(INDEX(regKategorija_oznaka,MATCH(S149,regKategorija_id,0)),1))</f>
        <v>M</v>
      </c>
      <c r="DG149" t="s">
        <v>0</v>
      </c>
      <c r="DH149" s="52" t="str">
        <f t="shared" ref="DH149:DH212" si="266">IF(BD149="","",IF(M149&lt;&gt;"CRO","","INSERT INTO osoba (id,reg_broj,oib,spol_id,dat_rodjenja) VALUES ("&amp;BD149&amp;",(SELECT max(os.reg_broj)+1 FROM osoba AS os),Null,'"&amp;DF149&amp;"',Null); INSERT INTO osoba_log (id,reg_broj,oib,spol_id,dat_rodjenja,dnevnik_id) SELECT id,reg_broj,oib,spol_id,dat_rodjenja,"&amp;data_dnevnik_id&amp;" FROM osoba WHERE id = "&amp;BD149&amp;";"))</f>
        <v/>
      </c>
      <c r="DI149" s="66" t="str">
        <f t="shared" ref="DI149:DI212" si="267">IF(BD149="","","INSERT INTO imeprezime (id,osoba_id,rbr,ime,prezime,klub_id,identitet_id,sintaksa_id,info,aktivno,dnevnik_id) VALUES ("&amp;BD149&amp;","&amp;IF(DH149="","Null",BD149)&amp;",1,'"&amp;IF(AV149&lt;&gt;"",AV149,AK149)&amp;"','"&amp;IF(AW149&lt;&gt;"",AW149,AL149)&amp;"',(SELECT id FROM klub WHERE naziv = '"&amp;CO149&amp;"'),Null,1,'',1,"&amp;data_dnevnik_id&amp;");")</f>
        <v/>
      </c>
      <c r="DJ149" t="s">
        <v>0</v>
      </c>
      <c r="DK149" s="19" t="str">
        <f t="shared" ref="DK149:DK212" si="268">IF(DH149="",DI149,DH149&amp;" "&amp;DI149)</f>
        <v/>
      </c>
      <c r="DL149" s="47" t="s">
        <v>0</v>
      </c>
      <c r="DM149" s="19" t="str">
        <f t="shared" ref="DM149:DM212" si="269">IF(BA149="","","INSERT INTO imeprezime_alias(id,alias,imeprezime_id) VALUES ("&amp;BB149&amp;",'"&amp;BA149&amp;"',"&amp;IF(BC149="NEMA",BD149,BC149)&amp;");")</f>
        <v/>
      </c>
      <c r="DN149" s="47" t="s">
        <v>0</v>
      </c>
      <c r="DO149" s="52" t="str">
        <f t="shared" si="209"/>
        <v>Boris – Mazić – OK Vihor – M45</v>
      </c>
      <c r="DP149" s="53">
        <f t="shared" si="210"/>
        <v>797</v>
      </c>
      <c r="DQ149" s="47" t="s">
        <v>0</v>
      </c>
      <c r="DR149" s="52" t="str">
        <f t="shared" si="211"/>
        <v>Boris – Mazić – OK Vihor</v>
      </c>
      <c r="DS149" s="53">
        <f t="shared" si="212"/>
        <v>797</v>
      </c>
      <c r="DT149" s="47" t="s">
        <v>0</v>
      </c>
      <c r="DU149" s="52" t="str">
        <f t="shared" si="213"/>
        <v>Boris – Mazić</v>
      </c>
      <c r="DV149" s="53">
        <f t="shared" si="214"/>
        <v>797</v>
      </c>
      <c r="DW149" s="47" t="s">
        <v>0</v>
      </c>
      <c r="DX149" s="58">
        <f t="shared" si="257"/>
        <v>797</v>
      </c>
      <c r="DY149" s="53" cm="1">
        <f t="array" ref="DY149">IF(DX149&lt;&gt;"",INDEX(regNatjecatelj_id,DX149,0),IF(BD149&lt;&gt;"",BD149,""))</f>
        <v>1428</v>
      </c>
      <c r="DZ149" s="47" t="s">
        <v>0</v>
      </c>
      <c r="EA149" s="58" t="str">
        <f t="shared" si="215"/>
        <v>imepre</v>
      </c>
      <c r="EB149" s="73" t="str">
        <f t="shared" si="216"/>
        <v>klu</v>
      </c>
      <c r="EC149" s="73" t="str">
        <f t="shared" si="217"/>
        <v>kat</v>
      </c>
      <c r="ED149" s="73" t="str">
        <f t="shared" si="218"/>
        <v/>
      </c>
      <c r="EE149" s="66" t="str">
        <f t="shared" si="219"/>
        <v>imepre-klu-kat</v>
      </c>
      <c r="EF149" s="47" t="s">
        <v>0</v>
      </c>
      <c r="EG149" s="58">
        <f>IF(AL149="","",MAX(EG$12:EG148)+1)</f>
        <v>316</v>
      </c>
      <c r="EH149" s="73">
        <f t="shared" si="220"/>
        <v>30</v>
      </c>
      <c r="EI149" s="73">
        <f t="shared" si="258"/>
        <v>1428</v>
      </c>
      <c r="EJ149" s="73">
        <f t="shared" si="221"/>
        <v>4798</v>
      </c>
      <c r="EK149" s="73">
        <f t="shared" si="222"/>
        <v>1</v>
      </c>
      <c r="EL149" s="73">
        <f t="shared" si="259"/>
        <v>1</v>
      </c>
      <c r="EM149" s="73">
        <f t="shared" si="260"/>
        <v>1</v>
      </c>
      <c r="EN149" s="73" t="str">
        <f t="shared" si="223"/>
        <v>0</v>
      </c>
      <c r="EO149" s="73" t="str">
        <f t="shared" si="224"/>
        <v/>
      </c>
      <c r="EP149" s="73" t="str">
        <f t="shared" si="225"/>
        <v/>
      </c>
      <c r="EQ149" s="53" t="str">
        <f t="shared" si="226"/>
        <v/>
      </c>
      <c r="ER149" s="47" t="s">
        <v>0</v>
      </c>
      <c r="ES149" s="19" t="str">
        <f t="shared" si="261"/>
        <v>INSERT INTO rezultat(id,stazakategorija_id,imeprezime_id,vrijeme_sec,status_id,registracija,uparivanje_id,originalstatus_id,imeprezimealias_id,klubalias_id,kategorijaalias_id) VALUES (316,30,1428,4798,1,1,1,0,Null,Null,Null);</v>
      </c>
      <c r="ET149" s="47" t="s">
        <v>0</v>
      </c>
      <c r="EU149" s="19" t="str">
        <f t="shared" si="262"/>
        <v>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9" s="47" t="s">
        <v>0</v>
      </c>
      <c r="EW149" s="180" t="str">
        <f t="shared" si="227"/>
        <v xml:space="preserve">
INSERT INTO rezultat(id,stazakategorija_id,imeprezime_id,vrijeme_sec,status_id,registracija,uparivanje_id,originalstatus_id,imeprezimealias_id,klubalias_id,kategorijaalias_id) VALUES (316,30,1428,4798,1,1,1,0,Null,Null,Null);
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9" s="47" t="s">
        <v>0</v>
      </c>
    </row>
    <row r="150" spans="1:154" x14ac:dyDescent="0.25">
      <c r="A150" t="s">
        <v>0</v>
      </c>
      <c r="B150" s="52" t="str">
        <f>IF(csv!F140="","",csv!T140)</f>
        <v>M45</v>
      </c>
      <c r="C150" s="31" t="s">
        <v>0</v>
      </c>
      <c r="D150" s="31" t="str">
        <f>IF(csv!F140="","",csv!F140)</f>
        <v>Dinko</v>
      </c>
      <c r="E150" s="31" t="str">
        <f>IF(csv!E140="","",csv!E140)</f>
        <v>Ćetković</v>
      </c>
      <c r="F150" s="31" t="s">
        <v>0</v>
      </c>
      <c r="G150" s="73" t="str">
        <f>IF(csv!M140="","",csv!M140)</f>
        <v>97:15</v>
      </c>
      <c r="H150" s="73" t="str">
        <f>IF(csv!N140="","",csv!N140)</f>
        <v>0</v>
      </c>
      <c r="I150" s="31" t="s">
        <v>0</v>
      </c>
      <c r="J150" s="31" t="str">
        <f>IF(csv!P140="","",csv!P140)</f>
        <v>Vihor</v>
      </c>
      <c r="K150" s="31" t="str">
        <f>IF(csv!Q140="","",csv!Q140)</f>
        <v>OK Vihor</v>
      </c>
      <c r="L150" s="31" t="s">
        <v>0</v>
      </c>
      <c r="M150" s="66" t="str">
        <f>IF(csv!R140="","",csv!R140)</f>
        <v>CRO</v>
      </c>
      <c r="N150" s="47" t="s">
        <v>0</v>
      </c>
      <c r="O150" s="246" t="str">
        <f t="shared" si="228"/>
        <v>ok</v>
      </c>
      <c r="P150" s="47"/>
      <c r="Q150" s="52" t="str">
        <f t="shared" si="229"/>
        <v>M45</v>
      </c>
      <c r="R150" s="73">
        <f>IF(Q150="","",IF(COUNTIF(Q$12:Q149,Q150)=0,R149+1,R149))</f>
        <v>8</v>
      </c>
      <c r="S150" s="73">
        <f t="shared" si="230"/>
        <v>106</v>
      </c>
      <c r="T150" s="73">
        <f t="shared" si="193"/>
        <v>17</v>
      </c>
      <c r="U150" s="66" t="str">
        <f t="shared" si="194"/>
        <v>M45</v>
      </c>
      <c r="V150" s="47" t="s">
        <v>0</v>
      </c>
      <c r="W150" s="222" t="str">
        <f t="shared" si="195"/>
        <v>M45</v>
      </c>
      <c r="X150" s="223">
        <f t="shared" si="196"/>
        <v>30</v>
      </c>
      <c r="Y150" s="47" t="s">
        <v>0</v>
      </c>
      <c r="Z150" s="52" t="str">
        <f t="shared" si="231"/>
        <v>CRO</v>
      </c>
      <c r="AA150" s="73">
        <f t="shared" si="197"/>
        <v>1</v>
      </c>
      <c r="AB150" s="31" t="str">
        <f t="shared" si="232"/>
        <v/>
      </c>
      <c r="AC150" s="66" t="str">
        <f>IF(AB150="","",MAX(AC$12:AC149)+1)</f>
        <v/>
      </c>
      <c r="AD150" s="47" t="s">
        <v>0</v>
      </c>
      <c r="AE150" s="125"/>
      <c r="AF150" s="47" t="s">
        <v>0</v>
      </c>
      <c r="AG150" s="19" t="str">
        <f t="shared" si="233"/>
        <v/>
      </c>
      <c r="AH150" s="47" t="s">
        <v>0</v>
      </c>
      <c r="AI150" s="143" t="str">
        <f t="shared" si="234"/>
        <v>CRO</v>
      </c>
      <c r="AJ150" s="47"/>
      <c r="AK150" s="52" t="str">
        <f t="shared" si="235"/>
        <v>Dinko</v>
      </c>
      <c r="AL150" s="31" t="str">
        <f t="shared" si="236"/>
        <v>Ćetković</v>
      </c>
      <c r="AM150" s="73">
        <f t="shared" si="237"/>
        <v>1916</v>
      </c>
      <c r="AN150" s="73" t="str">
        <f t="shared" si="238"/>
        <v/>
      </c>
      <c r="AO150" s="31" t="str">
        <f t="shared" si="198"/>
        <v>Dinko</v>
      </c>
      <c r="AP150" s="66" t="str">
        <f t="shared" si="199"/>
        <v>Ćetković</v>
      </c>
      <c r="AQ150" s="47" t="s">
        <v>0</v>
      </c>
      <c r="AR150" s="82" t="str">
        <f t="shared" si="239"/>
        <v/>
      </c>
      <c r="AS150" s="47" t="s">
        <v>0</v>
      </c>
      <c r="AT150" s="19" t="str">
        <f t="shared" si="240"/>
        <v/>
      </c>
      <c r="AU150" s="47" t="s">
        <v>0</v>
      </c>
      <c r="AV150" s="103"/>
      <c r="AW150" s="105"/>
      <c r="AX150" s="47" t="s">
        <v>0</v>
      </c>
      <c r="AY150" s="259" t="str">
        <f t="shared" si="263"/>
        <v/>
      </c>
      <c r="AZ150" s="47" t="s">
        <v>0</v>
      </c>
      <c r="BA150" s="52" t="str">
        <f t="shared" si="200"/>
        <v/>
      </c>
      <c r="BB150" s="73" t="str">
        <f>IF(AV150&amp;AW150="","",MAX(BB$12:BB149)+1)</f>
        <v/>
      </c>
      <c r="BC150" s="272" t="str">
        <f t="shared" si="201"/>
        <v/>
      </c>
      <c r="BD150" s="53" t="str">
        <f>IF(AND(AM150="NEMA",AN150="NEMA",OR(AV150&amp;AW150="",BC150="NEMA")),MAX(BD$12:BD149)+1,"")</f>
        <v/>
      </c>
      <c r="BE150" s="47" t="s">
        <v>0</v>
      </c>
      <c r="BF150" s="52" t="str">
        <f t="shared" si="241"/>
        <v>Dinko</v>
      </c>
      <c r="BG150" s="66" t="str">
        <f t="shared" si="242"/>
        <v>Ćetković</v>
      </c>
      <c r="BH150" s="47" t="s">
        <v>0</v>
      </c>
      <c r="BI150" s="52" t="str">
        <f t="shared" si="202"/>
        <v>Vihor</v>
      </c>
      <c r="BJ150" s="31" t="str">
        <f t="shared" si="203"/>
        <v>OK Vihor</v>
      </c>
      <c r="BK150" s="73" t="str">
        <f t="shared" si="204"/>
        <v/>
      </c>
      <c r="BL150" s="31" t="str" cm="1">
        <f t="array" ref="BL150">IF(BK150="",""&amp;BJ150,IF(BK150="NEMA",BJ150,INDEX(regKlub_naziv,MATCH(INDEX(regKlub_alias_klubId,BK150),regKlub_id,0))))</f>
        <v>OK Vihor</v>
      </c>
      <c r="BM150" s="31" t="str" cm="1">
        <f t="array" ref="BM150">IFERROR(""&amp;INDEX(regNatjecatelj_klub,DV150),"")</f>
        <v>OK Vihor</v>
      </c>
      <c r="BN150" s="73" t="str">
        <f t="shared" si="243"/>
        <v/>
      </c>
      <c r="BO150" s="66" t="str">
        <f t="shared" si="244"/>
        <v>OK Vihor</v>
      </c>
      <c r="BP150" s="47" t="s">
        <v>0</v>
      </c>
      <c r="BQ150" s="52" t="str">
        <f>IF(X150&lt;&gt;"NEMA","",IF(IFERROR(MATCH(W150,W$12:W149,0),0)&lt;&gt;0,"",W150))</f>
        <v/>
      </c>
      <c r="BR150" s="73" t="str">
        <f t="shared" si="245"/>
        <v/>
      </c>
      <c r="BS150" s="31" t="str">
        <f>IF(OR(BR150="",BR150&lt;&gt;"NEMA"),"",MAX(BS$12:BS149)+1)</f>
        <v/>
      </c>
      <c r="BT150" s="66" t="str">
        <f t="shared" si="246"/>
        <v/>
      </c>
      <c r="BU150" s="47" t="s">
        <v>0</v>
      </c>
      <c r="BV150" s="19" t="str">
        <f t="shared" si="247"/>
        <v/>
      </c>
      <c r="BW150" s="47" t="s">
        <v>0</v>
      </c>
      <c r="BX150" s="82" t="str">
        <f>IF(BK150&lt;&gt;"NEMA","",IF(IFERROR(MATCH(BJ150,BJ$12:BJ149,0),0)&lt;&gt;0,"",BJ150))</f>
        <v/>
      </c>
      <c r="BY150" s="47" t="s">
        <v>0</v>
      </c>
      <c r="BZ150" s="125"/>
      <c r="CA150" s="47" t="s">
        <v>0</v>
      </c>
      <c r="CB150" s="58" t="str">
        <f t="shared" si="248"/>
        <v/>
      </c>
      <c r="CC150" s="31" t="str">
        <f t="shared" si="249"/>
        <v/>
      </c>
      <c r="CD150" s="31" t="str">
        <f>IF(CC150="","",MAX(CD$12:CD149)+1)</f>
        <v/>
      </c>
      <c r="CE150" s="31" t="str">
        <f t="shared" si="205"/>
        <v/>
      </c>
      <c r="CF150" s="31" t="str">
        <f t="shared" si="250"/>
        <v/>
      </c>
      <c r="CG150" s="31" t="str">
        <f>IF(BZ150="","",MAX(CG$12:CG149)+1)</f>
        <v/>
      </c>
      <c r="CH150" s="31" t="str">
        <f t="shared" si="251"/>
        <v/>
      </c>
      <c r="CI150" s="66" t="str">
        <f t="shared" si="252"/>
        <v/>
      </c>
      <c r="CJ150" s="47" t="s">
        <v>0</v>
      </c>
      <c r="CK150" s="73" t="str">
        <f t="shared" si="206"/>
        <v/>
      </c>
      <c r="CL150" s="47"/>
      <c r="CM150" s="19" t="str">
        <f t="shared" si="253"/>
        <v/>
      </c>
      <c r="CN150" s="47" t="s">
        <v>0</v>
      </c>
      <c r="CO150" s="143" t="str">
        <f t="shared" si="254"/>
        <v>OK Vihor</v>
      </c>
      <c r="CP150" s="47" t="s">
        <v>0</v>
      </c>
      <c r="CQ150" s="58" t="str">
        <f t="shared" si="190"/>
        <v>97:15</v>
      </c>
      <c r="CR150" s="73" t="str">
        <f t="shared" si="191"/>
        <v>0</v>
      </c>
      <c r="CS150" s="229" t="str">
        <f t="shared" si="207"/>
        <v/>
      </c>
      <c r="CT150" s="230">
        <f t="shared" si="192"/>
        <v>5835</v>
      </c>
      <c r="CU150" s="163">
        <f t="shared" si="208"/>
        <v>1</v>
      </c>
      <c r="CV150" s="47" t="s">
        <v>0</v>
      </c>
      <c r="CW150" s="222" t="str">
        <f t="shared" si="255"/>
        <v xml:space="preserve">
</v>
      </c>
      <c r="CX150" s="223">
        <f t="shared" si="256"/>
        <v>6</v>
      </c>
      <c r="CY150" s="47" t="s">
        <v>0</v>
      </c>
      <c r="CZ150" s="47"/>
      <c r="DA150" s="47"/>
      <c r="DB150" s="47"/>
      <c r="DC150" s="47" t="s">
        <v>0</v>
      </c>
      <c r="DD150" s="53" t="str">
        <f t="shared" si="264"/>
        <v/>
      </c>
      <c r="DE150" t="s">
        <v>0</v>
      </c>
      <c r="DF150" s="128" t="str">
        <f t="shared" si="265"/>
        <v>M</v>
      </c>
      <c r="DG150" t="s">
        <v>0</v>
      </c>
      <c r="DH150" s="52" t="str">
        <f t="shared" si="266"/>
        <v/>
      </c>
      <c r="DI150" s="66" t="str">
        <f t="shared" si="267"/>
        <v/>
      </c>
      <c r="DJ150" t="s">
        <v>0</v>
      </c>
      <c r="DK150" s="19" t="str">
        <f t="shared" si="268"/>
        <v/>
      </c>
      <c r="DL150" s="47" t="s">
        <v>0</v>
      </c>
      <c r="DM150" s="19" t="str">
        <f t="shared" si="269"/>
        <v/>
      </c>
      <c r="DN150" s="47" t="s">
        <v>0</v>
      </c>
      <c r="DO150" s="52" t="str">
        <f t="shared" si="209"/>
        <v>Dinko – Ćetković – OK Vihor – M45</v>
      </c>
      <c r="DP150" s="53">
        <f t="shared" si="210"/>
        <v>646</v>
      </c>
      <c r="DQ150" s="47" t="s">
        <v>0</v>
      </c>
      <c r="DR150" s="52" t="str">
        <f t="shared" si="211"/>
        <v>Dinko – Ćetković – OK Vihor</v>
      </c>
      <c r="DS150" s="53">
        <f t="shared" si="212"/>
        <v>646</v>
      </c>
      <c r="DT150" s="47" t="s">
        <v>0</v>
      </c>
      <c r="DU150" s="52" t="str">
        <f t="shared" si="213"/>
        <v>Dinko – Ćetković</v>
      </c>
      <c r="DV150" s="53">
        <f t="shared" si="214"/>
        <v>646</v>
      </c>
      <c r="DW150" s="47" t="s">
        <v>0</v>
      </c>
      <c r="DX150" s="58">
        <f t="shared" si="257"/>
        <v>646</v>
      </c>
      <c r="DY150" s="53" cm="1">
        <f t="array" ref="DY150">IF(DX150&lt;&gt;"",INDEX(regNatjecatelj_id,DX150,0),IF(BD150&lt;&gt;"",BD150,""))</f>
        <v>1916</v>
      </c>
      <c r="DZ150" s="47" t="s">
        <v>0</v>
      </c>
      <c r="EA150" s="58" t="str">
        <f t="shared" si="215"/>
        <v>imepre</v>
      </c>
      <c r="EB150" s="73" t="str">
        <f t="shared" si="216"/>
        <v>klu</v>
      </c>
      <c r="EC150" s="73" t="str">
        <f t="shared" si="217"/>
        <v>kat</v>
      </c>
      <c r="ED150" s="73" t="str">
        <f t="shared" si="218"/>
        <v/>
      </c>
      <c r="EE150" s="66" t="str">
        <f t="shared" si="219"/>
        <v>imepre-klu-kat</v>
      </c>
      <c r="EF150" s="47" t="s">
        <v>0</v>
      </c>
      <c r="EG150" s="58">
        <f>IF(AL150="","",MAX(EG$12:EG149)+1)</f>
        <v>317</v>
      </c>
      <c r="EH150" s="73">
        <f t="shared" si="220"/>
        <v>30</v>
      </c>
      <c r="EI150" s="73">
        <f t="shared" si="258"/>
        <v>1916</v>
      </c>
      <c r="EJ150" s="73">
        <f t="shared" si="221"/>
        <v>5835</v>
      </c>
      <c r="EK150" s="73">
        <f t="shared" si="222"/>
        <v>1</v>
      </c>
      <c r="EL150" s="73">
        <f t="shared" si="259"/>
        <v>1</v>
      </c>
      <c r="EM150" s="73">
        <f t="shared" si="260"/>
        <v>1</v>
      </c>
      <c r="EN150" s="73" t="str">
        <f t="shared" si="223"/>
        <v>0</v>
      </c>
      <c r="EO150" s="73" t="str">
        <f t="shared" si="224"/>
        <v/>
      </c>
      <c r="EP150" s="73" t="str">
        <f t="shared" si="225"/>
        <v/>
      </c>
      <c r="EQ150" s="53" t="str">
        <f t="shared" si="226"/>
        <v/>
      </c>
      <c r="ER150" s="47" t="s">
        <v>0</v>
      </c>
      <c r="ES150" s="19" t="str">
        <f t="shared" si="261"/>
        <v>INSERT INTO rezultat(id,stazakategorija_id,imeprezime_id,vrijeme_sec,status_id,registracija,uparivanje_id,originalstatus_id,imeprezimealias_id,klubalias_id,kategorijaalias_id) VALUES (317,30,1916,5835,1,1,1,0,Null,Null,Null);</v>
      </c>
      <c r="ET150" s="47" t="s">
        <v>0</v>
      </c>
      <c r="EU150" s="19" t="str">
        <f t="shared" si="262"/>
        <v>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0" s="47" t="s">
        <v>0</v>
      </c>
      <c r="EW150" s="180" t="str">
        <f t="shared" si="227"/>
        <v xml:space="preserve">
INSERT INTO rezultat(id,stazakategorija_id,imeprezime_id,vrijeme_sec,status_id,registracija,uparivanje_id,originalstatus_id,imeprezimealias_id,klubalias_id,kategorijaalias_id) VALUES (317,30,1916,5835,1,1,1,0,Null,Null,Null);
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0" s="47" t="s">
        <v>0</v>
      </c>
    </row>
    <row r="151" spans="1:154" x14ac:dyDescent="0.25">
      <c r="A151" t="s">
        <v>0</v>
      </c>
      <c r="B151" s="52" t="str">
        <f>IF(csv!F141="","",csv!T141)</f>
        <v>M45</v>
      </c>
      <c r="C151" s="31" t="s">
        <v>0</v>
      </c>
      <c r="D151" s="31" t="str">
        <f>IF(csv!F141="","",csv!F141)</f>
        <v>Hrvoje</v>
      </c>
      <c r="E151" s="31" t="str">
        <f>IF(csv!E141="","",csv!E141)</f>
        <v>Jelinić</v>
      </c>
      <c r="F151" s="31" t="s">
        <v>0</v>
      </c>
      <c r="G151" s="73" t="str">
        <f>IF(csv!M141="","",csv!M141)</f>
        <v/>
      </c>
      <c r="H151" s="73" t="str">
        <f>IF(csv!N141="","",csv!N141)</f>
        <v>1</v>
      </c>
      <c r="I151" s="31" t="s">
        <v>0</v>
      </c>
      <c r="J151" s="31" t="str">
        <f>IF(csv!P141="","",csv!P141)</f>
        <v>JAP</v>
      </c>
      <c r="K151" s="31" t="str">
        <f>IF(csv!Q141="","",csv!Q141)</f>
        <v>OK Japetic</v>
      </c>
      <c r="L151" s="31" t="s">
        <v>0</v>
      </c>
      <c r="M151" s="66" t="str">
        <f>IF(csv!R141="","",csv!R141)</f>
        <v>CRO</v>
      </c>
      <c r="N151" s="47" t="s">
        <v>0</v>
      </c>
      <c r="O151" s="246" t="str">
        <f t="shared" si="228"/>
        <v>ok</v>
      </c>
      <c r="P151" s="47"/>
      <c r="Q151" s="52" t="str">
        <f t="shared" si="229"/>
        <v>M45</v>
      </c>
      <c r="R151" s="73">
        <f>IF(Q151="","",IF(COUNTIF(Q$12:Q150,Q151)=0,R150+1,R150))</f>
        <v>8</v>
      </c>
      <c r="S151" s="73">
        <f t="shared" si="230"/>
        <v>106</v>
      </c>
      <c r="T151" s="73">
        <f t="shared" si="193"/>
        <v>17</v>
      </c>
      <c r="U151" s="66" t="str">
        <f t="shared" si="194"/>
        <v>M45</v>
      </c>
      <c r="V151" s="47" t="s">
        <v>0</v>
      </c>
      <c r="W151" s="222" t="str">
        <f t="shared" si="195"/>
        <v>M45</v>
      </c>
      <c r="X151" s="223">
        <f t="shared" si="196"/>
        <v>30</v>
      </c>
      <c r="Y151" s="47" t="s">
        <v>0</v>
      </c>
      <c r="Z151" s="52" t="str">
        <f t="shared" si="231"/>
        <v>CRO</v>
      </c>
      <c r="AA151" s="73">
        <f t="shared" si="197"/>
        <v>1</v>
      </c>
      <c r="AB151" s="31" t="str">
        <f t="shared" si="232"/>
        <v/>
      </c>
      <c r="AC151" s="66" t="str">
        <f>IF(AB151="","",MAX(AC$12:AC150)+1)</f>
        <v/>
      </c>
      <c r="AD151" s="47" t="s">
        <v>0</v>
      </c>
      <c r="AE151" s="125"/>
      <c r="AF151" s="47" t="s">
        <v>0</v>
      </c>
      <c r="AG151" s="19" t="str">
        <f t="shared" si="233"/>
        <v/>
      </c>
      <c r="AH151" s="47" t="s">
        <v>0</v>
      </c>
      <c r="AI151" s="143" t="str">
        <f t="shared" si="234"/>
        <v>CRO</v>
      </c>
      <c r="AJ151" s="47"/>
      <c r="AK151" s="52" t="str">
        <f t="shared" si="235"/>
        <v>Hrvoje</v>
      </c>
      <c r="AL151" s="31" t="str">
        <f t="shared" si="236"/>
        <v>Jelinić</v>
      </c>
      <c r="AM151" s="73">
        <f t="shared" si="237"/>
        <v>1576</v>
      </c>
      <c r="AN151" s="73" t="str">
        <f t="shared" si="238"/>
        <v/>
      </c>
      <c r="AO151" s="31" t="str">
        <f t="shared" si="198"/>
        <v>Hrvoje</v>
      </c>
      <c r="AP151" s="66" t="str">
        <f t="shared" si="199"/>
        <v>Jelinić</v>
      </c>
      <c r="AQ151" s="47" t="s">
        <v>0</v>
      </c>
      <c r="AR151" s="82" t="str">
        <f t="shared" si="239"/>
        <v/>
      </c>
      <c r="AS151" s="47" t="s">
        <v>0</v>
      </c>
      <c r="AT151" s="19" t="str">
        <f t="shared" si="240"/>
        <v/>
      </c>
      <c r="AU151" s="47" t="s">
        <v>0</v>
      </c>
      <c r="AV151" s="103"/>
      <c r="AW151" s="105"/>
      <c r="AX151" s="47" t="s">
        <v>0</v>
      </c>
      <c r="AY151" s="259" t="str">
        <f t="shared" si="263"/>
        <v/>
      </c>
      <c r="AZ151" s="47" t="s">
        <v>0</v>
      </c>
      <c r="BA151" s="52" t="str">
        <f t="shared" si="200"/>
        <v/>
      </c>
      <c r="BB151" s="73" t="str">
        <f>IF(AV151&amp;AW151="","",MAX(BB$12:BB150)+1)</f>
        <v/>
      </c>
      <c r="BC151" s="272" t="str">
        <f t="shared" si="201"/>
        <v/>
      </c>
      <c r="BD151" s="53" t="str">
        <f>IF(AND(AM151="NEMA",AN151="NEMA",OR(AV151&amp;AW151="",BC151="NEMA")),MAX(BD$12:BD150)+1,"")</f>
        <v/>
      </c>
      <c r="BE151" s="47" t="s">
        <v>0</v>
      </c>
      <c r="BF151" s="52" t="str">
        <f t="shared" si="241"/>
        <v>Hrvoje</v>
      </c>
      <c r="BG151" s="66" t="str">
        <f t="shared" si="242"/>
        <v>Jelinić</v>
      </c>
      <c r="BH151" s="47" t="s">
        <v>0</v>
      </c>
      <c r="BI151" s="52" t="str">
        <f t="shared" si="202"/>
        <v>JAP</v>
      </c>
      <c r="BJ151" s="31" t="str">
        <f t="shared" si="203"/>
        <v>OK Japetic</v>
      </c>
      <c r="BK151" s="73">
        <f t="shared" si="204"/>
        <v>1</v>
      </c>
      <c r="BL151" s="31" t="str" cm="1">
        <f t="array" ref="BL151">IF(BK151="",""&amp;BJ151,IF(BK151="NEMA",BJ151,INDEX(regKlub_naziv,MATCH(INDEX(regKlub_alias_klubId,BK151),regKlub_id,0))))</f>
        <v>OK Japetić</v>
      </c>
      <c r="BM151" s="31" t="str" cm="1">
        <f t="array" ref="BM151">IFERROR(""&amp;INDEX(regNatjecatelj_klub,DV151),"")</f>
        <v>OK Japetić</v>
      </c>
      <c r="BN151" s="73" t="str">
        <f t="shared" si="243"/>
        <v/>
      </c>
      <c r="BO151" s="66" t="str">
        <f t="shared" si="244"/>
        <v>OK Japetić</v>
      </c>
      <c r="BP151" s="47" t="s">
        <v>0</v>
      </c>
      <c r="BQ151" s="52" t="str">
        <f>IF(X151&lt;&gt;"NEMA","",IF(IFERROR(MATCH(W151,W$12:W150,0),0)&lt;&gt;0,"",W151))</f>
        <v/>
      </c>
      <c r="BR151" s="73" t="str">
        <f t="shared" si="245"/>
        <v/>
      </c>
      <c r="BS151" s="31" t="str">
        <f>IF(OR(BR151="",BR151&lt;&gt;"NEMA"),"",MAX(BS$12:BS150)+1)</f>
        <v/>
      </c>
      <c r="BT151" s="66" t="str">
        <f t="shared" si="246"/>
        <v/>
      </c>
      <c r="BU151" s="47" t="s">
        <v>0</v>
      </c>
      <c r="BV151" s="19" t="str">
        <f t="shared" si="247"/>
        <v/>
      </c>
      <c r="BW151" s="47" t="s">
        <v>0</v>
      </c>
      <c r="BX151" s="82" t="str">
        <f>IF(BK151&lt;&gt;"NEMA","",IF(IFERROR(MATCH(BJ151,BJ$12:BJ150,0),0)&lt;&gt;0,"",BJ151))</f>
        <v/>
      </c>
      <c r="BY151" s="47" t="s">
        <v>0</v>
      </c>
      <c r="BZ151" s="125"/>
      <c r="CA151" s="47" t="s">
        <v>0</v>
      </c>
      <c r="CB151" s="58" t="str">
        <f t="shared" si="248"/>
        <v/>
      </c>
      <c r="CC151" s="31" t="str">
        <f t="shared" si="249"/>
        <v/>
      </c>
      <c r="CD151" s="31" t="str">
        <f>IF(CC151="","",MAX(CD$12:CD150)+1)</f>
        <v/>
      </c>
      <c r="CE151" s="31" t="str">
        <f t="shared" si="205"/>
        <v/>
      </c>
      <c r="CF151" s="31" t="str">
        <f t="shared" si="250"/>
        <v/>
      </c>
      <c r="CG151" s="31" t="str">
        <f>IF(BZ151="","",MAX(CG$12:CG150)+1)</f>
        <v/>
      </c>
      <c r="CH151" s="31" t="str">
        <f t="shared" si="251"/>
        <v/>
      </c>
      <c r="CI151" s="66" t="str">
        <f t="shared" si="252"/>
        <v/>
      </c>
      <c r="CJ151" s="47" t="s">
        <v>0</v>
      </c>
      <c r="CK151" s="73" t="str">
        <f t="shared" si="206"/>
        <v/>
      </c>
      <c r="CL151" s="47"/>
      <c r="CM151" s="19" t="str">
        <f t="shared" si="253"/>
        <v/>
      </c>
      <c r="CN151" s="47" t="s">
        <v>0</v>
      </c>
      <c r="CO151" s="143" t="str">
        <f t="shared" si="254"/>
        <v>OK Japetić</v>
      </c>
      <c r="CP151" s="47" t="s">
        <v>0</v>
      </c>
      <c r="CQ151" s="58" t="str">
        <f t="shared" si="190"/>
        <v/>
      </c>
      <c r="CR151" s="73" t="str">
        <f t="shared" si="191"/>
        <v>1</v>
      </c>
      <c r="CS151" s="229" t="str">
        <f t="shared" si="207"/>
        <v/>
      </c>
      <c r="CT151" s="230" t="str">
        <f t="shared" si="192"/>
        <v/>
      </c>
      <c r="CU151" s="163">
        <f t="shared" si="208"/>
        <v>6</v>
      </c>
      <c r="CV151" s="47" t="s">
        <v>0</v>
      </c>
      <c r="CW151" s="222" t="str">
        <f t="shared" si="255"/>
        <v xml:space="preserve">
</v>
      </c>
      <c r="CX151" s="223" t="e">
        <f t="shared" si="256"/>
        <v>#N/A</v>
      </c>
      <c r="CY151" s="47" t="s">
        <v>0</v>
      </c>
      <c r="CZ151" s="47"/>
      <c r="DA151" s="47"/>
      <c r="DB151" s="47"/>
      <c r="DC151" s="47" t="s">
        <v>0</v>
      </c>
      <c r="DD151" s="53" t="str">
        <f t="shared" si="264"/>
        <v/>
      </c>
      <c r="DE151" t="s">
        <v>0</v>
      </c>
      <c r="DF151" s="128" t="str">
        <f t="shared" si="265"/>
        <v>M</v>
      </c>
      <c r="DG151" t="s">
        <v>0</v>
      </c>
      <c r="DH151" s="52" t="str">
        <f t="shared" si="266"/>
        <v/>
      </c>
      <c r="DI151" s="66" t="str">
        <f t="shared" si="267"/>
        <v/>
      </c>
      <c r="DJ151" t="s">
        <v>0</v>
      </c>
      <c r="DK151" s="19" t="str">
        <f t="shared" si="268"/>
        <v/>
      </c>
      <c r="DL151" s="47" t="s">
        <v>0</v>
      </c>
      <c r="DM151" s="19" t="str">
        <f t="shared" si="269"/>
        <v/>
      </c>
      <c r="DN151" s="47" t="s">
        <v>0</v>
      </c>
      <c r="DO151" s="52" t="str">
        <f t="shared" si="209"/>
        <v>Hrvoje – Jelinić – OK Japetić – M45</v>
      </c>
      <c r="DP151" s="53">
        <f t="shared" si="210"/>
        <v>96</v>
      </c>
      <c r="DQ151" s="47" t="s">
        <v>0</v>
      </c>
      <c r="DR151" s="52" t="str">
        <f t="shared" si="211"/>
        <v>Hrvoje – Jelinić – OK Japetić</v>
      </c>
      <c r="DS151" s="53">
        <f t="shared" si="212"/>
        <v>96</v>
      </c>
      <c r="DT151" s="47" t="s">
        <v>0</v>
      </c>
      <c r="DU151" s="52" t="str">
        <f t="shared" si="213"/>
        <v>Hrvoje – Jelinić</v>
      </c>
      <c r="DV151" s="53">
        <f t="shared" si="214"/>
        <v>96</v>
      </c>
      <c r="DW151" s="47" t="s">
        <v>0</v>
      </c>
      <c r="DX151" s="58">
        <f t="shared" si="257"/>
        <v>96</v>
      </c>
      <c r="DY151" s="53" cm="1">
        <f t="array" ref="DY151">IF(DX151&lt;&gt;"",INDEX(regNatjecatelj_id,DX151,0),IF(BD151&lt;&gt;"",BD151,""))</f>
        <v>1576</v>
      </c>
      <c r="DZ151" s="47" t="s">
        <v>0</v>
      </c>
      <c r="EA151" s="58" t="str">
        <f t="shared" si="215"/>
        <v>imepre</v>
      </c>
      <c r="EB151" s="73" t="str">
        <f t="shared" si="216"/>
        <v>klu(ali)</v>
      </c>
      <c r="EC151" s="73" t="str">
        <f t="shared" si="217"/>
        <v>kat</v>
      </c>
      <c r="ED151" s="73" t="str">
        <f t="shared" si="218"/>
        <v/>
      </c>
      <c r="EE151" s="66" t="str">
        <f t="shared" si="219"/>
        <v>imepre-klu(ali)-kat</v>
      </c>
      <c r="EF151" s="47" t="s">
        <v>0</v>
      </c>
      <c r="EG151" s="58">
        <f>IF(AL151="","",MAX(EG$12:EG150)+1)</f>
        <v>318</v>
      </c>
      <c r="EH151" s="73">
        <f t="shared" si="220"/>
        <v>30</v>
      </c>
      <c r="EI151" s="73">
        <f t="shared" si="258"/>
        <v>1576</v>
      </c>
      <c r="EJ151" s="73" t="str">
        <f t="shared" si="221"/>
        <v/>
      </c>
      <c r="EK151" s="73">
        <f t="shared" si="222"/>
        <v>6</v>
      </c>
      <c r="EL151" s="73">
        <f t="shared" si="259"/>
        <v>1</v>
      </c>
      <c r="EM151" s="73">
        <f t="shared" si="260"/>
        <v>3</v>
      </c>
      <c r="EN151" s="73" t="str">
        <f t="shared" si="223"/>
        <v>1</v>
      </c>
      <c r="EO151" s="73" t="str">
        <f t="shared" si="224"/>
        <v/>
      </c>
      <c r="EP151" s="73">
        <f t="shared" si="225"/>
        <v>1</v>
      </c>
      <c r="EQ151" s="53" t="str">
        <f t="shared" si="226"/>
        <v/>
      </c>
      <c r="ER151" s="47" t="s">
        <v>0</v>
      </c>
      <c r="ES151" s="19" t="str">
        <f t="shared" si="261"/>
        <v>INSERT INTO rezultat(id,stazakategorija_id,imeprezime_id,vrijeme_sec,status_id,registracija,uparivanje_id,originalstatus_id,imeprezimealias_id,klubalias_id,kategorijaalias_id) VALUES (318,30,1576,Null,6,1,3,1,Null,1,Null);</v>
      </c>
      <c r="ET151" s="47" t="s">
        <v>0</v>
      </c>
      <c r="EU151" s="19" t="str">
        <f t="shared" si="262"/>
        <v>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1" s="47" t="s">
        <v>0</v>
      </c>
      <c r="EW151" s="180" t="str">
        <f t="shared" si="227"/>
        <v xml:space="preserve">
INSERT INTO rezultat(id,stazakategorija_id,imeprezime_id,vrijeme_sec,status_id,registracija,uparivanje_id,originalstatus_id,imeprezimealias_id,klubalias_id,kategorijaalias_id) VALUES (318,30,1576,Null,6,1,3,1,Null,1,Null);
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1" s="47" t="s">
        <v>0</v>
      </c>
    </row>
    <row r="152" spans="1:154" x14ac:dyDescent="0.25">
      <c r="A152" t="s">
        <v>0</v>
      </c>
      <c r="B152" s="52" t="str">
        <f>IF(csv!F142="","",csv!T142)</f>
        <v>M45</v>
      </c>
      <c r="C152" s="31" t="s">
        <v>0</v>
      </c>
      <c r="D152" s="31" t="str">
        <f>IF(csv!F142="","",csv!F142)</f>
        <v>Zdravko</v>
      </c>
      <c r="E152" s="31" t="str">
        <f>IF(csv!E142="","",csv!E142)</f>
        <v>Šaflin</v>
      </c>
      <c r="F152" s="31" t="s">
        <v>0</v>
      </c>
      <c r="G152" s="73" t="str">
        <f>IF(csv!M142="","",csv!M142)</f>
        <v/>
      </c>
      <c r="H152" s="73" t="str">
        <f>IF(csv!N142="","",csv!N142)</f>
        <v>1</v>
      </c>
      <c r="I152" s="31" t="s">
        <v>0</v>
      </c>
      <c r="J152" s="31" t="str">
        <f>IF(csv!P142="","",csv!P142)</f>
        <v>OK Jelen</v>
      </c>
      <c r="K152" s="31" t="str">
        <f>IF(csv!Q142="","",csv!Q142)</f>
        <v>OK Jelen</v>
      </c>
      <c r="L152" s="31" t="s">
        <v>0</v>
      </c>
      <c r="M152" s="66" t="str">
        <f>IF(csv!R142="","",csv!R142)</f>
        <v>CRO</v>
      </c>
      <c r="N152" s="47" t="s">
        <v>0</v>
      </c>
      <c r="O152" s="246" t="str">
        <f t="shared" si="228"/>
        <v>ok</v>
      </c>
      <c r="P152" s="47"/>
      <c r="Q152" s="52" t="str">
        <f t="shared" si="229"/>
        <v>M45</v>
      </c>
      <c r="R152" s="73">
        <f>IF(Q152="","",IF(COUNTIF(Q$12:Q151,Q152)=0,R151+1,R151))</f>
        <v>8</v>
      </c>
      <c r="S152" s="73">
        <f t="shared" si="230"/>
        <v>106</v>
      </c>
      <c r="T152" s="73">
        <f t="shared" si="193"/>
        <v>17</v>
      </c>
      <c r="U152" s="66" t="str">
        <f t="shared" si="194"/>
        <v>M45</v>
      </c>
      <c r="V152" s="47" t="s">
        <v>0</v>
      </c>
      <c r="W152" s="222" t="str">
        <f t="shared" si="195"/>
        <v>M45</v>
      </c>
      <c r="X152" s="223">
        <f t="shared" si="196"/>
        <v>30</v>
      </c>
      <c r="Y152" s="47" t="s">
        <v>0</v>
      </c>
      <c r="Z152" s="52" t="str">
        <f t="shared" si="231"/>
        <v>CRO</v>
      </c>
      <c r="AA152" s="73">
        <f t="shared" si="197"/>
        <v>1</v>
      </c>
      <c r="AB152" s="31" t="str">
        <f t="shared" si="232"/>
        <v/>
      </c>
      <c r="AC152" s="66" t="str">
        <f>IF(AB152="","",MAX(AC$12:AC151)+1)</f>
        <v/>
      </c>
      <c r="AD152" s="47" t="s">
        <v>0</v>
      </c>
      <c r="AE152" s="125"/>
      <c r="AF152" s="47" t="s">
        <v>0</v>
      </c>
      <c r="AG152" s="19" t="str">
        <f t="shared" si="233"/>
        <v/>
      </c>
      <c r="AH152" s="47" t="s">
        <v>0</v>
      </c>
      <c r="AI152" s="143" t="str">
        <f t="shared" si="234"/>
        <v>CRO</v>
      </c>
      <c r="AJ152" s="47"/>
      <c r="AK152" s="52" t="str">
        <f t="shared" si="235"/>
        <v>Zdravko</v>
      </c>
      <c r="AL152" s="31" t="str">
        <f t="shared" si="236"/>
        <v>Šaflin</v>
      </c>
      <c r="AM152" s="73">
        <f t="shared" si="237"/>
        <v>1505</v>
      </c>
      <c r="AN152" s="73" t="str">
        <f t="shared" si="238"/>
        <v/>
      </c>
      <c r="AO152" s="31" t="str">
        <f t="shared" si="198"/>
        <v>Zdravko</v>
      </c>
      <c r="AP152" s="66" t="str">
        <f t="shared" si="199"/>
        <v>Šaflin</v>
      </c>
      <c r="AQ152" s="47" t="s">
        <v>0</v>
      </c>
      <c r="AR152" s="82" t="str">
        <f t="shared" si="239"/>
        <v/>
      </c>
      <c r="AS152" s="47" t="s">
        <v>0</v>
      </c>
      <c r="AT152" s="19" t="str">
        <f t="shared" si="240"/>
        <v/>
      </c>
      <c r="AU152" s="47" t="s">
        <v>0</v>
      </c>
      <c r="AV152" s="103"/>
      <c r="AW152" s="105"/>
      <c r="AX152" s="47" t="s">
        <v>0</v>
      </c>
      <c r="AY152" s="259" t="str">
        <f t="shared" si="263"/>
        <v/>
      </c>
      <c r="AZ152" s="47" t="s">
        <v>0</v>
      </c>
      <c r="BA152" s="52" t="str">
        <f t="shared" si="200"/>
        <v/>
      </c>
      <c r="BB152" s="73" t="str">
        <f>IF(AV152&amp;AW152="","",MAX(BB$12:BB151)+1)</f>
        <v/>
      </c>
      <c r="BC152" s="272" t="str">
        <f t="shared" si="201"/>
        <v/>
      </c>
      <c r="BD152" s="53" t="str">
        <f>IF(AND(AM152="NEMA",AN152="NEMA",OR(AV152&amp;AW152="",BC152="NEMA")),MAX(BD$12:BD151)+1,"")</f>
        <v/>
      </c>
      <c r="BE152" s="47" t="s">
        <v>0</v>
      </c>
      <c r="BF152" s="52" t="str">
        <f t="shared" si="241"/>
        <v>Zdravko</v>
      </c>
      <c r="BG152" s="66" t="str">
        <f t="shared" si="242"/>
        <v>Šaflin</v>
      </c>
      <c r="BH152" s="47" t="s">
        <v>0</v>
      </c>
      <c r="BI152" s="52" t="str">
        <f t="shared" si="202"/>
        <v>OK Jelen</v>
      </c>
      <c r="BJ152" s="31" t="str">
        <f t="shared" si="203"/>
        <v>OK Jelen</v>
      </c>
      <c r="BK152" s="73" t="str">
        <f t="shared" si="204"/>
        <v/>
      </c>
      <c r="BL152" s="31" t="str" cm="1">
        <f t="array" ref="BL152">IF(BK152="",""&amp;BJ152,IF(BK152="NEMA",BJ152,INDEX(regKlub_naziv,MATCH(INDEX(regKlub_alias_klubId,BK152),regKlub_id,0))))</f>
        <v>OK Jelen</v>
      </c>
      <c r="BM152" s="31" t="str" cm="1">
        <f t="array" ref="BM152">IFERROR(""&amp;INDEX(regNatjecatelj_klub,DV152),"")</f>
        <v>OK Jelen</v>
      </c>
      <c r="BN152" s="73" t="str">
        <f t="shared" si="243"/>
        <v/>
      </c>
      <c r="BO152" s="66" t="str">
        <f t="shared" si="244"/>
        <v>OK Jelen</v>
      </c>
      <c r="BP152" s="47" t="s">
        <v>0</v>
      </c>
      <c r="BQ152" s="52" t="str">
        <f>IF(X152&lt;&gt;"NEMA","",IF(IFERROR(MATCH(W152,W$12:W151,0),0)&lt;&gt;0,"",W152))</f>
        <v/>
      </c>
      <c r="BR152" s="73" t="str">
        <f t="shared" si="245"/>
        <v/>
      </c>
      <c r="BS152" s="31" t="str">
        <f>IF(OR(BR152="",BR152&lt;&gt;"NEMA"),"",MAX(BS$12:BS151)+1)</f>
        <v/>
      </c>
      <c r="BT152" s="66" t="str">
        <f t="shared" si="246"/>
        <v/>
      </c>
      <c r="BU152" s="47" t="s">
        <v>0</v>
      </c>
      <c r="BV152" s="19" t="str">
        <f t="shared" si="247"/>
        <v/>
      </c>
      <c r="BW152" s="47" t="s">
        <v>0</v>
      </c>
      <c r="BX152" s="82" t="str">
        <f>IF(BK152&lt;&gt;"NEMA","",IF(IFERROR(MATCH(BJ152,BJ$12:BJ151,0),0)&lt;&gt;0,"",BJ152))</f>
        <v/>
      </c>
      <c r="BY152" s="47" t="s">
        <v>0</v>
      </c>
      <c r="BZ152" s="125"/>
      <c r="CA152" s="47" t="s">
        <v>0</v>
      </c>
      <c r="CB152" s="58" t="str">
        <f t="shared" si="248"/>
        <v/>
      </c>
      <c r="CC152" s="31" t="str">
        <f t="shared" si="249"/>
        <v/>
      </c>
      <c r="CD152" s="31" t="str">
        <f>IF(CC152="","",MAX(CD$12:CD151)+1)</f>
        <v/>
      </c>
      <c r="CE152" s="31" t="str">
        <f t="shared" si="205"/>
        <v/>
      </c>
      <c r="CF152" s="31" t="str">
        <f t="shared" si="250"/>
        <v/>
      </c>
      <c r="CG152" s="31" t="str">
        <f>IF(BZ152="","",MAX(CG$12:CG151)+1)</f>
        <v/>
      </c>
      <c r="CH152" s="31" t="str">
        <f t="shared" si="251"/>
        <v/>
      </c>
      <c r="CI152" s="66" t="str">
        <f t="shared" si="252"/>
        <v/>
      </c>
      <c r="CJ152" s="47" t="s">
        <v>0</v>
      </c>
      <c r="CK152" s="73" t="str">
        <f t="shared" si="206"/>
        <v/>
      </c>
      <c r="CL152" s="47"/>
      <c r="CM152" s="19" t="str">
        <f t="shared" si="253"/>
        <v/>
      </c>
      <c r="CN152" s="47" t="s">
        <v>0</v>
      </c>
      <c r="CO152" s="143" t="str">
        <f t="shared" si="254"/>
        <v>OK Jelen</v>
      </c>
      <c r="CP152" s="47" t="s">
        <v>0</v>
      </c>
      <c r="CQ152" s="58" t="str">
        <f t="shared" si="190"/>
        <v/>
      </c>
      <c r="CR152" s="73" t="str">
        <f t="shared" si="191"/>
        <v>1</v>
      </c>
      <c r="CS152" s="229" t="str">
        <f t="shared" si="207"/>
        <v/>
      </c>
      <c r="CT152" s="230" t="str">
        <f t="shared" si="192"/>
        <v/>
      </c>
      <c r="CU152" s="163">
        <f t="shared" si="208"/>
        <v>6</v>
      </c>
      <c r="CV152" s="47" t="s">
        <v>0</v>
      </c>
      <c r="CW152" s="222" t="str">
        <f t="shared" si="255"/>
        <v xml:space="preserve">
</v>
      </c>
      <c r="CX152" s="223" t="e">
        <f t="shared" si="256"/>
        <v>#N/A</v>
      </c>
      <c r="CY152" s="47" t="s">
        <v>0</v>
      </c>
      <c r="CZ152" s="47"/>
      <c r="DA152" s="47"/>
      <c r="DB152" s="47"/>
      <c r="DC152" s="47" t="s">
        <v>0</v>
      </c>
      <c r="DD152" s="53" t="str">
        <f t="shared" si="264"/>
        <v/>
      </c>
      <c r="DE152" t="s">
        <v>0</v>
      </c>
      <c r="DF152" s="128" t="str">
        <f t="shared" si="265"/>
        <v>M</v>
      </c>
      <c r="DG152" t="s">
        <v>0</v>
      </c>
      <c r="DH152" s="52" t="str">
        <f t="shared" si="266"/>
        <v/>
      </c>
      <c r="DI152" s="66" t="str">
        <f t="shared" si="267"/>
        <v/>
      </c>
      <c r="DJ152" t="s">
        <v>0</v>
      </c>
      <c r="DK152" s="19" t="str">
        <f t="shared" si="268"/>
        <v/>
      </c>
      <c r="DL152" s="47" t="s">
        <v>0</v>
      </c>
      <c r="DM152" s="19" t="str">
        <f t="shared" si="269"/>
        <v/>
      </c>
      <c r="DN152" s="47" t="s">
        <v>0</v>
      </c>
      <c r="DO152" s="52" t="str">
        <f t="shared" si="209"/>
        <v>Zdravko – Šaflin – OK Jelen – M45</v>
      </c>
      <c r="DP152" s="53">
        <f t="shared" si="210"/>
        <v>186</v>
      </c>
      <c r="DQ152" s="47" t="s">
        <v>0</v>
      </c>
      <c r="DR152" s="52" t="str">
        <f t="shared" si="211"/>
        <v>Zdravko – Šaflin – OK Jelen</v>
      </c>
      <c r="DS152" s="53">
        <f t="shared" si="212"/>
        <v>186</v>
      </c>
      <c r="DT152" s="47" t="s">
        <v>0</v>
      </c>
      <c r="DU152" s="52" t="str">
        <f t="shared" si="213"/>
        <v>Zdravko – Šaflin</v>
      </c>
      <c r="DV152" s="53">
        <f t="shared" si="214"/>
        <v>186</v>
      </c>
      <c r="DW152" s="47" t="s">
        <v>0</v>
      </c>
      <c r="DX152" s="58">
        <f t="shared" si="257"/>
        <v>186</v>
      </c>
      <c r="DY152" s="53" cm="1">
        <f t="array" ref="DY152">IF(DX152&lt;&gt;"",INDEX(regNatjecatelj_id,DX152,0),IF(BD152&lt;&gt;"",BD152,""))</f>
        <v>1505</v>
      </c>
      <c r="DZ152" s="47" t="s">
        <v>0</v>
      </c>
      <c r="EA152" s="58" t="str">
        <f t="shared" si="215"/>
        <v>imepre</v>
      </c>
      <c r="EB152" s="73" t="str">
        <f t="shared" si="216"/>
        <v>klu</v>
      </c>
      <c r="EC152" s="73" t="str">
        <f t="shared" si="217"/>
        <v>kat</v>
      </c>
      <c r="ED152" s="73" t="str">
        <f t="shared" si="218"/>
        <v/>
      </c>
      <c r="EE152" s="66" t="str">
        <f t="shared" si="219"/>
        <v>imepre-klu-kat</v>
      </c>
      <c r="EF152" s="47" t="s">
        <v>0</v>
      </c>
      <c r="EG152" s="58">
        <f>IF(AL152="","",MAX(EG$12:EG151)+1)</f>
        <v>319</v>
      </c>
      <c r="EH152" s="73">
        <f t="shared" si="220"/>
        <v>30</v>
      </c>
      <c r="EI152" s="73">
        <f t="shared" si="258"/>
        <v>1505</v>
      </c>
      <c r="EJ152" s="73" t="str">
        <f t="shared" si="221"/>
        <v/>
      </c>
      <c r="EK152" s="73">
        <f t="shared" si="222"/>
        <v>6</v>
      </c>
      <c r="EL152" s="73">
        <f t="shared" si="259"/>
        <v>1</v>
      </c>
      <c r="EM152" s="73">
        <f t="shared" si="260"/>
        <v>1</v>
      </c>
      <c r="EN152" s="73" t="str">
        <f t="shared" si="223"/>
        <v>1</v>
      </c>
      <c r="EO152" s="73" t="str">
        <f t="shared" si="224"/>
        <v/>
      </c>
      <c r="EP152" s="73" t="str">
        <f t="shared" si="225"/>
        <v/>
      </c>
      <c r="EQ152" s="53" t="str">
        <f t="shared" si="226"/>
        <v/>
      </c>
      <c r="ER152" s="47" t="s">
        <v>0</v>
      </c>
      <c r="ES152" s="19" t="str">
        <f t="shared" si="261"/>
        <v>INSERT INTO rezultat(id,stazakategorija_id,imeprezime_id,vrijeme_sec,status_id,registracija,uparivanje_id,originalstatus_id,imeprezimealias_id,klubalias_id,kategorijaalias_id) VALUES (319,30,1505,Null,6,1,1,1,Null,Null,Null);</v>
      </c>
      <c r="ET152" s="47" t="s">
        <v>0</v>
      </c>
      <c r="EU152" s="19" t="str">
        <f t="shared" si="262"/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2" s="47" t="s">
        <v>0</v>
      </c>
      <c r="EW152" s="180" t="str">
        <f t="shared" si="227"/>
        <v xml:space="preserve">
INSERT INTO rezultat(id,stazakategorija_id,imeprezime_id,vrijeme_sec,status_id,registracija,uparivanje_id,originalstatus_id,imeprezimealias_id,klubalias_id,kategorijaalias_id) VALUES (319,30,1505,Null,6,1,1,1,Null,Null,Null);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2" s="47" t="s">
        <v>0</v>
      </c>
    </row>
    <row r="153" spans="1:154" x14ac:dyDescent="0.25">
      <c r="A153" t="s">
        <v>0</v>
      </c>
      <c r="B153" s="52" t="str">
        <f>IF(csv!F143="","",csv!T143)</f>
        <v>M45</v>
      </c>
      <c r="C153" s="31" t="s">
        <v>0</v>
      </c>
      <c r="D153" s="31" t="str">
        <f>IF(csv!F143="","",csv!F143)</f>
        <v>Vlatko</v>
      </c>
      <c r="E153" s="31" t="str">
        <f>IF(csv!E143="","",csv!E143)</f>
        <v>Tounec</v>
      </c>
      <c r="F153" s="31" t="s">
        <v>0</v>
      </c>
      <c r="G153" s="73" t="str">
        <f>IF(csv!M143="","",csv!M143)</f>
        <v/>
      </c>
      <c r="H153" s="73" t="str">
        <f>IF(csv!N143="","",csv!N143)</f>
        <v>1</v>
      </c>
      <c r="I153" s="31" t="s">
        <v>0</v>
      </c>
      <c r="J153" s="31" t="str">
        <f>IF(csv!P143="","",csv!P143)</f>
        <v>KAP</v>
      </c>
      <c r="K153" s="31" t="str">
        <f>IF(csv!Q143="","",csv!Q143)</f>
        <v>OK Kapela</v>
      </c>
      <c r="L153" s="31" t="s">
        <v>0</v>
      </c>
      <c r="M153" s="66" t="str">
        <f>IF(csv!R143="","",csv!R143)</f>
        <v>CRO</v>
      </c>
      <c r="N153" s="47" t="s">
        <v>0</v>
      </c>
      <c r="O153" s="246" t="str">
        <f t="shared" si="228"/>
        <v>ok</v>
      </c>
      <c r="P153" s="47"/>
      <c r="Q153" s="52" t="str">
        <f t="shared" si="229"/>
        <v>M45</v>
      </c>
      <c r="R153" s="73">
        <f>IF(Q153="","",IF(COUNTIF(Q$12:Q152,Q153)=0,R152+1,R152))</f>
        <v>8</v>
      </c>
      <c r="S153" s="73">
        <f t="shared" si="230"/>
        <v>106</v>
      </c>
      <c r="T153" s="73">
        <f t="shared" si="193"/>
        <v>17</v>
      </c>
      <c r="U153" s="66" t="str">
        <f t="shared" si="194"/>
        <v>M45</v>
      </c>
      <c r="V153" s="47" t="s">
        <v>0</v>
      </c>
      <c r="W153" s="222" t="str">
        <f t="shared" si="195"/>
        <v>M45</v>
      </c>
      <c r="X153" s="223">
        <f t="shared" si="196"/>
        <v>30</v>
      </c>
      <c r="Y153" s="47" t="s">
        <v>0</v>
      </c>
      <c r="Z153" s="52" t="str">
        <f t="shared" si="231"/>
        <v>CRO</v>
      </c>
      <c r="AA153" s="73">
        <f t="shared" si="197"/>
        <v>1</v>
      </c>
      <c r="AB153" s="31" t="str">
        <f t="shared" si="232"/>
        <v/>
      </c>
      <c r="AC153" s="66" t="str">
        <f>IF(AB153="","",MAX(AC$12:AC152)+1)</f>
        <v/>
      </c>
      <c r="AD153" s="47" t="s">
        <v>0</v>
      </c>
      <c r="AE153" s="125"/>
      <c r="AF153" s="47" t="s">
        <v>0</v>
      </c>
      <c r="AG153" s="19" t="str">
        <f t="shared" si="233"/>
        <v/>
      </c>
      <c r="AH153" s="47" t="s">
        <v>0</v>
      </c>
      <c r="AI153" s="143" t="str">
        <f t="shared" si="234"/>
        <v>CRO</v>
      </c>
      <c r="AJ153" s="47"/>
      <c r="AK153" s="52" t="str">
        <f t="shared" si="235"/>
        <v>Vlatko</v>
      </c>
      <c r="AL153" s="31" t="str">
        <f t="shared" si="236"/>
        <v>Tounec</v>
      </c>
      <c r="AM153" s="73">
        <f t="shared" si="237"/>
        <v>1072</v>
      </c>
      <c r="AN153" s="73" t="str">
        <f t="shared" si="238"/>
        <v/>
      </c>
      <c r="AO153" s="31" t="str">
        <f t="shared" si="198"/>
        <v>Vlatko</v>
      </c>
      <c r="AP153" s="66" t="str">
        <f t="shared" si="199"/>
        <v>Tounec</v>
      </c>
      <c r="AQ153" s="47" t="s">
        <v>0</v>
      </c>
      <c r="AR153" s="82" t="str">
        <f t="shared" si="239"/>
        <v/>
      </c>
      <c r="AS153" s="47" t="s">
        <v>0</v>
      </c>
      <c r="AT153" s="19" t="str">
        <f t="shared" si="240"/>
        <v/>
      </c>
      <c r="AU153" s="47" t="s">
        <v>0</v>
      </c>
      <c r="AV153" s="103"/>
      <c r="AW153" s="105"/>
      <c r="AX153" s="47" t="s">
        <v>0</v>
      </c>
      <c r="AY153" s="259" t="str">
        <f t="shared" si="263"/>
        <v/>
      </c>
      <c r="AZ153" s="47" t="s">
        <v>0</v>
      </c>
      <c r="BA153" s="52" t="str">
        <f t="shared" si="200"/>
        <v/>
      </c>
      <c r="BB153" s="73" t="str">
        <f>IF(AV153&amp;AW153="","",MAX(BB$12:BB152)+1)</f>
        <v/>
      </c>
      <c r="BC153" s="272" t="str">
        <f t="shared" si="201"/>
        <v/>
      </c>
      <c r="BD153" s="53" t="str">
        <f>IF(AND(AM153="NEMA",AN153="NEMA",OR(AV153&amp;AW153="",BC153="NEMA")),MAX(BD$12:BD152)+1,"")</f>
        <v/>
      </c>
      <c r="BE153" s="47" t="s">
        <v>0</v>
      </c>
      <c r="BF153" s="52" t="str">
        <f t="shared" si="241"/>
        <v>Vlatko</v>
      </c>
      <c r="BG153" s="66" t="str">
        <f t="shared" si="242"/>
        <v>Tounec</v>
      </c>
      <c r="BH153" s="47" t="s">
        <v>0</v>
      </c>
      <c r="BI153" s="52" t="str">
        <f t="shared" si="202"/>
        <v>KAP</v>
      </c>
      <c r="BJ153" s="31" t="str">
        <f t="shared" si="203"/>
        <v>OK Kapela</v>
      </c>
      <c r="BK153" s="73" t="str">
        <f t="shared" si="204"/>
        <v/>
      </c>
      <c r="BL153" s="31" t="str" cm="1">
        <f t="array" ref="BL153">IF(BK153="",""&amp;BJ153,IF(BK153="NEMA",BJ153,INDEX(regKlub_naziv,MATCH(INDEX(regKlub_alias_klubId,BK153),regKlub_id,0))))</f>
        <v>OK Kapela</v>
      </c>
      <c r="BM153" s="31" t="str" cm="1">
        <f t="array" ref="BM153">IFERROR(""&amp;INDEX(regNatjecatelj_klub,DV153),"")</f>
        <v>OK Kapela</v>
      </c>
      <c r="BN153" s="73" t="str">
        <f t="shared" si="243"/>
        <v/>
      </c>
      <c r="BO153" s="66" t="str">
        <f t="shared" si="244"/>
        <v>OK Kapela</v>
      </c>
      <c r="BP153" s="47" t="s">
        <v>0</v>
      </c>
      <c r="BQ153" s="52" t="str">
        <f>IF(X153&lt;&gt;"NEMA","",IF(IFERROR(MATCH(W153,W$12:W152,0),0)&lt;&gt;0,"",W153))</f>
        <v/>
      </c>
      <c r="BR153" s="73" t="str">
        <f t="shared" si="245"/>
        <v/>
      </c>
      <c r="BS153" s="31" t="str">
        <f>IF(OR(BR153="",BR153&lt;&gt;"NEMA"),"",MAX(BS$12:BS152)+1)</f>
        <v/>
      </c>
      <c r="BT153" s="66" t="str">
        <f t="shared" si="246"/>
        <v/>
      </c>
      <c r="BU153" s="47" t="s">
        <v>0</v>
      </c>
      <c r="BV153" s="19" t="str">
        <f t="shared" si="247"/>
        <v/>
      </c>
      <c r="BW153" s="47" t="s">
        <v>0</v>
      </c>
      <c r="BX153" s="82" t="str">
        <f>IF(BK153&lt;&gt;"NEMA","",IF(IFERROR(MATCH(BJ153,BJ$12:BJ152,0),0)&lt;&gt;0,"",BJ153))</f>
        <v/>
      </c>
      <c r="BY153" s="47" t="s">
        <v>0</v>
      </c>
      <c r="BZ153" s="125"/>
      <c r="CA153" s="47" t="s">
        <v>0</v>
      </c>
      <c r="CB153" s="58" t="str">
        <f t="shared" si="248"/>
        <v/>
      </c>
      <c r="CC153" s="31" t="str">
        <f t="shared" si="249"/>
        <v/>
      </c>
      <c r="CD153" s="31" t="str">
        <f>IF(CC153="","",MAX(CD$12:CD152)+1)</f>
        <v/>
      </c>
      <c r="CE153" s="31" t="str">
        <f t="shared" si="205"/>
        <v/>
      </c>
      <c r="CF153" s="31" t="str">
        <f t="shared" si="250"/>
        <v/>
      </c>
      <c r="CG153" s="31" t="str">
        <f>IF(BZ153="","",MAX(CG$12:CG152)+1)</f>
        <v/>
      </c>
      <c r="CH153" s="31" t="str">
        <f t="shared" si="251"/>
        <v/>
      </c>
      <c r="CI153" s="66" t="str">
        <f t="shared" si="252"/>
        <v/>
      </c>
      <c r="CJ153" s="47" t="s">
        <v>0</v>
      </c>
      <c r="CK153" s="73" t="str">
        <f t="shared" si="206"/>
        <v/>
      </c>
      <c r="CL153" s="47"/>
      <c r="CM153" s="19" t="str">
        <f t="shared" si="253"/>
        <v/>
      </c>
      <c r="CN153" s="47" t="s">
        <v>0</v>
      </c>
      <c r="CO153" s="143" t="str">
        <f t="shared" si="254"/>
        <v>OK Kapela</v>
      </c>
      <c r="CP153" s="47" t="s">
        <v>0</v>
      </c>
      <c r="CQ153" s="58" t="str">
        <f t="shared" si="190"/>
        <v/>
      </c>
      <c r="CR153" s="73" t="str">
        <f t="shared" si="191"/>
        <v>1</v>
      </c>
      <c r="CS153" s="229" t="str">
        <f t="shared" si="207"/>
        <v/>
      </c>
      <c r="CT153" s="230" t="str">
        <f t="shared" si="192"/>
        <v/>
      </c>
      <c r="CU153" s="163">
        <f t="shared" si="208"/>
        <v>6</v>
      </c>
      <c r="CV153" s="47" t="s">
        <v>0</v>
      </c>
      <c r="CW153" s="222" t="str">
        <f t="shared" si="255"/>
        <v xml:space="preserve">
</v>
      </c>
      <c r="CX153" s="223" t="e">
        <f t="shared" si="256"/>
        <v>#N/A</v>
      </c>
      <c r="CY153" s="47" t="s">
        <v>0</v>
      </c>
      <c r="CZ153" s="47"/>
      <c r="DA153" s="47"/>
      <c r="DB153" s="47"/>
      <c r="DC153" s="47" t="s">
        <v>0</v>
      </c>
      <c r="DD153" s="53" t="str">
        <f t="shared" si="264"/>
        <v/>
      </c>
      <c r="DE153" t="s">
        <v>0</v>
      </c>
      <c r="DF153" s="128" t="str">
        <f t="shared" si="265"/>
        <v>M</v>
      </c>
      <c r="DG153" t="s">
        <v>0</v>
      </c>
      <c r="DH153" s="52" t="str">
        <f t="shared" si="266"/>
        <v/>
      </c>
      <c r="DI153" s="66" t="str">
        <f t="shared" si="267"/>
        <v/>
      </c>
      <c r="DJ153" t="s">
        <v>0</v>
      </c>
      <c r="DK153" s="19" t="str">
        <f t="shared" si="268"/>
        <v/>
      </c>
      <c r="DL153" s="47" t="s">
        <v>0</v>
      </c>
      <c r="DM153" s="19" t="str">
        <f t="shared" si="269"/>
        <v/>
      </c>
      <c r="DN153" s="47" t="s">
        <v>0</v>
      </c>
      <c r="DO153" s="52" t="str">
        <f t="shared" si="209"/>
        <v>Vlatko – Tounec – OK Kapela – M45</v>
      </c>
      <c r="DP153" s="53">
        <f t="shared" si="210"/>
        <v>320</v>
      </c>
      <c r="DQ153" s="47" t="s">
        <v>0</v>
      </c>
      <c r="DR153" s="52" t="str">
        <f t="shared" si="211"/>
        <v>Vlatko – Tounec – OK Kapela</v>
      </c>
      <c r="DS153" s="53">
        <f t="shared" si="212"/>
        <v>320</v>
      </c>
      <c r="DT153" s="47" t="s">
        <v>0</v>
      </c>
      <c r="DU153" s="52" t="str">
        <f t="shared" si="213"/>
        <v>Vlatko – Tounec</v>
      </c>
      <c r="DV153" s="53">
        <f t="shared" si="214"/>
        <v>320</v>
      </c>
      <c r="DW153" s="47" t="s">
        <v>0</v>
      </c>
      <c r="DX153" s="58">
        <f t="shared" si="257"/>
        <v>320</v>
      </c>
      <c r="DY153" s="53" cm="1">
        <f t="array" ref="DY153">IF(DX153&lt;&gt;"",INDEX(regNatjecatelj_id,DX153,0),IF(BD153&lt;&gt;"",BD153,""))</f>
        <v>1072</v>
      </c>
      <c r="DZ153" s="47" t="s">
        <v>0</v>
      </c>
      <c r="EA153" s="58" t="str">
        <f t="shared" si="215"/>
        <v>imepre</v>
      </c>
      <c r="EB153" s="73" t="str">
        <f t="shared" si="216"/>
        <v>klu</v>
      </c>
      <c r="EC153" s="73" t="str">
        <f t="shared" si="217"/>
        <v>kat</v>
      </c>
      <c r="ED153" s="73" t="str">
        <f t="shared" si="218"/>
        <v/>
      </c>
      <c r="EE153" s="66" t="str">
        <f t="shared" si="219"/>
        <v>imepre-klu-kat</v>
      </c>
      <c r="EF153" s="47" t="s">
        <v>0</v>
      </c>
      <c r="EG153" s="58">
        <f>IF(AL153="","",MAX(EG$12:EG152)+1)</f>
        <v>320</v>
      </c>
      <c r="EH153" s="73">
        <f t="shared" si="220"/>
        <v>30</v>
      </c>
      <c r="EI153" s="73">
        <f t="shared" si="258"/>
        <v>1072</v>
      </c>
      <c r="EJ153" s="73" t="str">
        <f t="shared" si="221"/>
        <v/>
      </c>
      <c r="EK153" s="73">
        <f t="shared" si="222"/>
        <v>6</v>
      </c>
      <c r="EL153" s="73">
        <f t="shared" si="259"/>
        <v>1</v>
      </c>
      <c r="EM153" s="73">
        <f t="shared" si="260"/>
        <v>1</v>
      </c>
      <c r="EN153" s="73" t="str">
        <f t="shared" si="223"/>
        <v>1</v>
      </c>
      <c r="EO153" s="73" t="str">
        <f t="shared" si="224"/>
        <v/>
      </c>
      <c r="EP153" s="73" t="str">
        <f t="shared" si="225"/>
        <v/>
      </c>
      <c r="EQ153" s="53" t="str">
        <f t="shared" si="226"/>
        <v/>
      </c>
      <c r="ER153" s="47" t="s">
        <v>0</v>
      </c>
      <c r="ES153" s="19" t="str">
        <f t="shared" si="261"/>
        <v>INSERT INTO rezultat(id,stazakategorija_id,imeprezime_id,vrijeme_sec,status_id,registracija,uparivanje_id,originalstatus_id,imeprezimealias_id,klubalias_id,kategorijaalias_id) VALUES (320,30,1072,Null,6,1,1,1,Null,Null,Null);</v>
      </c>
      <c r="ET153" s="47" t="s">
        <v>0</v>
      </c>
      <c r="EU153" s="19" t="str">
        <f t="shared" si="262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3" s="47" t="s">
        <v>0</v>
      </c>
      <c r="EW153" s="180" t="str">
        <f t="shared" si="227"/>
        <v xml:space="preserve">
INSERT INTO rezultat(id,stazakategorija_id,imeprezime_id,vrijeme_sec,status_id,registracija,uparivanje_id,originalstatus_id,imeprezimealias_id,klubalias_id,kategorijaalias_id) VALUES (320,30,1072,Null,6,1,1,1,Null,Null,Null);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3" s="47" t="s">
        <v>0</v>
      </c>
    </row>
    <row r="154" spans="1:154" x14ac:dyDescent="0.25">
      <c r="A154" t="s">
        <v>0</v>
      </c>
      <c r="B154" s="52" t="str">
        <f>IF(csv!F144="","",csv!T144)</f>
        <v>M45</v>
      </c>
      <c r="C154" s="31" t="s">
        <v>0</v>
      </c>
      <c r="D154" s="31" t="str">
        <f>IF(csv!F144="","",csv!F144)</f>
        <v>Vacant</v>
      </c>
      <c r="E154" s="31" t="str">
        <f>IF(csv!E144="","",csv!E144)</f>
        <v/>
      </c>
      <c r="F154" s="31" t="s">
        <v>0</v>
      </c>
      <c r="G154" s="73" t="str">
        <f>IF(csv!M144="","",csv!M144)</f>
        <v/>
      </c>
      <c r="H154" s="73" t="str">
        <f>IF(csv!N144="","",csv!N144)</f>
        <v>0</v>
      </c>
      <c r="I154" s="31" t="s">
        <v>0</v>
      </c>
      <c r="J154" s="31" t="str">
        <f>IF(csv!P144="","",csv!P144)</f>
        <v/>
      </c>
      <c r="K154" s="31" t="str">
        <f>IF(csv!Q144="","",csv!Q144)</f>
        <v/>
      </c>
      <c r="L154" s="31" t="s">
        <v>0</v>
      </c>
      <c r="M154" s="66" t="str">
        <f>IF(csv!R144="","",csv!R144)</f>
        <v/>
      </c>
      <c r="N154" s="47" t="s">
        <v>0</v>
      </c>
      <c r="O154" s="246" t="str">
        <f t="shared" si="228"/>
        <v/>
      </c>
      <c r="P154" s="47"/>
      <c r="Q154" s="52" t="str">
        <f t="shared" si="229"/>
        <v>M45</v>
      </c>
      <c r="R154" s="73">
        <f>IF(Q154="","",IF(COUNTIF(Q$12:Q153,Q154)=0,R153+1,R153))</f>
        <v>8</v>
      </c>
      <c r="S154" s="73">
        <f t="shared" si="230"/>
        <v>106</v>
      </c>
      <c r="T154" s="73">
        <f t="shared" si="193"/>
        <v>17</v>
      </c>
      <c r="U154" s="66" t="str">
        <f t="shared" si="194"/>
        <v>M45</v>
      </c>
      <c r="V154" s="47" t="s">
        <v>0</v>
      </c>
      <c r="W154" s="222" t="str">
        <f t="shared" si="195"/>
        <v/>
      </c>
      <c r="X154" s="223" t="str">
        <f t="shared" si="196"/>
        <v/>
      </c>
      <c r="Y154" s="47" t="s">
        <v>0</v>
      </c>
      <c r="Z154" s="52" t="str">
        <f t="shared" si="231"/>
        <v/>
      </c>
      <c r="AA154" s="73" t="str">
        <f t="shared" si="197"/>
        <v/>
      </c>
      <c r="AB154" s="31" t="str">
        <f t="shared" si="232"/>
        <v/>
      </c>
      <c r="AC154" s="66" t="str">
        <f>IF(AB154="","",MAX(AC$12:AC153)+1)</f>
        <v/>
      </c>
      <c r="AD154" s="47" t="s">
        <v>0</v>
      </c>
      <c r="AE154" s="125"/>
      <c r="AF154" s="47" t="s">
        <v>0</v>
      </c>
      <c r="AG154" s="19" t="str">
        <f t="shared" si="233"/>
        <v/>
      </c>
      <c r="AH154" s="47" t="s">
        <v>0</v>
      </c>
      <c r="AI154" s="143" t="str">
        <f t="shared" si="234"/>
        <v/>
      </c>
      <c r="AJ154" s="47"/>
      <c r="AK154" s="52" t="str">
        <f t="shared" si="235"/>
        <v/>
      </c>
      <c r="AL154" s="31" t="str">
        <f t="shared" si="236"/>
        <v/>
      </c>
      <c r="AM154" s="73" t="str">
        <f t="shared" si="237"/>
        <v/>
      </c>
      <c r="AN154" s="73" t="str">
        <f t="shared" si="238"/>
        <v/>
      </c>
      <c r="AO154" s="31" t="str">
        <f t="shared" si="198"/>
        <v/>
      </c>
      <c r="AP154" s="66" t="str">
        <f t="shared" si="199"/>
        <v/>
      </c>
      <c r="AQ154" s="47" t="s">
        <v>0</v>
      </c>
      <c r="AR154" s="82" t="str">
        <f t="shared" si="239"/>
        <v/>
      </c>
      <c r="AS154" s="47" t="s">
        <v>0</v>
      </c>
      <c r="AT154" s="19" t="str">
        <f t="shared" si="240"/>
        <v/>
      </c>
      <c r="AU154" s="47" t="s">
        <v>0</v>
      </c>
      <c r="AV154" s="103"/>
      <c r="AW154" s="105"/>
      <c r="AX154" s="47" t="s">
        <v>0</v>
      </c>
      <c r="AY154" s="259" t="str">
        <f t="shared" si="263"/>
        <v/>
      </c>
      <c r="AZ154" s="47" t="s">
        <v>0</v>
      </c>
      <c r="BA154" s="52" t="str">
        <f t="shared" si="200"/>
        <v/>
      </c>
      <c r="BB154" s="73" t="str">
        <f>IF(AV154&amp;AW154="","",MAX(BB$12:BB153)+1)</f>
        <v/>
      </c>
      <c r="BC154" s="272" t="str">
        <f t="shared" si="201"/>
        <v/>
      </c>
      <c r="BD154" s="53" t="str">
        <f>IF(AND(AM154="NEMA",AN154="NEMA",OR(AV154&amp;AW154="",BC154="NEMA")),MAX(BD$12:BD153)+1,"")</f>
        <v/>
      </c>
      <c r="BE154" s="47" t="s">
        <v>0</v>
      </c>
      <c r="BF154" s="52" t="str">
        <f t="shared" si="241"/>
        <v/>
      </c>
      <c r="BG154" s="66" t="str">
        <f t="shared" si="242"/>
        <v/>
      </c>
      <c r="BH154" s="47" t="s">
        <v>0</v>
      </c>
      <c r="BI154" s="52" t="str">
        <f t="shared" si="202"/>
        <v/>
      </c>
      <c r="BJ154" s="31" t="str">
        <f t="shared" si="203"/>
        <v/>
      </c>
      <c r="BK154" s="73" t="str">
        <f t="shared" si="204"/>
        <v/>
      </c>
      <c r="BL154" s="31" t="str" cm="1">
        <f t="array" ref="BL154">IF(BK154="",""&amp;BJ154,IF(BK154="NEMA",BJ154,INDEX(regKlub_naziv,MATCH(INDEX(regKlub_alias_klubId,BK154),regKlub_id,0))))</f>
        <v/>
      </c>
      <c r="BM154" s="31" t="str" cm="1">
        <f t="array" ref="BM154">IFERROR(""&amp;INDEX(regNatjecatelj_klub,DV154),"")</f>
        <v/>
      </c>
      <c r="BN154" s="73" t="str">
        <f t="shared" si="243"/>
        <v/>
      </c>
      <c r="BO154" s="66" t="str">
        <f t="shared" si="244"/>
        <v/>
      </c>
      <c r="BP154" s="47" t="s">
        <v>0</v>
      </c>
      <c r="BQ154" s="52" t="str">
        <f>IF(X154&lt;&gt;"NEMA","",IF(IFERROR(MATCH(W154,W$12:W153,0),0)&lt;&gt;0,"",W154))</f>
        <v/>
      </c>
      <c r="BR154" s="73" t="str">
        <f t="shared" si="245"/>
        <v/>
      </c>
      <c r="BS154" s="31" t="str">
        <f>IF(OR(BR154="",BR154&lt;&gt;"NEMA"),"",MAX(BS$12:BS153)+1)</f>
        <v/>
      </c>
      <c r="BT154" s="66" t="str">
        <f t="shared" si="246"/>
        <v/>
      </c>
      <c r="BU154" s="47" t="s">
        <v>0</v>
      </c>
      <c r="BV154" s="19" t="str">
        <f t="shared" si="247"/>
        <v/>
      </c>
      <c r="BW154" s="47" t="s">
        <v>0</v>
      </c>
      <c r="BX154" s="82" t="str">
        <f>IF(BK154&lt;&gt;"NEMA","",IF(IFERROR(MATCH(BJ154,BJ$12:BJ153,0),0)&lt;&gt;0,"",BJ154))</f>
        <v/>
      </c>
      <c r="BY154" s="47" t="s">
        <v>0</v>
      </c>
      <c r="BZ154" s="125"/>
      <c r="CA154" s="47" t="s">
        <v>0</v>
      </c>
      <c r="CB154" s="58" t="str">
        <f t="shared" si="248"/>
        <v/>
      </c>
      <c r="CC154" s="31" t="str">
        <f t="shared" si="249"/>
        <v/>
      </c>
      <c r="CD154" s="31" t="str">
        <f>IF(CC154="","",MAX(CD$12:CD153)+1)</f>
        <v/>
      </c>
      <c r="CE154" s="31" t="str">
        <f t="shared" si="205"/>
        <v/>
      </c>
      <c r="CF154" s="31" t="str">
        <f t="shared" si="250"/>
        <v/>
      </c>
      <c r="CG154" s="31" t="str">
        <f>IF(BZ154="","",MAX(CG$12:CG153)+1)</f>
        <v/>
      </c>
      <c r="CH154" s="31" t="str">
        <f t="shared" si="251"/>
        <v/>
      </c>
      <c r="CI154" s="66" t="str">
        <f t="shared" si="252"/>
        <v/>
      </c>
      <c r="CJ154" s="47" t="s">
        <v>0</v>
      </c>
      <c r="CK154" s="73" t="str">
        <f t="shared" si="206"/>
        <v/>
      </c>
      <c r="CL154" s="47"/>
      <c r="CM154" s="19" t="str">
        <f t="shared" si="253"/>
        <v/>
      </c>
      <c r="CN154" s="47" t="s">
        <v>0</v>
      </c>
      <c r="CO154" s="143" t="str">
        <f t="shared" si="254"/>
        <v/>
      </c>
      <c r="CP154" s="47" t="s">
        <v>0</v>
      </c>
      <c r="CQ154" s="58" t="str">
        <f t="shared" si="190"/>
        <v/>
      </c>
      <c r="CR154" s="73" t="str">
        <f t="shared" si="191"/>
        <v>0</v>
      </c>
      <c r="CS154" s="229" t="str">
        <f t="shared" si="207"/>
        <v/>
      </c>
      <c r="CT154" s="230" t="str">
        <f t="shared" si="192"/>
        <v/>
      </c>
      <c r="CU154" s="163" t="str">
        <f t="shared" si="208"/>
        <v/>
      </c>
      <c r="CV154" s="47" t="s">
        <v>0</v>
      </c>
      <c r="CW154" s="222" t="str">
        <f t="shared" si="255"/>
        <v xml:space="preserve">
</v>
      </c>
      <c r="CX154" s="223" t="str">
        <f t="shared" si="256"/>
        <v/>
      </c>
      <c r="CY154" s="47" t="s">
        <v>0</v>
      </c>
      <c r="CZ154" s="47"/>
      <c r="DA154" s="47"/>
      <c r="DB154" s="47"/>
      <c r="DC154" s="47" t="s">
        <v>0</v>
      </c>
      <c r="DD154" s="53" t="str">
        <f t="shared" si="264"/>
        <v/>
      </c>
      <c r="DE154" t="s">
        <v>0</v>
      </c>
      <c r="DF154" s="128" t="str">
        <f t="shared" si="265"/>
        <v>M</v>
      </c>
      <c r="DG154" t="s">
        <v>0</v>
      </c>
      <c r="DH154" s="52" t="str">
        <f t="shared" si="266"/>
        <v/>
      </c>
      <c r="DI154" s="66" t="str">
        <f t="shared" si="267"/>
        <v/>
      </c>
      <c r="DJ154" t="s">
        <v>0</v>
      </c>
      <c r="DK154" s="19" t="str">
        <f t="shared" si="268"/>
        <v/>
      </c>
      <c r="DL154" s="47" t="s">
        <v>0</v>
      </c>
      <c r="DM154" s="19" t="str">
        <f t="shared" si="269"/>
        <v/>
      </c>
      <c r="DN154" s="47" t="s">
        <v>0</v>
      </c>
      <c r="DO154" s="52" t="str">
        <f t="shared" si="209"/>
        <v/>
      </c>
      <c r="DP154" s="53" t="str">
        <f t="shared" si="210"/>
        <v/>
      </c>
      <c r="DQ154" s="47" t="s">
        <v>0</v>
      </c>
      <c r="DR154" s="52" t="str">
        <f t="shared" si="211"/>
        <v/>
      </c>
      <c r="DS154" s="53" t="str">
        <f t="shared" si="212"/>
        <v/>
      </c>
      <c r="DT154" s="47" t="s">
        <v>0</v>
      </c>
      <c r="DU154" s="52" t="str">
        <f t="shared" si="213"/>
        <v/>
      </c>
      <c r="DV154" s="53" t="str">
        <f t="shared" si="214"/>
        <v/>
      </c>
      <c r="DW154" s="47" t="s">
        <v>0</v>
      </c>
      <c r="DX154" s="58" t="str">
        <f t="shared" si="257"/>
        <v/>
      </c>
      <c r="DY154" s="53" t="str" cm="1">
        <f t="array" ref="DY154">IF(DX154&lt;&gt;"",INDEX(regNatjecatelj_id,DX154,0),IF(BD154&lt;&gt;"",BD154,""))</f>
        <v/>
      </c>
      <c r="DZ154" s="47" t="s">
        <v>0</v>
      </c>
      <c r="EA154" s="58" t="str">
        <f t="shared" si="215"/>
        <v/>
      </c>
      <c r="EB154" s="73" t="str">
        <f t="shared" si="216"/>
        <v/>
      </c>
      <c r="EC154" s="73" t="str">
        <f t="shared" si="217"/>
        <v/>
      </c>
      <c r="ED154" s="73" t="str">
        <f t="shared" si="218"/>
        <v/>
      </c>
      <c r="EE154" s="66" t="str">
        <f t="shared" si="219"/>
        <v/>
      </c>
      <c r="EF154" s="47" t="s">
        <v>0</v>
      </c>
      <c r="EG154" s="58" t="str">
        <f>IF(AL154="","",MAX(EG$12:EG153)+1)</f>
        <v/>
      </c>
      <c r="EH154" s="73" t="str">
        <f t="shared" si="220"/>
        <v/>
      </c>
      <c r="EI154" s="73" t="str">
        <f t="shared" si="258"/>
        <v/>
      </c>
      <c r="EJ154" s="73" t="str">
        <f t="shared" si="221"/>
        <v/>
      </c>
      <c r="EK154" s="73" t="str">
        <f t="shared" si="222"/>
        <v/>
      </c>
      <c r="EL154" s="73" t="str">
        <f t="shared" si="259"/>
        <v/>
      </c>
      <c r="EM154" s="73" t="str">
        <f t="shared" si="260"/>
        <v/>
      </c>
      <c r="EN154" s="73" t="str">
        <f t="shared" si="223"/>
        <v/>
      </c>
      <c r="EO154" s="73" t="str">
        <f t="shared" si="224"/>
        <v/>
      </c>
      <c r="EP154" s="73" t="str">
        <f t="shared" si="225"/>
        <v/>
      </c>
      <c r="EQ154" s="53" t="str">
        <f t="shared" si="226"/>
        <v/>
      </c>
      <c r="ER154" s="47" t="s">
        <v>0</v>
      </c>
      <c r="ES154" s="19" t="str">
        <f t="shared" si="261"/>
        <v/>
      </c>
      <c r="ET154" s="47" t="s">
        <v>0</v>
      </c>
      <c r="EU154" s="19" t="str">
        <f t="shared" si="262"/>
        <v/>
      </c>
      <c r="EV154" s="47" t="s">
        <v>0</v>
      </c>
      <c r="EW154" s="180" t="str">
        <f t="shared" si="227"/>
        <v/>
      </c>
      <c r="EX154" s="47" t="s">
        <v>0</v>
      </c>
    </row>
    <row r="155" spans="1:154" x14ac:dyDescent="0.25">
      <c r="A155" t="s">
        <v>0</v>
      </c>
      <c r="B155" s="52" t="str">
        <f>IF(csv!F145="","",csv!T145)</f>
        <v>M45</v>
      </c>
      <c r="C155" s="31" t="s">
        <v>0</v>
      </c>
      <c r="D155" s="31" t="str">
        <f>IF(csv!F145="","",csv!F145)</f>
        <v>Robert</v>
      </c>
      <c r="E155" s="31" t="str">
        <f>IF(csv!E145="","",csv!E145)</f>
        <v>Kaniški</v>
      </c>
      <c r="F155" s="31" t="s">
        <v>0</v>
      </c>
      <c r="G155" s="73" t="str">
        <f>IF(csv!M145="","",csv!M145)</f>
        <v/>
      </c>
      <c r="H155" s="73" t="str">
        <f>IF(csv!N145="","",csv!N145)</f>
        <v>2</v>
      </c>
      <c r="I155" s="31" t="s">
        <v>0</v>
      </c>
      <c r="J155" s="31" t="str">
        <f>IF(csv!P145="","",csv!P145)</f>
        <v>Maksimir</v>
      </c>
      <c r="K155" s="31" t="str">
        <f>IF(csv!Q145="","",csv!Q145)</f>
        <v>OK Maksimir</v>
      </c>
      <c r="L155" s="31" t="s">
        <v>0</v>
      </c>
      <c r="M155" s="66" t="str">
        <f>IF(csv!R145="","",csv!R145)</f>
        <v>CRO</v>
      </c>
      <c r="N155" s="47" t="s">
        <v>0</v>
      </c>
      <c r="O155" s="246" t="str">
        <f t="shared" si="228"/>
        <v>ok</v>
      </c>
      <c r="P155" s="47"/>
      <c r="Q155" s="52" t="str">
        <f t="shared" si="229"/>
        <v>M45</v>
      </c>
      <c r="R155" s="73">
        <f>IF(Q155="","",IF(COUNTIF(Q$12:Q154,Q155)=0,R154+1,R154))</f>
        <v>8</v>
      </c>
      <c r="S155" s="73">
        <f t="shared" si="230"/>
        <v>106</v>
      </c>
      <c r="T155" s="73">
        <f t="shared" si="193"/>
        <v>17</v>
      </c>
      <c r="U155" s="66" t="str">
        <f t="shared" si="194"/>
        <v>M45</v>
      </c>
      <c r="V155" s="47" t="s">
        <v>0</v>
      </c>
      <c r="W155" s="222" t="str">
        <f t="shared" si="195"/>
        <v>M45</v>
      </c>
      <c r="X155" s="223">
        <f t="shared" si="196"/>
        <v>30</v>
      </c>
      <c r="Y155" s="47" t="s">
        <v>0</v>
      </c>
      <c r="Z155" s="52" t="str">
        <f t="shared" si="231"/>
        <v>CRO</v>
      </c>
      <c r="AA155" s="73">
        <f t="shared" si="197"/>
        <v>1</v>
      </c>
      <c r="AB155" s="31" t="str">
        <f t="shared" si="232"/>
        <v/>
      </c>
      <c r="AC155" s="66" t="str">
        <f>IF(AB155="","",MAX(AC$12:AC154)+1)</f>
        <v/>
      </c>
      <c r="AD155" s="47" t="s">
        <v>0</v>
      </c>
      <c r="AE155" s="125"/>
      <c r="AF155" s="47" t="s">
        <v>0</v>
      </c>
      <c r="AG155" s="19" t="str">
        <f t="shared" si="233"/>
        <v/>
      </c>
      <c r="AH155" s="47" t="s">
        <v>0</v>
      </c>
      <c r="AI155" s="143" t="str">
        <f t="shared" si="234"/>
        <v>CRO</v>
      </c>
      <c r="AJ155" s="47"/>
      <c r="AK155" s="52" t="str">
        <f t="shared" si="235"/>
        <v>Robert</v>
      </c>
      <c r="AL155" s="31" t="str">
        <f t="shared" si="236"/>
        <v>Kaniški</v>
      </c>
      <c r="AM155" s="73">
        <f t="shared" si="237"/>
        <v>1475</v>
      </c>
      <c r="AN155" s="73" t="str">
        <f t="shared" si="238"/>
        <v/>
      </c>
      <c r="AO155" s="31" t="str">
        <f t="shared" si="198"/>
        <v>Robert</v>
      </c>
      <c r="AP155" s="66" t="str">
        <f t="shared" si="199"/>
        <v>Kaniški</v>
      </c>
      <c r="AQ155" s="47" t="s">
        <v>0</v>
      </c>
      <c r="AR155" s="82" t="str">
        <f t="shared" si="239"/>
        <v/>
      </c>
      <c r="AS155" s="47" t="s">
        <v>0</v>
      </c>
      <c r="AT155" s="19" t="str">
        <f t="shared" si="240"/>
        <v/>
      </c>
      <c r="AU155" s="47" t="s">
        <v>0</v>
      </c>
      <c r="AV155" s="103"/>
      <c r="AW155" s="105"/>
      <c r="AX155" s="47" t="s">
        <v>0</v>
      </c>
      <c r="AY155" s="259" t="str">
        <f t="shared" si="263"/>
        <v/>
      </c>
      <c r="AZ155" s="47" t="s">
        <v>0</v>
      </c>
      <c r="BA155" s="52" t="str">
        <f t="shared" si="200"/>
        <v/>
      </c>
      <c r="BB155" s="73" t="str">
        <f>IF(AV155&amp;AW155="","",MAX(BB$12:BB154)+1)</f>
        <v/>
      </c>
      <c r="BC155" s="272" t="str">
        <f t="shared" si="201"/>
        <v/>
      </c>
      <c r="BD155" s="53" t="str">
        <f>IF(AND(AM155="NEMA",AN155="NEMA",OR(AV155&amp;AW155="",BC155="NEMA")),MAX(BD$12:BD154)+1,"")</f>
        <v/>
      </c>
      <c r="BE155" s="47" t="s">
        <v>0</v>
      </c>
      <c r="BF155" s="52" t="str">
        <f t="shared" si="241"/>
        <v>Robert</v>
      </c>
      <c r="BG155" s="66" t="str">
        <f t="shared" si="242"/>
        <v>Kaniški</v>
      </c>
      <c r="BH155" s="47" t="s">
        <v>0</v>
      </c>
      <c r="BI155" s="52" t="str">
        <f t="shared" si="202"/>
        <v>Maksimir</v>
      </c>
      <c r="BJ155" s="31" t="str">
        <f t="shared" si="203"/>
        <v>OK Maksimir</v>
      </c>
      <c r="BK155" s="73" t="str">
        <f t="shared" si="204"/>
        <v/>
      </c>
      <c r="BL155" s="31" t="str" cm="1">
        <f t="array" ref="BL155">IF(BK155="",""&amp;BJ155,IF(BK155="NEMA",BJ155,INDEX(regKlub_naziv,MATCH(INDEX(regKlub_alias_klubId,BK155),regKlub_id,0))))</f>
        <v>OK Maksimir</v>
      </c>
      <c r="BM155" s="31" t="str" cm="1">
        <f t="array" ref="BM155">IFERROR(""&amp;INDEX(regNatjecatelj_klub,DV155),"")</f>
        <v>OK Maksimir</v>
      </c>
      <c r="BN155" s="73" t="str">
        <f t="shared" si="243"/>
        <v/>
      </c>
      <c r="BO155" s="66" t="str">
        <f t="shared" si="244"/>
        <v>OK Maksimir</v>
      </c>
      <c r="BP155" s="47" t="s">
        <v>0</v>
      </c>
      <c r="BQ155" s="52" t="str">
        <f>IF(X155&lt;&gt;"NEMA","",IF(IFERROR(MATCH(W155,W$12:W154,0),0)&lt;&gt;0,"",W155))</f>
        <v/>
      </c>
      <c r="BR155" s="73" t="str">
        <f t="shared" si="245"/>
        <v/>
      </c>
      <c r="BS155" s="31" t="str">
        <f>IF(OR(BR155="",BR155&lt;&gt;"NEMA"),"",MAX(BS$12:BS154)+1)</f>
        <v/>
      </c>
      <c r="BT155" s="66" t="str">
        <f t="shared" si="246"/>
        <v/>
      </c>
      <c r="BU155" s="47" t="s">
        <v>0</v>
      </c>
      <c r="BV155" s="19" t="str">
        <f t="shared" si="247"/>
        <v/>
      </c>
      <c r="BW155" s="47" t="s">
        <v>0</v>
      </c>
      <c r="BX155" s="82" t="str">
        <f>IF(BK155&lt;&gt;"NEMA","",IF(IFERROR(MATCH(BJ155,BJ$12:BJ154,0),0)&lt;&gt;0,"",BJ155))</f>
        <v/>
      </c>
      <c r="BY155" s="47" t="s">
        <v>0</v>
      </c>
      <c r="BZ155" s="125"/>
      <c r="CA155" s="47" t="s">
        <v>0</v>
      </c>
      <c r="CB155" s="58" t="str">
        <f t="shared" si="248"/>
        <v/>
      </c>
      <c r="CC155" s="31" t="str">
        <f t="shared" si="249"/>
        <v/>
      </c>
      <c r="CD155" s="31" t="str">
        <f>IF(CC155="","",MAX(CD$12:CD154)+1)</f>
        <v/>
      </c>
      <c r="CE155" s="31" t="str">
        <f t="shared" si="205"/>
        <v/>
      </c>
      <c r="CF155" s="31" t="str">
        <f t="shared" si="250"/>
        <v/>
      </c>
      <c r="CG155" s="31" t="str">
        <f>IF(BZ155="","",MAX(CG$12:CG154)+1)</f>
        <v/>
      </c>
      <c r="CH155" s="31" t="str">
        <f t="shared" si="251"/>
        <v/>
      </c>
      <c r="CI155" s="66" t="str">
        <f t="shared" si="252"/>
        <v/>
      </c>
      <c r="CJ155" s="47" t="s">
        <v>0</v>
      </c>
      <c r="CK155" s="73" t="str">
        <f t="shared" si="206"/>
        <v/>
      </c>
      <c r="CL155" s="47"/>
      <c r="CM155" s="19" t="str">
        <f t="shared" si="253"/>
        <v/>
      </c>
      <c r="CN155" s="47" t="s">
        <v>0</v>
      </c>
      <c r="CO155" s="143" t="str">
        <f t="shared" si="254"/>
        <v>OK Maksimir</v>
      </c>
      <c r="CP155" s="47" t="s">
        <v>0</v>
      </c>
      <c r="CQ155" s="58" t="str">
        <f t="shared" si="190"/>
        <v/>
      </c>
      <c r="CR155" s="73" t="str">
        <f t="shared" si="191"/>
        <v>2</v>
      </c>
      <c r="CS155" s="229" t="str">
        <f t="shared" si="207"/>
        <v/>
      </c>
      <c r="CT155" s="230" t="str">
        <f t="shared" si="192"/>
        <v/>
      </c>
      <c r="CU155" s="163">
        <f t="shared" si="208"/>
        <v>4</v>
      </c>
      <c r="CV155" s="47" t="s">
        <v>0</v>
      </c>
      <c r="CW155" s="222" t="str">
        <f t="shared" si="255"/>
        <v xml:space="preserve">
</v>
      </c>
      <c r="CX155" s="223">
        <f t="shared" si="256"/>
        <v>5</v>
      </c>
      <c r="CY155" s="47" t="s">
        <v>0</v>
      </c>
      <c r="CZ155" s="47"/>
      <c r="DA155" s="47"/>
      <c r="DB155" s="47"/>
      <c r="DC155" s="47" t="s">
        <v>0</v>
      </c>
      <c r="DD155" s="53" t="str">
        <f t="shared" si="264"/>
        <v/>
      </c>
      <c r="DE155" t="s">
        <v>0</v>
      </c>
      <c r="DF155" s="128" t="str">
        <f t="shared" si="265"/>
        <v>M</v>
      </c>
      <c r="DG155" t="s">
        <v>0</v>
      </c>
      <c r="DH155" s="52" t="str">
        <f t="shared" si="266"/>
        <v/>
      </c>
      <c r="DI155" s="66" t="str">
        <f t="shared" si="267"/>
        <v/>
      </c>
      <c r="DJ155" t="s">
        <v>0</v>
      </c>
      <c r="DK155" s="19" t="str">
        <f t="shared" si="268"/>
        <v/>
      </c>
      <c r="DL155" s="47" t="s">
        <v>0</v>
      </c>
      <c r="DM155" s="19" t="str">
        <f t="shared" si="269"/>
        <v/>
      </c>
      <c r="DN155" s="47" t="s">
        <v>0</v>
      </c>
      <c r="DO155" s="52" t="str">
        <f t="shared" si="209"/>
        <v>Robert – Kaniški – OK Maksimir – M45</v>
      </c>
      <c r="DP155" s="53">
        <f t="shared" si="210"/>
        <v>358</v>
      </c>
      <c r="DQ155" s="47" t="s">
        <v>0</v>
      </c>
      <c r="DR155" s="52" t="str">
        <f t="shared" si="211"/>
        <v>Robert – Kaniški – OK Maksimir</v>
      </c>
      <c r="DS155" s="53">
        <f t="shared" si="212"/>
        <v>358</v>
      </c>
      <c r="DT155" s="47" t="s">
        <v>0</v>
      </c>
      <c r="DU155" s="52" t="str">
        <f t="shared" si="213"/>
        <v>Robert – Kaniški</v>
      </c>
      <c r="DV155" s="53">
        <f t="shared" si="214"/>
        <v>358</v>
      </c>
      <c r="DW155" s="47" t="s">
        <v>0</v>
      </c>
      <c r="DX155" s="58">
        <f t="shared" si="257"/>
        <v>358</v>
      </c>
      <c r="DY155" s="53" cm="1">
        <f t="array" ref="DY155">IF(DX155&lt;&gt;"",INDEX(regNatjecatelj_id,DX155,0),IF(BD155&lt;&gt;"",BD155,""))</f>
        <v>1475</v>
      </c>
      <c r="DZ155" s="47" t="s">
        <v>0</v>
      </c>
      <c r="EA155" s="58" t="str">
        <f t="shared" si="215"/>
        <v>imepre</v>
      </c>
      <c r="EB155" s="73" t="str">
        <f t="shared" si="216"/>
        <v>klu</v>
      </c>
      <c r="EC155" s="73" t="str">
        <f t="shared" si="217"/>
        <v>kat</v>
      </c>
      <c r="ED155" s="73" t="str">
        <f t="shared" si="218"/>
        <v/>
      </c>
      <c r="EE155" s="66" t="str">
        <f t="shared" si="219"/>
        <v>imepre-klu-kat</v>
      </c>
      <c r="EF155" s="47" t="s">
        <v>0</v>
      </c>
      <c r="EG155" s="58">
        <f>IF(AL155="","",MAX(EG$12:EG154)+1)</f>
        <v>321</v>
      </c>
      <c r="EH155" s="73">
        <f t="shared" si="220"/>
        <v>30</v>
      </c>
      <c r="EI155" s="73">
        <f t="shared" si="258"/>
        <v>1475</v>
      </c>
      <c r="EJ155" s="73" t="str">
        <f t="shared" si="221"/>
        <v/>
      </c>
      <c r="EK155" s="73">
        <f t="shared" si="222"/>
        <v>4</v>
      </c>
      <c r="EL155" s="73">
        <f t="shared" si="259"/>
        <v>1</v>
      </c>
      <c r="EM155" s="73">
        <f t="shared" si="260"/>
        <v>1</v>
      </c>
      <c r="EN155" s="73" t="str">
        <f t="shared" si="223"/>
        <v>2</v>
      </c>
      <c r="EO155" s="73" t="str">
        <f t="shared" si="224"/>
        <v/>
      </c>
      <c r="EP155" s="73" t="str">
        <f t="shared" si="225"/>
        <v/>
      </c>
      <c r="EQ155" s="53" t="str">
        <f t="shared" si="226"/>
        <v/>
      </c>
      <c r="ER155" s="47" t="s">
        <v>0</v>
      </c>
      <c r="ES155" s="19" t="str">
        <f t="shared" si="261"/>
        <v>INSERT INTO rezultat(id,stazakategorija_id,imeprezime_id,vrijeme_sec,status_id,registracija,uparivanje_id,originalstatus_id,imeprezimealias_id,klubalias_id,kategorijaalias_id) VALUES (321,30,1475,Null,4,1,1,2,Null,Null,Null);</v>
      </c>
      <c r="ET155" s="47" t="s">
        <v>0</v>
      </c>
      <c r="EU155" s="19" t="str">
        <f t="shared" si="262"/>
        <v>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5" s="47" t="s">
        <v>0</v>
      </c>
      <c r="EW155" s="180" t="str">
        <f t="shared" si="227"/>
        <v xml:space="preserve">
INSERT INTO rezultat(id,stazakategorija_id,imeprezime_id,vrijeme_sec,status_id,registracija,uparivanje_id,originalstatus_id,imeprezimealias_id,klubalias_id,kategorijaalias_id) VALUES (321,30,1475,Null,4,1,1,2,Null,Null,Null);
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5" s="47" t="s">
        <v>0</v>
      </c>
    </row>
    <row r="156" spans="1:154" x14ac:dyDescent="0.25">
      <c r="A156" t="s">
        <v>0</v>
      </c>
      <c r="B156" s="52" t="str">
        <f>IF(csv!F146="","",csv!T146)</f>
        <v>M45</v>
      </c>
      <c r="C156" s="31" t="s">
        <v>0</v>
      </c>
      <c r="D156" s="31" t="str">
        <f>IF(csv!F146="","",csv!F146)</f>
        <v>Vacant</v>
      </c>
      <c r="E156" s="31" t="str">
        <f>IF(csv!E146="","",csv!E146)</f>
        <v/>
      </c>
      <c r="F156" s="31" t="s">
        <v>0</v>
      </c>
      <c r="G156" s="73" t="str">
        <f>IF(csv!M146="","",csv!M146)</f>
        <v/>
      </c>
      <c r="H156" s="73" t="str">
        <f>IF(csv!N146="","",csv!N146)</f>
        <v>0</v>
      </c>
      <c r="I156" s="31" t="s">
        <v>0</v>
      </c>
      <c r="J156" s="31" t="str">
        <f>IF(csv!P146="","",csv!P146)</f>
        <v/>
      </c>
      <c r="K156" s="31" t="str">
        <f>IF(csv!Q146="","",csv!Q146)</f>
        <v/>
      </c>
      <c r="L156" s="31" t="s">
        <v>0</v>
      </c>
      <c r="M156" s="66" t="str">
        <f>IF(csv!R146="","",csv!R146)</f>
        <v/>
      </c>
      <c r="N156" s="47" t="s">
        <v>0</v>
      </c>
      <c r="O156" s="246" t="str">
        <f t="shared" si="228"/>
        <v/>
      </c>
      <c r="P156" s="47"/>
      <c r="Q156" s="52" t="str">
        <f t="shared" si="229"/>
        <v>M45</v>
      </c>
      <c r="R156" s="73">
        <f>IF(Q156="","",IF(COUNTIF(Q$12:Q155,Q156)=0,R155+1,R155))</f>
        <v>8</v>
      </c>
      <c r="S156" s="73">
        <f t="shared" si="230"/>
        <v>106</v>
      </c>
      <c r="T156" s="73">
        <f t="shared" si="193"/>
        <v>17</v>
      </c>
      <c r="U156" s="66" t="str">
        <f t="shared" si="194"/>
        <v>M45</v>
      </c>
      <c r="V156" s="47" t="s">
        <v>0</v>
      </c>
      <c r="W156" s="222" t="str">
        <f t="shared" si="195"/>
        <v/>
      </c>
      <c r="X156" s="223" t="str">
        <f t="shared" si="196"/>
        <v/>
      </c>
      <c r="Y156" s="47" t="s">
        <v>0</v>
      </c>
      <c r="Z156" s="52" t="str">
        <f t="shared" si="231"/>
        <v/>
      </c>
      <c r="AA156" s="73" t="str">
        <f t="shared" si="197"/>
        <v/>
      </c>
      <c r="AB156" s="31" t="str">
        <f t="shared" si="232"/>
        <v/>
      </c>
      <c r="AC156" s="66" t="str">
        <f>IF(AB156="","",MAX(AC$12:AC155)+1)</f>
        <v/>
      </c>
      <c r="AD156" s="47" t="s">
        <v>0</v>
      </c>
      <c r="AE156" s="125"/>
      <c r="AF156" s="47" t="s">
        <v>0</v>
      </c>
      <c r="AG156" s="19" t="str">
        <f t="shared" si="233"/>
        <v/>
      </c>
      <c r="AH156" s="47" t="s">
        <v>0</v>
      </c>
      <c r="AI156" s="143" t="str">
        <f t="shared" si="234"/>
        <v/>
      </c>
      <c r="AJ156" s="47"/>
      <c r="AK156" s="52" t="str">
        <f t="shared" si="235"/>
        <v/>
      </c>
      <c r="AL156" s="31" t="str">
        <f t="shared" si="236"/>
        <v/>
      </c>
      <c r="AM156" s="73" t="str">
        <f t="shared" si="237"/>
        <v/>
      </c>
      <c r="AN156" s="73" t="str">
        <f t="shared" si="238"/>
        <v/>
      </c>
      <c r="AO156" s="31" t="str">
        <f t="shared" si="198"/>
        <v/>
      </c>
      <c r="AP156" s="66" t="str">
        <f t="shared" si="199"/>
        <v/>
      </c>
      <c r="AQ156" s="47" t="s">
        <v>0</v>
      </c>
      <c r="AR156" s="82" t="str">
        <f t="shared" si="239"/>
        <v/>
      </c>
      <c r="AS156" s="47" t="s">
        <v>0</v>
      </c>
      <c r="AT156" s="19" t="str">
        <f t="shared" si="240"/>
        <v/>
      </c>
      <c r="AU156" s="47" t="s">
        <v>0</v>
      </c>
      <c r="AV156" s="103"/>
      <c r="AW156" s="105"/>
      <c r="AX156" s="47" t="s">
        <v>0</v>
      </c>
      <c r="AY156" s="259" t="str">
        <f t="shared" si="263"/>
        <v/>
      </c>
      <c r="AZ156" s="47" t="s">
        <v>0</v>
      </c>
      <c r="BA156" s="52" t="str">
        <f t="shared" si="200"/>
        <v/>
      </c>
      <c r="BB156" s="73" t="str">
        <f>IF(AV156&amp;AW156="","",MAX(BB$12:BB155)+1)</f>
        <v/>
      </c>
      <c r="BC156" s="272" t="str">
        <f t="shared" si="201"/>
        <v/>
      </c>
      <c r="BD156" s="53" t="str">
        <f>IF(AND(AM156="NEMA",AN156="NEMA",OR(AV156&amp;AW156="",BC156="NEMA")),MAX(BD$12:BD155)+1,"")</f>
        <v/>
      </c>
      <c r="BE156" s="47" t="s">
        <v>0</v>
      </c>
      <c r="BF156" s="52" t="str">
        <f t="shared" si="241"/>
        <v/>
      </c>
      <c r="BG156" s="66" t="str">
        <f t="shared" si="242"/>
        <v/>
      </c>
      <c r="BH156" s="47" t="s">
        <v>0</v>
      </c>
      <c r="BI156" s="52" t="str">
        <f t="shared" si="202"/>
        <v/>
      </c>
      <c r="BJ156" s="31" t="str">
        <f t="shared" si="203"/>
        <v/>
      </c>
      <c r="BK156" s="73" t="str">
        <f t="shared" si="204"/>
        <v/>
      </c>
      <c r="BL156" s="31" t="str" cm="1">
        <f t="array" ref="BL156">IF(BK156="",""&amp;BJ156,IF(BK156="NEMA",BJ156,INDEX(regKlub_naziv,MATCH(INDEX(regKlub_alias_klubId,BK156),regKlub_id,0))))</f>
        <v/>
      </c>
      <c r="BM156" s="31" t="str" cm="1">
        <f t="array" ref="BM156">IFERROR(""&amp;INDEX(regNatjecatelj_klub,DV156),"")</f>
        <v/>
      </c>
      <c r="BN156" s="73" t="str">
        <f t="shared" si="243"/>
        <v/>
      </c>
      <c r="BO156" s="66" t="str">
        <f t="shared" si="244"/>
        <v/>
      </c>
      <c r="BP156" s="47" t="s">
        <v>0</v>
      </c>
      <c r="BQ156" s="52" t="str">
        <f>IF(X156&lt;&gt;"NEMA","",IF(IFERROR(MATCH(W156,W$12:W155,0),0)&lt;&gt;0,"",W156))</f>
        <v/>
      </c>
      <c r="BR156" s="73" t="str">
        <f t="shared" si="245"/>
        <v/>
      </c>
      <c r="BS156" s="31" t="str">
        <f>IF(OR(BR156="",BR156&lt;&gt;"NEMA"),"",MAX(BS$12:BS155)+1)</f>
        <v/>
      </c>
      <c r="BT156" s="66" t="str">
        <f t="shared" si="246"/>
        <v/>
      </c>
      <c r="BU156" s="47" t="s">
        <v>0</v>
      </c>
      <c r="BV156" s="19" t="str">
        <f t="shared" si="247"/>
        <v/>
      </c>
      <c r="BW156" s="47" t="s">
        <v>0</v>
      </c>
      <c r="BX156" s="82" t="str">
        <f>IF(BK156&lt;&gt;"NEMA","",IF(IFERROR(MATCH(BJ156,BJ$12:BJ155,0),0)&lt;&gt;0,"",BJ156))</f>
        <v/>
      </c>
      <c r="BY156" s="47" t="s">
        <v>0</v>
      </c>
      <c r="BZ156" s="125"/>
      <c r="CA156" s="47" t="s">
        <v>0</v>
      </c>
      <c r="CB156" s="58" t="str">
        <f t="shared" si="248"/>
        <v/>
      </c>
      <c r="CC156" s="31" t="str">
        <f t="shared" si="249"/>
        <v/>
      </c>
      <c r="CD156" s="31" t="str">
        <f>IF(CC156="","",MAX(CD$12:CD155)+1)</f>
        <v/>
      </c>
      <c r="CE156" s="31" t="str">
        <f t="shared" si="205"/>
        <v/>
      </c>
      <c r="CF156" s="31" t="str">
        <f t="shared" si="250"/>
        <v/>
      </c>
      <c r="CG156" s="31" t="str">
        <f>IF(BZ156="","",MAX(CG$12:CG155)+1)</f>
        <v/>
      </c>
      <c r="CH156" s="31" t="str">
        <f t="shared" si="251"/>
        <v/>
      </c>
      <c r="CI156" s="66" t="str">
        <f t="shared" si="252"/>
        <v/>
      </c>
      <c r="CJ156" s="47" t="s">
        <v>0</v>
      </c>
      <c r="CK156" s="73" t="str">
        <f t="shared" si="206"/>
        <v/>
      </c>
      <c r="CL156" s="47"/>
      <c r="CM156" s="19" t="str">
        <f t="shared" si="253"/>
        <v/>
      </c>
      <c r="CN156" s="47" t="s">
        <v>0</v>
      </c>
      <c r="CO156" s="143" t="str">
        <f t="shared" si="254"/>
        <v/>
      </c>
      <c r="CP156" s="47" t="s">
        <v>0</v>
      </c>
      <c r="CQ156" s="58" t="str">
        <f t="shared" si="190"/>
        <v/>
      </c>
      <c r="CR156" s="73" t="str">
        <f t="shared" si="191"/>
        <v>0</v>
      </c>
      <c r="CS156" s="229" t="str">
        <f t="shared" si="207"/>
        <v/>
      </c>
      <c r="CT156" s="230" t="str">
        <f t="shared" si="192"/>
        <v/>
      </c>
      <c r="CU156" s="163" t="str">
        <f t="shared" si="208"/>
        <v/>
      </c>
      <c r="CV156" s="47" t="s">
        <v>0</v>
      </c>
      <c r="CW156" s="222" t="str">
        <f t="shared" si="255"/>
        <v xml:space="preserve">
</v>
      </c>
      <c r="CX156" s="223" t="str">
        <f t="shared" si="256"/>
        <v/>
      </c>
      <c r="CY156" s="47" t="s">
        <v>0</v>
      </c>
      <c r="CZ156" s="47"/>
      <c r="DA156" s="47"/>
      <c r="DB156" s="47"/>
      <c r="DC156" s="47" t="s">
        <v>0</v>
      </c>
      <c r="DD156" s="53" t="str">
        <f t="shared" si="264"/>
        <v/>
      </c>
      <c r="DE156" t="s">
        <v>0</v>
      </c>
      <c r="DF156" s="128" t="str">
        <f t="shared" si="265"/>
        <v>M</v>
      </c>
      <c r="DG156" t="s">
        <v>0</v>
      </c>
      <c r="DH156" s="52" t="str">
        <f t="shared" si="266"/>
        <v/>
      </c>
      <c r="DI156" s="66" t="str">
        <f t="shared" si="267"/>
        <v/>
      </c>
      <c r="DJ156" t="s">
        <v>0</v>
      </c>
      <c r="DK156" s="19" t="str">
        <f t="shared" si="268"/>
        <v/>
      </c>
      <c r="DL156" s="47" t="s">
        <v>0</v>
      </c>
      <c r="DM156" s="19" t="str">
        <f t="shared" si="269"/>
        <v/>
      </c>
      <c r="DN156" s="47" t="s">
        <v>0</v>
      </c>
      <c r="DO156" s="52" t="str">
        <f t="shared" si="209"/>
        <v/>
      </c>
      <c r="DP156" s="53" t="str">
        <f t="shared" si="210"/>
        <v/>
      </c>
      <c r="DQ156" s="47" t="s">
        <v>0</v>
      </c>
      <c r="DR156" s="52" t="str">
        <f t="shared" si="211"/>
        <v/>
      </c>
      <c r="DS156" s="53" t="str">
        <f t="shared" si="212"/>
        <v/>
      </c>
      <c r="DT156" s="47" t="s">
        <v>0</v>
      </c>
      <c r="DU156" s="52" t="str">
        <f t="shared" si="213"/>
        <v/>
      </c>
      <c r="DV156" s="53" t="str">
        <f t="shared" si="214"/>
        <v/>
      </c>
      <c r="DW156" s="47" t="s">
        <v>0</v>
      </c>
      <c r="DX156" s="58" t="str">
        <f t="shared" si="257"/>
        <v/>
      </c>
      <c r="DY156" s="53" t="str" cm="1">
        <f t="array" ref="DY156">IF(DX156&lt;&gt;"",INDEX(regNatjecatelj_id,DX156,0),IF(BD156&lt;&gt;"",BD156,""))</f>
        <v/>
      </c>
      <c r="DZ156" s="47" t="s">
        <v>0</v>
      </c>
      <c r="EA156" s="58" t="str">
        <f t="shared" si="215"/>
        <v/>
      </c>
      <c r="EB156" s="73" t="str">
        <f t="shared" si="216"/>
        <v/>
      </c>
      <c r="EC156" s="73" t="str">
        <f t="shared" si="217"/>
        <v/>
      </c>
      <c r="ED156" s="73" t="str">
        <f t="shared" si="218"/>
        <v/>
      </c>
      <c r="EE156" s="66" t="str">
        <f t="shared" si="219"/>
        <v/>
      </c>
      <c r="EF156" s="47" t="s">
        <v>0</v>
      </c>
      <c r="EG156" s="58" t="str">
        <f>IF(AL156="","",MAX(EG$12:EG155)+1)</f>
        <v/>
      </c>
      <c r="EH156" s="73" t="str">
        <f t="shared" si="220"/>
        <v/>
      </c>
      <c r="EI156" s="73" t="str">
        <f t="shared" si="258"/>
        <v/>
      </c>
      <c r="EJ156" s="73" t="str">
        <f t="shared" si="221"/>
        <v/>
      </c>
      <c r="EK156" s="73" t="str">
        <f t="shared" si="222"/>
        <v/>
      </c>
      <c r="EL156" s="73" t="str">
        <f t="shared" si="259"/>
        <v/>
      </c>
      <c r="EM156" s="73" t="str">
        <f t="shared" si="260"/>
        <v/>
      </c>
      <c r="EN156" s="73" t="str">
        <f t="shared" si="223"/>
        <v/>
      </c>
      <c r="EO156" s="73" t="str">
        <f t="shared" si="224"/>
        <v/>
      </c>
      <c r="EP156" s="73" t="str">
        <f t="shared" si="225"/>
        <v/>
      </c>
      <c r="EQ156" s="53" t="str">
        <f t="shared" si="226"/>
        <v/>
      </c>
      <c r="ER156" s="47" t="s">
        <v>0</v>
      </c>
      <c r="ES156" s="19" t="str">
        <f t="shared" si="261"/>
        <v/>
      </c>
      <c r="ET156" s="47" t="s">
        <v>0</v>
      </c>
      <c r="EU156" s="19" t="str">
        <f t="shared" si="262"/>
        <v/>
      </c>
      <c r="EV156" s="47" t="s">
        <v>0</v>
      </c>
      <c r="EW156" s="180" t="str">
        <f t="shared" si="227"/>
        <v/>
      </c>
      <c r="EX156" s="47" t="s">
        <v>0</v>
      </c>
    </row>
    <row r="157" spans="1:154" x14ac:dyDescent="0.25">
      <c r="A157" t="s">
        <v>0</v>
      </c>
      <c r="B157" s="52" t="str">
        <f>IF(csv!F147="","",csv!T147)</f>
        <v>M55</v>
      </c>
      <c r="C157" s="31" t="s">
        <v>0</v>
      </c>
      <c r="D157" s="31" t="str">
        <f>IF(csv!F147="","",csv!F147)</f>
        <v>Dario</v>
      </c>
      <c r="E157" s="31" t="str">
        <f>IF(csv!E147="","",csv!E147)</f>
        <v>Štambuk</v>
      </c>
      <c r="F157" s="31" t="s">
        <v>0</v>
      </c>
      <c r="G157" s="73" t="str">
        <f>IF(csv!M147="","",csv!M147)</f>
        <v>32:40</v>
      </c>
      <c r="H157" s="73" t="str">
        <f>IF(csv!N147="","",csv!N147)</f>
        <v>0</v>
      </c>
      <c r="I157" s="31" t="s">
        <v>0</v>
      </c>
      <c r="J157" s="31" t="str">
        <f>IF(csv!P147="","",csv!P147)</f>
        <v>OK MERZ CRO</v>
      </c>
      <c r="K157" s="31" t="str">
        <f>IF(csv!Q147="","",csv!Q147)</f>
        <v>OK Ivan Merz</v>
      </c>
      <c r="L157" s="31" t="s">
        <v>0</v>
      </c>
      <c r="M157" s="66" t="str">
        <f>IF(csv!R147="","",csv!R147)</f>
        <v>CRO</v>
      </c>
      <c r="N157" s="47" t="s">
        <v>0</v>
      </c>
      <c r="O157" s="246" t="str">
        <f t="shared" si="228"/>
        <v>ok</v>
      </c>
      <c r="P157" s="47"/>
      <c r="Q157" s="52" t="str">
        <f t="shared" si="229"/>
        <v>M55</v>
      </c>
      <c r="R157" s="73">
        <f>IF(Q157="","",IF(COUNTIF(Q$12:Q156,Q157)=0,R156+1,R156))</f>
        <v>9</v>
      </c>
      <c r="S157" s="73">
        <f t="shared" si="230"/>
        <v>105</v>
      </c>
      <c r="T157" s="73">
        <f t="shared" si="193"/>
        <v>16</v>
      </c>
      <c r="U157" s="66" t="str">
        <f t="shared" si="194"/>
        <v>M55</v>
      </c>
      <c r="V157" s="47" t="s">
        <v>0</v>
      </c>
      <c r="W157" s="222" t="str">
        <f t="shared" si="195"/>
        <v>M55</v>
      </c>
      <c r="X157" s="223">
        <f t="shared" si="196"/>
        <v>31</v>
      </c>
      <c r="Y157" s="47" t="s">
        <v>0</v>
      </c>
      <c r="Z157" s="52" t="str">
        <f t="shared" si="231"/>
        <v>CRO</v>
      </c>
      <c r="AA157" s="73">
        <f t="shared" si="197"/>
        <v>1</v>
      </c>
      <c r="AB157" s="31" t="str">
        <f t="shared" si="232"/>
        <v/>
      </c>
      <c r="AC157" s="66" t="str">
        <f>IF(AB157="","",MAX(AC$12:AC156)+1)</f>
        <v/>
      </c>
      <c r="AD157" s="47" t="s">
        <v>0</v>
      </c>
      <c r="AE157" s="125"/>
      <c r="AF157" s="47" t="s">
        <v>0</v>
      </c>
      <c r="AG157" s="19" t="str">
        <f t="shared" si="233"/>
        <v/>
      </c>
      <c r="AH157" s="47" t="s">
        <v>0</v>
      </c>
      <c r="AI157" s="143" t="str">
        <f t="shared" si="234"/>
        <v>CRO</v>
      </c>
      <c r="AJ157" s="47"/>
      <c r="AK157" s="52" t="str">
        <f t="shared" si="235"/>
        <v>Dario</v>
      </c>
      <c r="AL157" s="31" t="str">
        <f t="shared" si="236"/>
        <v>Štambuk</v>
      </c>
      <c r="AM157" s="73">
        <f t="shared" si="237"/>
        <v>1563</v>
      </c>
      <c r="AN157" s="73" t="str">
        <f t="shared" si="238"/>
        <v/>
      </c>
      <c r="AO157" s="31" t="str">
        <f t="shared" si="198"/>
        <v>Dario</v>
      </c>
      <c r="AP157" s="66" t="str">
        <f t="shared" si="199"/>
        <v>Štambuk</v>
      </c>
      <c r="AQ157" s="47" t="s">
        <v>0</v>
      </c>
      <c r="AR157" s="82" t="str">
        <f t="shared" si="239"/>
        <v/>
      </c>
      <c r="AS157" s="47" t="s">
        <v>0</v>
      </c>
      <c r="AT157" s="19" t="str">
        <f t="shared" si="240"/>
        <v/>
      </c>
      <c r="AU157" s="47" t="s">
        <v>0</v>
      </c>
      <c r="AV157" s="103"/>
      <c r="AW157" s="105"/>
      <c r="AX157" s="47" t="s">
        <v>0</v>
      </c>
      <c r="AY157" s="259" t="str">
        <f t="shared" si="263"/>
        <v/>
      </c>
      <c r="AZ157" s="47" t="s">
        <v>0</v>
      </c>
      <c r="BA157" s="52" t="str">
        <f t="shared" si="200"/>
        <v/>
      </c>
      <c r="BB157" s="73" t="str">
        <f>IF(AV157&amp;AW157="","",MAX(BB$12:BB156)+1)</f>
        <v/>
      </c>
      <c r="BC157" s="272" t="str">
        <f t="shared" si="201"/>
        <v/>
      </c>
      <c r="BD157" s="53" t="str">
        <f>IF(AND(AM157="NEMA",AN157="NEMA",OR(AV157&amp;AW157="",BC157="NEMA")),MAX(BD$12:BD156)+1,"")</f>
        <v/>
      </c>
      <c r="BE157" s="47" t="s">
        <v>0</v>
      </c>
      <c r="BF157" s="52" t="str">
        <f t="shared" si="241"/>
        <v>Dario</v>
      </c>
      <c r="BG157" s="66" t="str">
        <f t="shared" si="242"/>
        <v>Štambuk</v>
      </c>
      <c r="BH157" s="47" t="s">
        <v>0</v>
      </c>
      <c r="BI157" s="52" t="str">
        <f t="shared" si="202"/>
        <v>OK MERZ CRO</v>
      </c>
      <c r="BJ157" s="31" t="str">
        <f t="shared" si="203"/>
        <v>OK Ivan Merz</v>
      </c>
      <c r="BK157" s="73" t="str">
        <f t="shared" si="204"/>
        <v/>
      </c>
      <c r="BL157" s="31" t="str" cm="1">
        <f t="array" ref="BL157">IF(BK157="",""&amp;BJ157,IF(BK157="NEMA",BJ157,INDEX(regKlub_naziv,MATCH(INDEX(regKlub_alias_klubId,BK157),regKlub_id,0))))</f>
        <v>OK Ivan Merz</v>
      </c>
      <c r="BM157" s="31" t="str" cm="1">
        <f t="array" ref="BM157">IFERROR(""&amp;INDEX(regNatjecatelj_klub,DV157),"")</f>
        <v>OK Ivan Merz</v>
      </c>
      <c r="BN157" s="73" t="str">
        <f t="shared" si="243"/>
        <v/>
      </c>
      <c r="BO157" s="66" t="str">
        <f t="shared" si="244"/>
        <v>OK Ivan Merz</v>
      </c>
      <c r="BP157" s="47" t="s">
        <v>0</v>
      </c>
      <c r="BQ157" s="52" t="str">
        <f>IF(X157&lt;&gt;"NEMA","",IF(IFERROR(MATCH(W157,W$12:W156,0),0)&lt;&gt;0,"",W157))</f>
        <v/>
      </c>
      <c r="BR157" s="73" t="str">
        <f t="shared" si="245"/>
        <v/>
      </c>
      <c r="BS157" s="31" t="str">
        <f>IF(OR(BR157="",BR157&lt;&gt;"NEMA"),"",MAX(BS$12:BS156)+1)</f>
        <v/>
      </c>
      <c r="BT157" s="66" t="str">
        <f t="shared" si="246"/>
        <v/>
      </c>
      <c r="BU157" s="47" t="s">
        <v>0</v>
      </c>
      <c r="BV157" s="19" t="str">
        <f t="shared" si="247"/>
        <v/>
      </c>
      <c r="BW157" s="47" t="s">
        <v>0</v>
      </c>
      <c r="BX157" s="82" t="str">
        <f>IF(BK157&lt;&gt;"NEMA","",IF(IFERROR(MATCH(BJ157,BJ$12:BJ156,0),0)&lt;&gt;0,"",BJ157))</f>
        <v/>
      </c>
      <c r="BY157" s="47" t="s">
        <v>0</v>
      </c>
      <c r="BZ157" s="125"/>
      <c r="CA157" s="47" t="s">
        <v>0</v>
      </c>
      <c r="CB157" s="58" t="str">
        <f t="shared" si="248"/>
        <v/>
      </c>
      <c r="CC157" s="31" t="str">
        <f t="shared" si="249"/>
        <v/>
      </c>
      <c r="CD157" s="31" t="str">
        <f>IF(CC157="","",MAX(CD$12:CD156)+1)</f>
        <v/>
      </c>
      <c r="CE157" s="31" t="str">
        <f t="shared" si="205"/>
        <v/>
      </c>
      <c r="CF157" s="31" t="str">
        <f t="shared" si="250"/>
        <v/>
      </c>
      <c r="CG157" s="31" t="str">
        <f>IF(BZ157="","",MAX(CG$12:CG156)+1)</f>
        <v/>
      </c>
      <c r="CH157" s="31" t="str">
        <f t="shared" si="251"/>
        <v/>
      </c>
      <c r="CI157" s="66" t="str">
        <f t="shared" si="252"/>
        <v/>
      </c>
      <c r="CJ157" s="47" t="s">
        <v>0</v>
      </c>
      <c r="CK157" s="73" t="str">
        <f t="shared" si="206"/>
        <v/>
      </c>
      <c r="CL157" s="47"/>
      <c r="CM157" s="19" t="str">
        <f t="shared" si="253"/>
        <v/>
      </c>
      <c r="CN157" s="47" t="s">
        <v>0</v>
      </c>
      <c r="CO157" s="143" t="str">
        <f t="shared" si="254"/>
        <v>OK Ivan Merz</v>
      </c>
      <c r="CP157" s="47" t="s">
        <v>0</v>
      </c>
      <c r="CQ157" s="58" t="str">
        <f t="shared" si="190"/>
        <v>32:40</v>
      </c>
      <c r="CR157" s="73" t="str">
        <f t="shared" si="191"/>
        <v>0</v>
      </c>
      <c r="CS157" s="229" t="str">
        <f t="shared" si="207"/>
        <v/>
      </c>
      <c r="CT157" s="230">
        <f t="shared" si="192"/>
        <v>1960</v>
      </c>
      <c r="CU157" s="163">
        <f t="shared" si="208"/>
        <v>1</v>
      </c>
      <c r="CV157" s="47" t="s">
        <v>0</v>
      </c>
      <c r="CW157" s="222" t="str">
        <f t="shared" si="255"/>
        <v xml:space="preserve">
</v>
      </c>
      <c r="CX157" s="223">
        <f t="shared" si="256"/>
        <v>6</v>
      </c>
      <c r="CY157" s="47" t="s">
        <v>0</v>
      </c>
      <c r="CZ157" s="47"/>
      <c r="DA157" s="47"/>
      <c r="DB157" s="47"/>
      <c r="DC157" s="47" t="s">
        <v>0</v>
      </c>
      <c r="DD157" s="53" t="str">
        <f t="shared" si="264"/>
        <v/>
      </c>
      <c r="DE157" t="s">
        <v>0</v>
      </c>
      <c r="DF157" s="128" t="str">
        <f t="shared" si="265"/>
        <v>M</v>
      </c>
      <c r="DG157" t="s">
        <v>0</v>
      </c>
      <c r="DH157" s="52" t="str">
        <f t="shared" si="266"/>
        <v/>
      </c>
      <c r="DI157" s="66" t="str">
        <f t="shared" si="267"/>
        <v/>
      </c>
      <c r="DJ157" t="s">
        <v>0</v>
      </c>
      <c r="DK157" s="19" t="str">
        <f t="shared" si="268"/>
        <v/>
      </c>
      <c r="DL157" s="47" t="s">
        <v>0</v>
      </c>
      <c r="DM157" s="19" t="str">
        <f t="shared" si="269"/>
        <v/>
      </c>
      <c r="DN157" s="47" t="s">
        <v>0</v>
      </c>
      <c r="DO157" s="52" t="str">
        <f t="shared" si="209"/>
        <v>Dario – Štambuk – OK Ivan Merz – M55</v>
      </c>
      <c r="DP157" s="53">
        <f t="shared" si="210"/>
        <v>67</v>
      </c>
      <c r="DQ157" s="47" t="s">
        <v>0</v>
      </c>
      <c r="DR157" s="52" t="str">
        <f t="shared" si="211"/>
        <v>Dario – Štambuk – OK Ivan Merz</v>
      </c>
      <c r="DS157" s="53">
        <f t="shared" si="212"/>
        <v>67</v>
      </c>
      <c r="DT157" s="47" t="s">
        <v>0</v>
      </c>
      <c r="DU157" s="52" t="str">
        <f t="shared" si="213"/>
        <v>Dario – Štambuk</v>
      </c>
      <c r="DV157" s="53">
        <f t="shared" si="214"/>
        <v>67</v>
      </c>
      <c r="DW157" s="47" t="s">
        <v>0</v>
      </c>
      <c r="DX157" s="58">
        <f t="shared" si="257"/>
        <v>67</v>
      </c>
      <c r="DY157" s="53" cm="1">
        <f t="array" ref="DY157">IF(DX157&lt;&gt;"",INDEX(regNatjecatelj_id,DX157,0),IF(BD157&lt;&gt;"",BD157,""))</f>
        <v>1563</v>
      </c>
      <c r="DZ157" s="47" t="s">
        <v>0</v>
      </c>
      <c r="EA157" s="58" t="str">
        <f t="shared" si="215"/>
        <v>imepre</v>
      </c>
      <c r="EB157" s="73" t="str">
        <f t="shared" si="216"/>
        <v>klu</v>
      </c>
      <c r="EC157" s="73" t="str">
        <f t="shared" si="217"/>
        <v>kat</v>
      </c>
      <c r="ED157" s="73" t="str">
        <f t="shared" si="218"/>
        <v/>
      </c>
      <c r="EE157" s="66" t="str">
        <f t="shared" si="219"/>
        <v>imepre-klu-kat</v>
      </c>
      <c r="EF157" s="47" t="s">
        <v>0</v>
      </c>
      <c r="EG157" s="58">
        <f>IF(AL157="","",MAX(EG$12:EG156)+1)</f>
        <v>322</v>
      </c>
      <c r="EH157" s="73">
        <f t="shared" si="220"/>
        <v>31</v>
      </c>
      <c r="EI157" s="73">
        <f t="shared" si="258"/>
        <v>1563</v>
      </c>
      <c r="EJ157" s="73">
        <f t="shared" si="221"/>
        <v>1960</v>
      </c>
      <c r="EK157" s="73">
        <f t="shared" si="222"/>
        <v>1</v>
      </c>
      <c r="EL157" s="73">
        <f t="shared" si="259"/>
        <v>1</v>
      </c>
      <c r="EM157" s="73">
        <f t="shared" si="260"/>
        <v>1</v>
      </c>
      <c r="EN157" s="73" t="str">
        <f t="shared" si="223"/>
        <v>0</v>
      </c>
      <c r="EO157" s="73" t="str">
        <f t="shared" si="224"/>
        <v/>
      </c>
      <c r="EP157" s="73" t="str">
        <f t="shared" si="225"/>
        <v/>
      </c>
      <c r="EQ157" s="53" t="str">
        <f t="shared" si="226"/>
        <v/>
      </c>
      <c r="ER157" s="47" t="s">
        <v>0</v>
      </c>
      <c r="ES157" s="19" t="str">
        <f t="shared" si="261"/>
        <v>INSERT INTO rezultat(id,stazakategorija_id,imeprezime_id,vrijeme_sec,status_id,registracija,uparivanje_id,originalstatus_id,imeprezimealias_id,klubalias_id,kategorijaalias_id) VALUES (322,31,1563,1960,1,1,1,0,Null,Null,Null);</v>
      </c>
      <c r="ET157" s="47" t="s">
        <v>0</v>
      </c>
      <c r="EU157" s="19" t="str">
        <f t="shared" si="262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7" s="47" t="s">
        <v>0</v>
      </c>
      <c r="EW157" s="180" t="str">
        <f t="shared" si="227"/>
        <v xml:space="preserve">
INSERT INTO rezultat(id,stazakategorija_id,imeprezime_id,vrijeme_sec,status_id,registracija,uparivanje_id,originalstatus_id,imeprezimealias_id,klubalias_id,kategorijaalias_id) VALUES (322,31,1563,1960,1,1,1,0,Null,Null,Null);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7" s="47" t="s">
        <v>0</v>
      </c>
    </row>
    <row r="158" spans="1:154" x14ac:dyDescent="0.25">
      <c r="A158" t="s">
        <v>0</v>
      </c>
      <c r="B158" s="52" t="str">
        <f>IF(csv!F148="","",csv!T148)</f>
        <v>M55</v>
      </c>
      <c r="C158" s="31" t="s">
        <v>0</v>
      </c>
      <c r="D158" s="31" t="str">
        <f>IF(csv!F148="","",csv!F148)</f>
        <v>Darko</v>
      </c>
      <c r="E158" s="31" t="str">
        <f>IF(csv!E148="","",csv!E148)</f>
        <v>Merunka</v>
      </c>
      <c r="F158" s="31" t="s">
        <v>0</v>
      </c>
      <c r="G158" s="73" t="str">
        <f>IF(csv!M148="","",csv!M148)</f>
        <v>36:52</v>
      </c>
      <c r="H158" s="73" t="str">
        <f>IF(csv!N148="","",csv!N148)</f>
        <v>0</v>
      </c>
      <c r="I158" s="31" t="s">
        <v>0</v>
      </c>
      <c r="J158" s="31" t="str">
        <f>IF(csv!P148="","",csv!P148)</f>
        <v>Maksimir</v>
      </c>
      <c r="K158" s="31" t="str">
        <f>IF(csv!Q148="","",csv!Q148)</f>
        <v>OK Maksimir</v>
      </c>
      <c r="L158" s="31" t="s">
        <v>0</v>
      </c>
      <c r="M158" s="66" t="str">
        <f>IF(csv!R148="","",csv!R148)</f>
        <v>CRO</v>
      </c>
      <c r="N158" s="47" t="s">
        <v>0</v>
      </c>
      <c r="O158" s="246" t="str">
        <f t="shared" si="228"/>
        <v>ok</v>
      </c>
      <c r="P158" s="47"/>
      <c r="Q158" s="52" t="str">
        <f t="shared" si="229"/>
        <v>M55</v>
      </c>
      <c r="R158" s="73">
        <f>IF(Q158="","",IF(COUNTIF(Q$12:Q157,Q158)=0,R157+1,R157))</f>
        <v>9</v>
      </c>
      <c r="S158" s="73">
        <f t="shared" si="230"/>
        <v>105</v>
      </c>
      <c r="T158" s="73">
        <f t="shared" si="193"/>
        <v>16</v>
      </c>
      <c r="U158" s="66" t="str">
        <f t="shared" si="194"/>
        <v>M55</v>
      </c>
      <c r="V158" s="47" t="s">
        <v>0</v>
      </c>
      <c r="W158" s="222" t="str">
        <f t="shared" si="195"/>
        <v>M55</v>
      </c>
      <c r="X158" s="223">
        <f t="shared" si="196"/>
        <v>31</v>
      </c>
      <c r="Y158" s="47" t="s">
        <v>0</v>
      </c>
      <c r="Z158" s="52" t="str">
        <f t="shared" si="231"/>
        <v>CRO</v>
      </c>
      <c r="AA158" s="73">
        <f t="shared" si="197"/>
        <v>1</v>
      </c>
      <c r="AB158" s="31" t="str">
        <f t="shared" si="232"/>
        <v/>
      </c>
      <c r="AC158" s="66" t="str">
        <f>IF(AB158="","",MAX(AC$12:AC157)+1)</f>
        <v/>
      </c>
      <c r="AD158" s="47" t="s">
        <v>0</v>
      </c>
      <c r="AE158" s="125"/>
      <c r="AF158" s="47" t="s">
        <v>0</v>
      </c>
      <c r="AG158" s="19" t="str">
        <f t="shared" si="233"/>
        <v/>
      </c>
      <c r="AH158" s="47" t="s">
        <v>0</v>
      </c>
      <c r="AI158" s="143" t="str">
        <f t="shared" si="234"/>
        <v>CRO</v>
      </c>
      <c r="AJ158" s="47"/>
      <c r="AK158" s="52" t="str">
        <f t="shared" si="235"/>
        <v>Darko</v>
      </c>
      <c r="AL158" s="31" t="str">
        <f t="shared" si="236"/>
        <v>Merunka</v>
      </c>
      <c r="AM158" s="73">
        <f t="shared" si="237"/>
        <v>1562</v>
      </c>
      <c r="AN158" s="73" t="str">
        <f t="shared" si="238"/>
        <v/>
      </c>
      <c r="AO158" s="31" t="str">
        <f t="shared" si="198"/>
        <v>Darko</v>
      </c>
      <c r="AP158" s="66" t="str">
        <f t="shared" si="199"/>
        <v>Merunka</v>
      </c>
      <c r="AQ158" s="47" t="s">
        <v>0</v>
      </c>
      <c r="AR158" s="82" t="str">
        <f t="shared" si="239"/>
        <v/>
      </c>
      <c r="AS158" s="47" t="s">
        <v>0</v>
      </c>
      <c r="AT158" s="19" t="str">
        <f t="shared" si="240"/>
        <v/>
      </c>
      <c r="AU158" s="47" t="s">
        <v>0</v>
      </c>
      <c r="AV158" s="103"/>
      <c r="AW158" s="105"/>
      <c r="AX158" s="47" t="s">
        <v>0</v>
      </c>
      <c r="AY158" s="259" t="str">
        <f t="shared" si="263"/>
        <v/>
      </c>
      <c r="AZ158" s="47" t="s">
        <v>0</v>
      </c>
      <c r="BA158" s="52" t="str">
        <f t="shared" si="200"/>
        <v/>
      </c>
      <c r="BB158" s="73" t="str">
        <f>IF(AV158&amp;AW158="","",MAX(BB$12:BB157)+1)</f>
        <v/>
      </c>
      <c r="BC158" s="272" t="str">
        <f t="shared" si="201"/>
        <v/>
      </c>
      <c r="BD158" s="53" t="str">
        <f>IF(AND(AM158="NEMA",AN158="NEMA",OR(AV158&amp;AW158="",BC158="NEMA")),MAX(BD$12:BD157)+1,"")</f>
        <v/>
      </c>
      <c r="BE158" s="47" t="s">
        <v>0</v>
      </c>
      <c r="BF158" s="52" t="str">
        <f t="shared" si="241"/>
        <v>Darko</v>
      </c>
      <c r="BG158" s="66" t="str">
        <f t="shared" si="242"/>
        <v>Merunka</v>
      </c>
      <c r="BH158" s="47" t="s">
        <v>0</v>
      </c>
      <c r="BI158" s="52" t="str">
        <f t="shared" si="202"/>
        <v>Maksimir</v>
      </c>
      <c r="BJ158" s="31" t="str">
        <f t="shared" si="203"/>
        <v>OK Maksimir</v>
      </c>
      <c r="BK158" s="73" t="str">
        <f t="shared" si="204"/>
        <v/>
      </c>
      <c r="BL158" s="31" t="str" cm="1">
        <f t="array" ref="BL158">IF(BK158="",""&amp;BJ158,IF(BK158="NEMA",BJ158,INDEX(regKlub_naziv,MATCH(INDEX(regKlub_alias_klubId,BK158),regKlub_id,0))))</f>
        <v>OK Maksimir</v>
      </c>
      <c r="BM158" s="31" t="str" cm="1">
        <f t="array" ref="BM158">IFERROR(""&amp;INDEX(regNatjecatelj_klub,DV158),"")</f>
        <v>OK Maksimir</v>
      </c>
      <c r="BN158" s="73" t="str">
        <f t="shared" si="243"/>
        <v/>
      </c>
      <c r="BO158" s="66" t="str">
        <f t="shared" si="244"/>
        <v>OK Maksimir</v>
      </c>
      <c r="BP158" s="47" t="s">
        <v>0</v>
      </c>
      <c r="BQ158" s="52" t="str">
        <f>IF(X158&lt;&gt;"NEMA","",IF(IFERROR(MATCH(W158,W$12:W157,0),0)&lt;&gt;0,"",W158))</f>
        <v/>
      </c>
      <c r="BR158" s="73" t="str">
        <f t="shared" si="245"/>
        <v/>
      </c>
      <c r="BS158" s="31" t="str">
        <f>IF(OR(BR158="",BR158&lt;&gt;"NEMA"),"",MAX(BS$12:BS157)+1)</f>
        <v/>
      </c>
      <c r="BT158" s="66" t="str">
        <f t="shared" si="246"/>
        <v/>
      </c>
      <c r="BU158" s="47" t="s">
        <v>0</v>
      </c>
      <c r="BV158" s="19" t="str">
        <f t="shared" si="247"/>
        <v/>
      </c>
      <c r="BW158" s="47" t="s">
        <v>0</v>
      </c>
      <c r="BX158" s="82" t="str">
        <f>IF(BK158&lt;&gt;"NEMA","",IF(IFERROR(MATCH(BJ158,BJ$12:BJ157,0),0)&lt;&gt;0,"",BJ158))</f>
        <v/>
      </c>
      <c r="BY158" s="47" t="s">
        <v>0</v>
      </c>
      <c r="BZ158" s="125"/>
      <c r="CA158" s="47" t="s">
        <v>0</v>
      </c>
      <c r="CB158" s="58" t="str">
        <f t="shared" si="248"/>
        <v/>
      </c>
      <c r="CC158" s="31" t="str">
        <f t="shared" si="249"/>
        <v/>
      </c>
      <c r="CD158" s="31" t="str">
        <f>IF(CC158="","",MAX(CD$12:CD157)+1)</f>
        <v/>
      </c>
      <c r="CE158" s="31" t="str">
        <f t="shared" si="205"/>
        <v/>
      </c>
      <c r="CF158" s="31" t="str">
        <f t="shared" si="250"/>
        <v/>
      </c>
      <c r="CG158" s="31" t="str">
        <f>IF(BZ158="","",MAX(CG$12:CG157)+1)</f>
        <v/>
      </c>
      <c r="CH158" s="31" t="str">
        <f t="shared" si="251"/>
        <v/>
      </c>
      <c r="CI158" s="66" t="str">
        <f t="shared" si="252"/>
        <v/>
      </c>
      <c r="CJ158" s="47" t="s">
        <v>0</v>
      </c>
      <c r="CK158" s="73" t="str">
        <f t="shared" si="206"/>
        <v/>
      </c>
      <c r="CL158" s="47"/>
      <c r="CM158" s="19" t="str">
        <f t="shared" si="253"/>
        <v/>
      </c>
      <c r="CN158" s="47" t="s">
        <v>0</v>
      </c>
      <c r="CO158" s="143" t="str">
        <f t="shared" si="254"/>
        <v>OK Maksimir</v>
      </c>
      <c r="CP158" s="47" t="s">
        <v>0</v>
      </c>
      <c r="CQ158" s="58" t="str">
        <f t="shared" si="190"/>
        <v>36:52</v>
      </c>
      <c r="CR158" s="73" t="str">
        <f t="shared" si="191"/>
        <v>0</v>
      </c>
      <c r="CS158" s="229" t="str">
        <f t="shared" si="207"/>
        <v/>
      </c>
      <c r="CT158" s="230">
        <f t="shared" si="192"/>
        <v>2212</v>
      </c>
      <c r="CU158" s="163">
        <f t="shared" si="208"/>
        <v>1</v>
      </c>
      <c r="CV158" s="47" t="s">
        <v>0</v>
      </c>
      <c r="CW158" s="222" t="str">
        <f t="shared" si="255"/>
        <v xml:space="preserve">
</v>
      </c>
      <c r="CX158" s="223">
        <f t="shared" si="256"/>
        <v>6</v>
      </c>
      <c r="CY158" s="47" t="s">
        <v>0</v>
      </c>
      <c r="CZ158" s="47"/>
      <c r="DA158" s="47"/>
      <c r="DB158" s="47"/>
      <c r="DC158" s="47" t="s">
        <v>0</v>
      </c>
      <c r="DD158" s="53" t="str">
        <f t="shared" si="264"/>
        <v/>
      </c>
      <c r="DE158" t="s">
        <v>0</v>
      </c>
      <c r="DF158" s="128" t="str">
        <f t="shared" si="265"/>
        <v>M</v>
      </c>
      <c r="DG158" t="s">
        <v>0</v>
      </c>
      <c r="DH158" s="52" t="str">
        <f t="shared" si="266"/>
        <v/>
      </c>
      <c r="DI158" s="66" t="str">
        <f t="shared" si="267"/>
        <v/>
      </c>
      <c r="DJ158" t="s">
        <v>0</v>
      </c>
      <c r="DK158" s="19" t="str">
        <f t="shared" si="268"/>
        <v/>
      </c>
      <c r="DL158" s="47" t="s">
        <v>0</v>
      </c>
      <c r="DM158" s="19" t="str">
        <f t="shared" si="269"/>
        <v/>
      </c>
      <c r="DN158" s="47" t="s">
        <v>0</v>
      </c>
      <c r="DO158" s="52" t="str">
        <f t="shared" si="209"/>
        <v>Darko – Merunka – OK Maksimir – M55</v>
      </c>
      <c r="DP158" s="53">
        <f t="shared" si="210"/>
        <v>367</v>
      </c>
      <c r="DQ158" s="47" t="s">
        <v>0</v>
      </c>
      <c r="DR158" s="52" t="str">
        <f t="shared" si="211"/>
        <v>Darko – Merunka – OK Maksimir</v>
      </c>
      <c r="DS158" s="53">
        <f t="shared" si="212"/>
        <v>367</v>
      </c>
      <c r="DT158" s="47" t="s">
        <v>0</v>
      </c>
      <c r="DU158" s="52" t="str">
        <f t="shared" si="213"/>
        <v>Darko – Merunka</v>
      </c>
      <c r="DV158" s="53">
        <f t="shared" si="214"/>
        <v>367</v>
      </c>
      <c r="DW158" s="47" t="s">
        <v>0</v>
      </c>
      <c r="DX158" s="58">
        <f t="shared" si="257"/>
        <v>367</v>
      </c>
      <c r="DY158" s="53" cm="1">
        <f t="array" ref="DY158">IF(DX158&lt;&gt;"",INDEX(regNatjecatelj_id,DX158,0),IF(BD158&lt;&gt;"",BD158,""))</f>
        <v>1562</v>
      </c>
      <c r="DZ158" s="47" t="s">
        <v>0</v>
      </c>
      <c r="EA158" s="58" t="str">
        <f t="shared" si="215"/>
        <v>imepre</v>
      </c>
      <c r="EB158" s="73" t="str">
        <f t="shared" si="216"/>
        <v>klu</v>
      </c>
      <c r="EC158" s="73" t="str">
        <f t="shared" si="217"/>
        <v>kat</v>
      </c>
      <c r="ED158" s="73" t="str">
        <f t="shared" si="218"/>
        <v/>
      </c>
      <c r="EE158" s="66" t="str">
        <f t="shared" si="219"/>
        <v>imepre-klu-kat</v>
      </c>
      <c r="EF158" s="47" t="s">
        <v>0</v>
      </c>
      <c r="EG158" s="58">
        <f>IF(AL158="","",MAX(EG$12:EG157)+1)</f>
        <v>323</v>
      </c>
      <c r="EH158" s="73">
        <f t="shared" si="220"/>
        <v>31</v>
      </c>
      <c r="EI158" s="73">
        <f t="shared" si="258"/>
        <v>1562</v>
      </c>
      <c r="EJ158" s="73">
        <f t="shared" si="221"/>
        <v>2212</v>
      </c>
      <c r="EK158" s="73">
        <f t="shared" si="222"/>
        <v>1</v>
      </c>
      <c r="EL158" s="73">
        <f t="shared" si="259"/>
        <v>1</v>
      </c>
      <c r="EM158" s="73">
        <f t="shared" si="260"/>
        <v>1</v>
      </c>
      <c r="EN158" s="73" t="str">
        <f t="shared" si="223"/>
        <v>0</v>
      </c>
      <c r="EO158" s="73" t="str">
        <f t="shared" si="224"/>
        <v/>
      </c>
      <c r="EP158" s="73" t="str">
        <f t="shared" si="225"/>
        <v/>
      </c>
      <c r="EQ158" s="53" t="str">
        <f t="shared" si="226"/>
        <v/>
      </c>
      <c r="ER158" s="47" t="s">
        <v>0</v>
      </c>
      <c r="ES158" s="19" t="str">
        <f t="shared" si="261"/>
        <v>INSERT INTO rezultat(id,stazakategorija_id,imeprezime_id,vrijeme_sec,status_id,registracija,uparivanje_id,originalstatus_id,imeprezimealias_id,klubalias_id,kategorijaalias_id) VALUES (323,31,1562,2212,1,1,1,0,Null,Null,Null);</v>
      </c>
      <c r="ET158" s="47" t="s">
        <v>0</v>
      </c>
      <c r="EU158" s="19" t="str">
        <f t="shared" si="262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8" s="47" t="s">
        <v>0</v>
      </c>
      <c r="EW158" s="180" t="str">
        <f t="shared" si="227"/>
        <v xml:space="preserve">
INSERT INTO rezultat(id,stazakategorija_id,imeprezime_id,vrijeme_sec,status_id,registracija,uparivanje_id,originalstatus_id,imeprezimealias_id,klubalias_id,kategorijaalias_id) VALUES (323,31,1562,2212,1,1,1,0,Null,Null,Null);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8" s="47" t="s">
        <v>0</v>
      </c>
    </row>
    <row r="159" spans="1:154" x14ac:dyDescent="0.25">
      <c r="A159" t="s">
        <v>0</v>
      </c>
      <c r="B159" s="52" t="str">
        <f>IF(csv!F149="","",csv!T149)</f>
        <v>M55</v>
      </c>
      <c r="C159" s="31" t="s">
        <v>0</v>
      </c>
      <c r="D159" s="31" t="str">
        <f>IF(csv!F149="","",csv!F149)</f>
        <v>Petar</v>
      </c>
      <c r="E159" s="31" t="str">
        <f>IF(csv!E149="","",csv!E149)</f>
        <v>Strmečki</v>
      </c>
      <c r="F159" s="31" t="s">
        <v>0</v>
      </c>
      <c r="G159" s="73" t="str">
        <f>IF(csv!M149="","",csv!M149)</f>
        <v>39:40</v>
      </c>
      <c r="H159" s="73" t="str">
        <f>IF(csv!N149="","",csv!N149)</f>
        <v>0</v>
      </c>
      <c r="I159" s="31" t="s">
        <v>0</v>
      </c>
      <c r="J159" s="31" t="str">
        <f>IF(csv!P149="","",csv!P149)</f>
        <v>Maksimir</v>
      </c>
      <c r="K159" s="31" t="str">
        <f>IF(csv!Q149="","",csv!Q149)</f>
        <v>OK Maksimir</v>
      </c>
      <c r="L159" s="31" t="s">
        <v>0</v>
      </c>
      <c r="M159" s="66" t="str">
        <f>IF(csv!R149="","",csv!R149)</f>
        <v>CRO</v>
      </c>
      <c r="N159" s="47" t="s">
        <v>0</v>
      </c>
      <c r="O159" s="246" t="str">
        <f t="shared" si="228"/>
        <v>ok</v>
      </c>
      <c r="P159" s="47"/>
      <c r="Q159" s="52" t="str">
        <f t="shared" si="229"/>
        <v>M55</v>
      </c>
      <c r="R159" s="73">
        <f>IF(Q159="","",IF(COUNTIF(Q$12:Q158,Q159)=0,R158+1,R158))</f>
        <v>9</v>
      </c>
      <c r="S159" s="73">
        <f t="shared" si="230"/>
        <v>105</v>
      </c>
      <c r="T159" s="73">
        <f t="shared" si="193"/>
        <v>16</v>
      </c>
      <c r="U159" s="66" t="str">
        <f t="shared" si="194"/>
        <v>M55</v>
      </c>
      <c r="V159" s="47" t="s">
        <v>0</v>
      </c>
      <c r="W159" s="222" t="str">
        <f t="shared" si="195"/>
        <v>M55</v>
      </c>
      <c r="X159" s="223">
        <f t="shared" si="196"/>
        <v>31</v>
      </c>
      <c r="Y159" s="47" t="s">
        <v>0</v>
      </c>
      <c r="Z159" s="52" t="str">
        <f t="shared" si="231"/>
        <v>CRO</v>
      </c>
      <c r="AA159" s="73">
        <f t="shared" si="197"/>
        <v>1</v>
      </c>
      <c r="AB159" s="31" t="str">
        <f t="shared" si="232"/>
        <v/>
      </c>
      <c r="AC159" s="66" t="str">
        <f>IF(AB159="","",MAX(AC$12:AC158)+1)</f>
        <v/>
      </c>
      <c r="AD159" s="47" t="s">
        <v>0</v>
      </c>
      <c r="AE159" s="125"/>
      <c r="AF159" s="47" t="s">
        <v>0</v>
      </c>
      <c r="AG159" s="19" t="str">
        <f t="shared" si="233"/>
        <v/>
      </c>
      <c r="AH159" s="47" t="s">
        <v>0</v>
      </c>
      <c r="AI159" s="143" t="str">
        <f t="shared" si="234"/>
        <v>CRO</v>
      </c>
      <c r="AJ159" s="47"/>
      <c r="AK159" s="52" t="str">
        <f t="shared" si="235"/>
        <v>Petar</v>
      </c>
      <c r="AL159" s="31" t="str">
        <f t="shared" si="236"/>
        <v>Strmečki</v>
      </c>
      <c r="AM159" s="73">
        <f t="shared" si="237"/>
        <v>1257</v>
      </c>
      <c r="AN159" s="73" t="str">
        <f t="shared" si="238"/>
        <v/>
      </c>
      <c r="AO159" s="31" t="str">
        <f t="shared" si="198"/>
        <v>Petar</v>
      </c>
      <c r="AP159" s="66" t="str">
        <f t="shared" si="199"/>
        <v>Strmečki</v>
      </c>
      <c r="AQ159" s="47" t="s">
        <v>0</v>
      </c>
      <c r="AR159" s="82" t="str">
        <f t="shared" si="239"/>
        <v/>
      </c>
      <c r="AS159" s="47" t="s">
        <v>0</v>
      </c>
      <c r="AT159" s="19" t="str">
        <f t="shared" si="240"/>
        <v/>
      </c>
      <c r="AU159" s="47" t="s">
        <v>0</v>
      </c>
      <c r="AV159" s="103"/>
      <c r="AW159" s="105"/>
      <c r="AX159" s="47" t="s">
        <v>0</v>
      </c>
      <c r="AY159" s="259" t="str">
        <f t="shared" si="263"/>
        <v/>
      </c>
      <c r="AZ159" s="47" t="s">
        <v>0</v>
      </c>
      <c r="BA159" s="52" t="str">
        <f t="shared" si="200"/>
        <v/>
      </c>
      <c r="BB159" s="73" t="str">
        <f>IF(AV159&amp;AW159="","",MAX(BB$12:BB158)+1)</f>
        <v/>
      </c>
      <c r="BC159" s="272" t="str">
        <f t="shared" si="201"/>
        <v/>
      </c>
      <c r="BD159" s="53" t="str">
        <f>IF(AND(AM159="NEMA",AN159="NEMA",OR(AV159&amp;AW159="",BC159="NEMA")),MAX(BD$12:BD158)+1,"")</f>
        <v/>
      </c>
      <c r="BE159" s="47" t="s">
        <v>0</v>
      </c>
      <c r="BF159" s="52" t="str">
        <f t="shared" si="241"/>
        <v>Petar</v>
      </c>
      <c r="BG159" s="66" t="str">
        <f t="shared" si="242"/>
        <v>Strmečki</v>
      </c>
      <c r="BH159" s="47" t="s">
        <v>0</v>
      </c>
      <c r="BI159" s="52" t="str">
        <f t="shared" si="202"/>
        <v>Maksimir</v>
      </c>
      <c r="BJ159" s="31" t="str">
        <f t="shared" si="203"/>
        <v>OK Maksimir</v>
      </c>
      <c r="BK159" s="73" t="str">
        <f t="shared" si="204"/>
        <v/>
      </c>
      <c r="BL159" s="31" t="str" cm="1">
        <f t="array" ref="BL159">IF(BK159="",""&amp;BJ159,IF(BK159="NEMA",BJ159,INDEX(regKlub_naziv,MATCH(INDEX(regKlub_alias_klubId,BK159),regKlub_id,0))))</f>
        <v>OK Maksimir</v>
      </c>
      <c r="BM159" s="31" t="str" cm="1">
        <f t="array" ref="BM159">IFERROR(""&amp;INDEX(regNatjecatelj_klub,DV159),"")</f>
        <v>OK Maksimir</v>
      </c>
      <c r="BN159" s="73" t="str">
        <f t="shared" si="243"/>
        <v/>
      </c>
      <c r="BO159" s="66" t="str">
        <f t="shared" si="244"/>
        <v>OK Maksimir</v>
      </c>
      <c r="BP159" s="47" t="s">
        <v>0</v>
      </c>
      <c r="BQ159" s="52" t="str">
        <f>IF(X159&lt;&gt;"NEMA","",IF(IFERROR(MATCH(W159,W$12:W158,0),0)&lt;&gt;0,"",W159))</f>
        <v/>
      </c>
      <c r="BR159" s="73" t="str">
        <f t="shared" si="245"/>
        <v/>
      </c>
      <c r="BS159" s="31" t="str">
        <f>IF(OR(BR159="",BR159&lt;&gt;"NEMA"),"",MAX(BS$12:BS158)+1)</f>
        <v/>
      </c>
      <c r="BT159" s="66" t="str">
        <f t="shared" si="246"/>
        <v/>
      </c>
      <c r="BU159" s="47" t="s">
        <v>0</v>
      </c>
      <c r="BV159" s="19" t="str">
        <f t="shared" si="247"/>
        <v/>
      </c>
      <c r="BW159" s="47" t="s">
        <v>0</v>
      </c>
      <c r="BX159" s="82" t="str">
        <f>IF(BK159&lt;&gt;"NEMA","",IF(IFERROR(MATCH(BJ159,BJ$12:BJ158,0),0)&lt;&gt;0,"",BJ159))</f>
        <v/>
      </c>
      <c r="BY159" s="47" t="s">
        <v>0</v>
      </c>
      <c r="BZ159" s="125"/>
      <c r="CA159" s="47" t="s">
        <v>0</v>
      </c>
      <c r="CB159" s="58" t="str">
        <f t="shared" si="248"/>
        <v/>
      </c>
      <c r="CC159" s="31" t="str">
        <f t="shared" si="249"/>
        <v/>
      </c>
      <c r="CD159" s="31" t="str">
        <f>IF(CC159="","",MAX(CD$12:CD158)+1)</f>
        <v/>
      </c>
      <c r="CE159" s="31" t="str">
        <f t="shared" si="205"/>
        <v/>
      </c>
      <c r="CF159" s="31" t="str">
        <f t="shared" si="250"/>
        <v/>
      </c>
      <c r="CG159" s="31" t="str">
        <f>IF(BZ159="","",MAX(CG$12:CG158)+1)</f>
        <v/>
      </c>
      <c r="CH159" s="31" t="str">
        <f t="shared" si="251"/>
        <v/>
      </c>
      <c r="CI159" s="66" t="str">
        <f t="shared" si="252"/>
        <v/>
      </c>
      <c r="CJ159" s="47" t="s">
        <v>0</v>
      </c>
      <c r="CK159" s="73" t="str">
        <f t="shared" si="206"/>
        <v/>
      </c>
      <c r="CL159" s="47"/>
      <c r="CM159" s="19" t="str">
        <f t="shared" si="253"/>
        <v/>
      </c>
      <c r="CN159" s="47" t="s">
        <v>0</v>
      </c>
      <c r="CO159" s="143" t="str">
        <f t="shared" si="254"/>
        <v>OK Maksimir</v>
      </c>
      <c r="CP159" s="47" t="s">
        <v>0</v>
      </c>
      <c r="CQ159" s="58" t="str">
        <f t="shared" si="190"/>
        <v>39:40</v>
      </c>
      <c r="CR159" s="73" t="str">
        <f t="shared" si="191"/>
        <v>0</v>
      </c>
      <c r="CS159" s="229" t="str">
        <f t="shared" si="207"/>
        <v/>
      </c>
      <c r="CT159" s="230">
        <f t="shared" si="192"/>
        <v>2380</v>
      </c>
      <c r="CU159" s="163">
        <f t="shared" si="208"/>
        <v>1</v>
      </c>
      <c r="CV159" s="47" t="s">
        <v>0</v>
      </c>
      <c r="CW159" s="222" t="str">
        <f t="shared" si="255"/>
        <v xml:space="preserve">
</v>
      </c>
      <c r="CX159" s="223">
        <f t="shared" si="256"/>
        <v>6</v>
      </c>
      <c r="CY159" s="47" t="s">
        <v>0</v>
      </c>
      <c r="CZ159" s="47"/>
      <c r="DA159" s="47"/>
      <c r="DB159" s="47"/>
      <c r="DC159" s="47" t="s">
        <v>0</v>
      </c>
      <c r="DD159" s="53" t="str">
        <f t="shared" si="264"/>
        <v/>
      </c>
      <c r="DE159" t="s">
        <v>0</v>
      </c>
      <c r="DF159" s="128" t="str">
        <f t="shared" si="265"/>
        <v>M</v>
      </c>
      <c r="DG159" t="s">
        <v>0</v>
      </c>
      <c r="DH159" s="52" t="str">
        <f t="shared" si="266"/>
        <v/>
      </c>
      <c r="DI159" s="66" t="str">
        <f t="shared" si="267"/>
        <v/>
      </c>
      <c r="DJ159" t="s">
        <v>0</v>
      </c>
      <c r="DK159" s="19" t="str">
        <f t="shared" si="268"/>
        <v/>
      </c>
      <c r="DL159" s="47" t="s">
        <v>0</v>
      </c>
      <c r="DM159" s="19" t="str">
        <f t="shared" si="269"/>
        <v/>
      </c>
      <c r="DN159" s="47" t="s">
        <v>0</v>
      </c>
      <c r="DO159" s="52" t="str">
        <f t="shared" si="209"/>
        <v>Petar – Strmečki – OK Maksimir – M55</v>
      </c>
      <c r="DP159" s="53">
        <f t="shared" si="210"/>
        <v>383</v>
      </c>
      <c r="DQ159" s="47" t="s">
        <v>0</v>
      </c>
      <c r="DR159" s="52" t="str">
        <f t="shared" si="211"/>
        <v>Petar – Strmečki – OK Maksimir</v>
      </c>
      <c r="DS159" s="53">
        <f t="shared" si="212"/>
        <v>383</v>
      </c>
      <c r="DT159" s="47" t="s">
        <v>0</v>
      </c>
      <c r="DU159" s="52" t="str">
        <f t="shared" si="213"/>
        <v>Petar – Strmečki</v>
      </c>
      <c r="DV159" s="53">
        <f t="shared" si="214"/>
        <v>383</v>
      </c>
      <c r="DW159" s="47" t="s">
        <v>0</v>
      </c>
      <c r="DX159" s="58">
        <f t="shared" si="257"/>
        <v>383</v>
      </c>
      <c r="DY159" s="53" cm="1">
        <f t="array" ref="DY159">IF(DX159&lt;&gt;"",INDEX(regNatjecatelj_id,DX159,0),IF(BD159&lt;&gt;"",BD159,""))</f>
        <v>1257</v>
      </c>
      <c r="DZ159" s="47" t="s">
        <v>0</v>
      </c>
      <c r="EA159" s="58" t="str">
        <f t="shared" si="215"/>
        <v>imepre</v>
      </c>
      <c r="EB159" s="73" t="str">
        <f t="shared" si="216"/>
        <v>klu</v>
      </c>
      <c r="EC159" s="73" t="str">
        <f t="shared" si="217"/>
        <v>kat</v>
      </c>
      <c r="ED159" s="73" t="str">
        <f t="shared" si="218"/>
        <v/>
      </c>
      <c r="EE159" s="66" t="str">
        <f t="shared" si="219"/>
        <v>imepre-klu-kat</v>
      </c>
      <c r="EF159" s="47" t="s">
        <v>0</v>
      </c>
      <c r="EG159" s="58">
        <f>IF(AL159="","",MAX(EG$12:EG158)+1)</f>
        <v>324</v>
      </c>
      <c r="EH159" s="73">
        <f t="shared" si="220"/>
        <v>31</v>
      </c>
      <c r="EI159" s="73">
        <f t="shared" si="258"/>
        <v>1257</v>
      </c>
      <c r="EJ159" s="73">
        <f t="shared" si="221"/>
        <v>2380</v>
      </c>
      <c r="EK159" s="73">
        <f t="shared" si="222"/>
        <v>1</v>
      </c>
      <c r="EL159" s="73">
        <f t="shared" si="259"/>
        <v>1</v>
      </c>
      <c r="EM159" s="73">
        <f t="shared" si="260"/>
        <v>1</v>
      </c>
      <c r="EN159" s="73" t="str">
        <f t="shared" si="223"/>
        <v>0</v>
      </c>
      <c r="EO159" s="73" t="str">
        <f t="shared" si="224"/>
        <v/>
      </c>
      <c r="EP159" s="73" t="str">
        <f t="shared" si="225"/>
        <v/>
      </c>
      <c r="EQ159" s="53" t="str">
        <f t="shared" si="226"/>
        <v/>
      </c>
      <c r="ER159" s="47" t="s">
        <v>0</v>
      </c>
      <c r="ES159" s="19" t="str">
        <f t="shared" si="261"/>
        <v>INSERT INTO rezultat(id,stazakategorija_id,imeprezime_id,vrijeme_sec,status_id,registracija,uparivanje_id,originalstatus_id,imeprezimealias_id,klubalias_id,kategorijaalias_id) VALUES (324,31,1257,2380,1,1,1,0,Null,Null,Null);</v>
      </c>
      <c r="ET159" s="47" t="s">
        <v>0</v>
      </c>
      <c r="EU159" s="19" t="str">
        <f t="shared" si="262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9" s="47" t="s">
        <v>0</v>
      </c>
      <c r="EW159" s="180" t="str">
        <f t="shared" si="227"/>
        <v xml:space="preserve">
INSERT INTO rezultat(id,stazakategorija_id,imeprezime_id,vrijeme_sec,status_id,registracija,uparivanje_id,originalstatus_id,imeprezimealias_id,klubalias_id,kategorijaalias_id) VALUES (324,31,1257,2380,1,1,1,0,Null,Null,Null);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9" s="47" t="s">
        <v>0</v>
      </c>
    </row>
    <row r="160" spans="1:154" x14ac:dyDescent="0.25">
      <c r="A160" t="s">
        <v>0</v>
      </c>
      <c r="B160" s="52" t="str">
        <f>IF(csv!F150="","",csv!T150)</f>
        <v>M55</v>
      </c>
      <c r="C160" s="31" t="s">
        <v>0</v>
      </c>
      <c r="D160" s="31" t="str">
        <f>IF(csv!F150="","",csv!F150)</f>
        <v>Saša</v>
      </c>
      <c r="E160" s="31" t="str">
        <f>IF(csv!E150="","",csv!E150)</f>
        <v>Horvat</v>
      </c>
      <c r="F160" s="31" t="s">
        <v>0</v>
      </c>
      <c r="G160" s="73" t="str">
        <f>IF(csv!M150="","",csv!M150)</f>
        <v>41:12</v>
      </c>
      <c r="H160" s="73" t="str">
        <f>IF(csv!N150="","",csv!N150)</f>
        <v>0</v>
      </c>
      <c r="I160" s="31" t="s">
        <v>0</v>
      </c>
      <c r="J160" s="31" t="str">
        <f>IF(csv!P150="","",csv!P150)</f>
        <v>Maksimir</v>
      </c>
      <c r="K160" s="31" t="str">
        <f>IF(csv!Q150="","",csv!Q150)</f>
        <v>OK Maksimir</v>
      </c>
      <c r="L160" s="31" t="s">
        <v>0</v>
      </c>
      <c r="M160" s="66" t="str">
        <f>IF(csv!R150="","",csv!R150)</f>
        <v>CRO</v>
      </c>
      <c r="N160" s="47" t="s">
        <v>0</v>
      </c>
      <c r="O160" s="246" t="str">
        <f t="shared" si="228"/>
        <v>ok</v>
      </c>
      <c r="P160" s="47"/>
      <c r="Q160" s="52" t="str">
        <f t="shared" si="229"/>
        <v>M55</v>
      </c>
      <c r="R160" s="73">
        <f>IF(Q160="","",IF(COUNTIF(Q$12:Q159,Q160)=0,R159+1,R159))</f>
        <v>9</v>
      </c>
      <c r="S160" s="73">
        <f t="shared" si="230"/>
        <v>105</v>
      </c>
      <c r="T160" s="73">
        <f t="shared" si="193"/>
        <v>16</v>
      </c>
      <c r="U160" s="66" t="str">
        <f t="shared" si="194"/>
        <v>M55</v>
      </c>
      <c r="V160" s="47" t="s">
        <v>0</v>
      </c>
      <c r="W160" s="222" t="str">
        <f t="shared" si="195"/>
        <v>M55</v>
      </c>
      <c r="X160" s="223">
        <f t="shared" si="196"/>
        <v>31</v>
      </c>
      <c r="Y160" s="47" t="s">
        <v>0</v>
      </c>
      <c r="Z160" s="52" t="str">
        <f t="shared" si="231"/>
        <v>CRO</v>
      </c>
      <c r="AA160" s="73">
        <f t="shared" si="197"/>
        <v>1</v>
      </c>
      <c r="AB160" s="31" t="str">
        <f t="shared" si="232"/>
        <v/>
      </c>
      <c r="AC160" s="66" t="str">
        <f>IF(AB160="","",MAX(AC$12:AC159)+1)</f>
        <v/>
      </c>
      <c r="AD160" s="47" t="s">
        <v>0</v>
      </c>
      <c r="AE160" s="125"/>
      <c r="AF160" s="47" t="s">
        <v>0</v>
      </c>
      <c r="AG160" s="19" t="str">
        <f t="shared" si="233"/>
        <v/>
      </c>
      <c r="AH160" s="47" t="s">
        <v>0</v>
      </c>
      <c r="AI160" s="143" t="str">
        <f t="shared" si="234"/>
        <v>CRO</v>
      </c>
      <c r="AJ160" s="47"/>
      <c r="AK160" s="52" t="str">
        <f t="shared" si="235"/>
        <v>Saša</v>
      </c>
      <c r="AL160" s="31" t="str">
        <f t="shared" si="236"/>
        <v>Horvat</v>
      </c>
      <c r="AM160" s="73">
        <f t="shared" si="237"/>
        <v>1109</v>
      </c>
      <c r="AN160" s="73" t="str">
        <f t="shared" si="238"/>
        <v/>
      </c>
      <c r="AO160" s="31" t="str">
        <f t="shared" si="198"/>
        <v>Saša</v>
      </c>
      <c r="AP160" s="66" t="str">
        <f t="shared" si="199"/>
        <v>Horvat</v>
      </c>
      <c r="AQ160" s="47" t="s">
        <v>0</v>
      </c>
      <c r="AR160" s="82" t="str">
        <f t="shared" si="239"/>
        <v/>
      </c>
      <c r="AS160" s="47" t="s">
        <v>0</v>
      </c>
      <c r="AT160" s="19" t="str">
        <f t="shared" si="240"/>
        <v/>
      </c>
      <c r="AU160" s="47" t="s">
        <v>0</v>
      </c>
      <c r="AV160" s="103"/>
      <c r="AW160" s="105"/>
      <c r="AX160" s="47" t="s">
        <v>0</v>
      </c>
      <c r="AY160" s="259" t="str">
        <f t="shared" si="263"/>
        <v/>
      </c>
      <c r="AZ160" s="47" t="s">
        <v>0</v>
      </c>
      <c r="BA160" s="52" t="str">
        <f t="shared" si="200"/>
        <v/>
      </c>
      <c r="BB160" s="73" t="str">
        <f>IF(AV160&amp;AW160="","",MAX(BB$12:BB159)+1)</f>
        <v/>
      </c>
      <c r="BC160" s="272" t="str">
        <f t="shared" si="201"/>
        <v/>
      </c>
      <c r="BD160" s="53" t="str">
        <f>IF(AND(AM160="NEMA",AN160="NEMA",OR(AV160&amp;AW160="",BC160="NEMA")),MAX(BD$12:BD159)+1,"")</f>
        <v/>
      </c>
      <c r="BE160" s="47" t="s">
        <v>0</v>
      </c>
      <c r="BF160" s="52" t="str">
        <f t="shared" si="241"/>
        <v>Saša</v>
      </c>
      <c r="BG160" s="66" t="str">
        <f t="shared" si="242"/>
        <v>Horvat</v>
      </c>
      <c r="BH160" s="47" t="s">
        <v>0</v>
      </c>
      <c r="BI160" s="52" t="str">
        <f t="shared" si="202"/>
        <v>Maksimir</v>
      </c>
      <c r="BJ160" s="31" t="str">
        <f t="shared" si="203"/>
        <v>OK Maksimir</v>
      </c>
      <c r="BK160" s="73" t="str">
        <f t="shared" si="204"/>
        <v/>
      </c>
      <c r="BL160" s="31" t="str" cm="1">
        <f t="array" ref="BL160">IF(BK160="",""&amp;BJ160,IF(BK160="NEMA",BJ160,INDEX(regKlub_naziv,MATCH(INDEX(regKlub_alias_klubId,BK160),regKlub_id,0))))</f>
        <v>OK Maksimir</v>
      </c>
      <c r="BM160" s="31" t="str" cm="1">
        <f t="array" ref="BM160">IFERROR(""&amp;INDEX(regNatjecatelj_klub,DV160),"")</f>
        <v>OK Maksimir</v>
      </c>
      <c r="BN160" s="73" t="str">
        <f t="shared" si="243"/>
        <v/>
      </c>
      <c r="BO160" s="66" t="str">
        <f t="shared" si="244"/>
        <v>OK Maksimir</v>
      </c>
      <c r="BP160" s="47" t="s">
        <v>0</v>
      </c>
      <c r="BQ160" s="52" t="str">
        <f>IF(X160&lt;&gt;"NEMA","",IF(IFERROR(MATCH(W160,W$12:W159,0),0)&lt;&gt;0,"",W160))</f>
        <v/>
      </c>
      <c r="BR160" s="73" t="str">
        <f t="shared" si="245"/>
        <v/>
      </c>
      <c r="BS160" s="31" t="str">
        <f>IF(OR(BR160="",BR160&lt;&gt;"NEMA"),"",MAX(BS$12:BS159)+1)</f>
        <v/>
      </c>
      <c r="BT160" s="66" t="str">
        <f t="shared" si="246"/>
        <v/>
      </c>
      <c r="BU160" s="47" t="s">
        <v>0</v>
      </c>
      <c r="BV160" s="19" t="str">
        <f t="shared" si="247"/>
        <v/>
      </c>
      <c r="BW160" s="47" t="s">
        <v>0</v>
      </c>
      <c r="BX160" s="82" t="str">
        <f>IF(BK160&lt;&gt;"NEMA","",IF(IFERROR(MATCH(BJ160,BJ$12:BJ159,0),0)&lt;&gt;0,"",BJ160))</f>
        <v/>
      </c>
      <c r="BY160" s="47" t="s">
        <v>0</v>
      </c>
      <c r="BZ160" s="125"/>
      <c r="CA160" s="47" t="s">
        <v>0</v>
      </c>
      <c r="CB160" s="58" t="str">
        <f t="shared" si="248"/>
        <v/>
      </c>
      <c r="CC160" s="31" t="str">
        <f t="shared" si="249"/>
        <v/>
      </c>
      <c r="CD160" s="31" t="str">
        <f>IF(CC160="","",MAX(CD$12:CD159)+1)</f>
        <v/>
      </c>
      <c r="CE160" s="31" t="str">
        <f t="shared" si="205"/>
        <v/>
      </c>
      <c r="CF160" s="31" t="str">
        <f t="shared" si="250"/>
        <v/>
      </c>
      <c r="CG160" s="31" t="str">
        <f>IF(BZ160="","",MAX(CG$12:CG159)+1)</f>
        <v/>
      </c>
      <c r="CH160" s="31" t="str">
        <f t="shared" si="251"/>
        <v/>
      </c>
      <c r="CI160" s="66" t="str">
        <f t="shared" si="252"/>
        <v/>
      </c>
      <c r="CJ160" s="47" t="s">
        <v>0</v>
      </c>
      <c r="CK160" s="73" t="str">
        <f t="shared" si="206"/>
        <v/>
      </c>
      <c r="CL160" s="47"/>
      <c r="CM160" s="19" t="str">
        <f t="shared" si="253"/>
        <v/>
      </c>
      <c r="CN160" s="47" t="s">
        <v>0</v>
      </c>
      <c r="CO160" s="143" t="str">
        <f t="shared" si="254"/>
        <v>OK Maksimir</v>
      </c>
      <c r="CP160" s="47" t="s">
        <v>0</v>
      </c>
      <c r="CQ160" s="58" t="str">
        <f t="shared" si="190"/>
        <v>41:12</v>
      </c>
      <c r="CR160" s="73" t="str">
        <f t="shared" si="191"/>
        <v>0</v>
      </c>
      <c r="CS160" s="229" t="str">
        <f t="shared" si="207"/>
        <v/>
      </c>
      <c r="CT160" s="230">
        <f t="shared" si="192"/>
        <v>2472</v>
      </c>
      <c r="CU160" s="163">
        <f t="shared" si="208"/>
        <v>1</v>
      </c>
      <c r="CV160" s="47" t="s">
        <v>0</v>
      </c>
      <c r="CW160" s="222" t="str">
        <f t="shared" si="255"/>
        <v xml:space="preserve">
</v>
      </c>
      <c r="CX160" s="223">
        <f t="shared" si="256"/>
        <v>6</v>
      </c>
      <c r="CY160" s="47" t="s">
        <v>0</v>
      </c>
      <c r="CZ160" s="47"/>
      <c r="DA160" s="47"/>
      <c r="DB160" s="47"/>
      <c r="DC160" s="47" t="s">
        <v>0</v>
      </c>
      <c r="DD160" s="53" t="str">
        <f t="shared" si="264"/>
        <v/>
      </c>
      <c r="DE160" t="s">
        <v>0</v>
      </c>
      <c r="DF160" s="128" t="str">
        <f t="shared" si="265"/>
        <v>M</v>
      </c>
      <c r="DG160" t="s">
        <v>0</v>
      </c>
      <c r="DH160" s="52" t="str">
        <f t="shared" si="266"/>
        <v/>
      </c>
      <c r="DI160" s="66" t="str">
        <f t="shared" si="267"/>
        <v/>
      </c>
      <c r="DJ160" t="s">
        <v>0</v>
      </c>
      <c r="DK160" s="19" t="str">
        <f t="shared" si="268"/>
        <v/>
      </c>
      <c r="DL160" s="47" t="s">
        <v>0</v>
      </c>
      <c r="DM160" s="19" t="str">
        <f t="shared" si="269"/>
        <v/>
      </c>
      <c r="DN160" s="47" t="s">
        <v>0</v>
      </c>
      <c r="DO160" s="52" t="str">
        <f t="shared" si="209"/>
        <v>Saša – Horvat – OK Maksimir – M55</v>
      </c>
      <c r="DP160" s="53">
        <f t="shared" si="210"/>
        <v>351</v>
      </c>
      <c r="DQ160" s="47" t="s">
        <v>0</v>
      </c>
      <c r="DR160" s="52" t="str">
        <f t="shared" si="211"/>
        <v>Saša – Horvat – OK Maksimir</v>
      </c>
      <c r="DS160" s="53">
        <f t="shared" si="212"/>
        <v>351</v>
      </c>
      <c r="DT160" s="47" t="s">
        <v>0</v>
      </c>
      <c r="DU160" s="52" t="str">
        <f t="shared" si="213"/>
        <v>Saša – Horvat</v>
      </c>
      <c r="DV160" s="53">
        <f t="shared" si="214"/>
        <v>351</v>
      </c>
      <c r="DW160" s="47" t="s">
        <v>0</v>
      </c>
      <c r="DX160" s="58">
        <f t="shared" si="257"/>
        <v>351</v>
      </c>
      <c r="DY160" s="53" cm="1">
        <f t="array" ref="DY160">IF(DX160&lt;&gt;"",INDEX(regNatjecatelj_id,DX160,0),IF(BD160&lt;&gt;"",BD160,""))</f>
        <v>1109</v>
      </c>
      <c r="DZ160" s="47" t="s">
        <v>0</v>
      </c>
      <c r="EA160" s="58" t="str">
        <f t="shared" si="215"/>
        <v>imepre</v>
      </c>
      <c r="EB160" s="73" t="str">
        <f t="shared" si="216"/>
        <v>klu</v>
      </c>
      <c r="EC160" s="73" t="str">
        <f t="shared" si="217"/>
        <v>kat</v>
      </c>
      <c r="ED160" s="73" t="str">
        <f t="shared" si="218"/>
        <v/>
      </c>
      <c r="EE160" s="66" t="str">
        <f t="shared" si="219"/>
        <v>imepre-klu-kat</v>
      </c>
      <c r="EF160" s="47" t="s">
        <v>0</v>
      </c>
      <c r="EG160" s="58">
        <f>IF(AL160="","",MAX(EG$12:EG159)+1)</f>
        <v>325</v>
      </c>
      <c r="EH160" s="73">
        <f t="shared" si="220"/>
        <v>31</v>
      </c>
      <c r="EI160" s="73">
        <f t="shared" si="258"/>
        <v>1109</v>
      </c>
      <c r="EJ160" s="73">
        <f t="shared" si="221"/>
        <v>2472</v>
      </c>
      <c r="EK160" s="73">
        <f t="shared" si="222"/>
        <v>1</v>
      </c>
      <c r="EL160" s="73">
        <f t="shared" si="259"/>
        <v>1</v>
      </c>
      <c r="EM160" s="73">
        <f t="shared" si="260"/>
        <v>1</v>
      </c>
      <c r="EN160" s="73" t="str">
        <f t="shared" si="223"/>
        <v>0</v>
      </c>
      <c r="EO160" s="73" t="str">
        <f t="shared" si="224"/>
        <v/>
      </c>
      <c r="EP160" s="73" t="str">
        <f t="shared" si="225"/>
        <v/>
      </c>
      <c r="EQ160" s="53" t="str">
        <f t="shared" si="226"/>
        <v/>
      </c>
      <c r="ER160" s="47" t="s">
        <v>0</v>
      </c>
      <c r="ES160" s="19" t="str">
        <f t="shared" si="261"/>
        <v>INSERT INTO rezultat(id,stazakategorija_id,imeprezime_id,vrijeme_sec,status_id,registracija,uparivanje_id,originalstatus_id,imeprezimealias_id,klubalias_id,kategorijaalias_id) VALUES (325,31,1109,2472,1,1,1,0,Null,Null,Null);</v>
      </c>
      <c r="ET160" s="47" t="s">
        <v>0</v>
      </c>
      <c r="EU160" s="19" t="str">
        <f t="shared" si="262"/>
        <v>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0" s="47" t="s">
        <v>0</v>
      </c>
      <c r="EW160" s="180" t="str">
        <f t="shared" si="227"/>
        <v xml:space="preserve">
INSERT INTO rezultat(id,stazakategorija_id,imeprezime_id,vrijeme_sec,status_id,registracija,uparivanje_id,originalstatus_id,imeprezimealias_id,klubalias_id,kategorijaalias_id) VALUES (325,31,1109,2472,1,1,1,0,Null,Null,Null);
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0" s="47" t="s">
        <v>0</v>
      </c>
    </row>
    <row r="161" spans="1:154" x14ac:dyDescent="0.25">
      <c r="A161" t="s">
        <v>0</v>
      </c>
      <c r="B161" s="52" t="str">
        <f>IF(csv!F151="","",csv!T151)</f>
        <v>M55</v>
      </c>
      <c r="C161" s="31" t="s">
        <v>0</v>
      </c>
      <c r="D161" s="31" t="str">
        <f>IF(csv!F151="","",csv!F151)</f>
        <v>Karlo</v>
      </c>
      <c r="E161" s="31" t="str">
        <f>IF(csv!E151="","",csv!E151)</f>
        <v>Gobec</v>
      </c>
      <c r="F161" s="31" t="s">
        <v>0</v>
      </c>
      <c r="G161" s="73" t="str">
        <f>IF(csv!M151="","",csv!M151)</f>
        <v>41:31</v>
      </c>
      <c r="H161" s="73" t="str">
        <f>IF(csv!N151="","",csv!N151)</f>
        <v>0</v>
      </c>
      <c r="I161" s="31" t="s">
        <v>0</v>
      </c>
      <c r="J161" s="31" t="str">
        <f>IF(csv!P151="","",csv!P151)</f>
        <v>Vihor</v>
      </c>
      <c r="K161" s="31" t="str">
        <f>IF(csv!Q151="","",csv!Q151)</f>
        <v>OK Vihor</v>
      </c>
      <c r="L161" s="31" t="s">
        <v>0</v>
      </c>
      <c r="M161" s="66" t="str">
        <f>IF(csv!R151="","",csv!R151)</f>
        <v>CRO</v>
      </c>
      <c r="N161" s="47" t="s">
        <v>0</v>
      </c>
      <c r="O161" s="246" t="str">
        <f t="shared" si="228"/>
        <v>ok</v>
      </c>
      <c r="P161" s="47"/>
      <c r="Q161" s="52" t="str">
        <f t="shared" si="229"/>
        <v>M55</v>
      </c>
      <c r="R161" s="73">
        <f>IF(Q161="","",IF(COUNTIF(Q$12:Q160,Q161)=0,R160+1,R160))</f>
        <v>9</v>
      </c>
      <c r="S161" s="73">
        <f t="shared" si="230"/>
        <v>105</v>
      </c>
      <c r="T161" s="73">
        <f t="shared" si="193"/>
        <v>16</v>
      </c>
      <c r="U161" s="66" t="str">
        <f t="shared" si="194"/>
        <v>M55</v>
      </c>
      <c r="V161" s="47" t="s">
        <v>0</v>
      </c>
      <c r="W161" s="222" t="str">
        <f t="shared" si="195"/>
        <v>M55</v>
      </c>
      <c r="X161" s="223">
        <f t="shared" si="196"/>
        <v>31</v>
      </c>
      <c r="Y161" s="47" t="s">
        <v>0</v>
      </c>
      <c r="Z161" s="52" t="str">
        <f t="shared" si="231"/>
        <v>CRO</v>
      </c>
      <c r="AA161" s="73">
        <f t="shared" si="197"/>
        <v>1</v>
      </c>
      <c r="AB161" s="31" t="str">
        <f t="shared" si="232"/>
        <v/>
      </c>
      <c r="AC161" s="66" t="str">
        <f>IF(AB161="","",MAX(AC$12:AC160)+1)</f>
        <v/>
      </c>
      <c r="AD161" s="47" t="s">
        <v>0</v>
      </c>
      <c r="AE161" s="125"/>
      <c r="AF161" s="47" t="s">
        <v>0</v>
      </c>
      <c r="AG161" s="19" t="str">
        <f t="shared" si="233"/>
        <v/>
      </c>
      <c r="AH161" s="47" t="s">
        <v>0</v>
      </c>
      <c r="AI161" s="143" t="str">
        <f t="shared" si="234"/>
        <v>CRO</v>
      </c>
      <c r="AJ161" s="47"/>
      <c r="AK161" s="52" t="str">
        <f t="shared" si="235"/>
        <v>Karlo</v>
      </c>
      <c r="AL161" s="31" t="str">
        <f t="shared" si="236"/>
        <v>Gobec</v>
      </c>
      <c r="AM161" s="73">
        <f t="shared" si="237"/>
        <v>1494</v>
      </c>
      <c r="AN161" s="73" t="str">
        <f t="shared" si="238"/>
        <v/>
      </c>
      <c r="AO161" s="31" t="str">
        <f t="shared" si="198"/>
        <v>Karlo</v>
      </c>
      <c r="AP161" s="66" t="str">
        <f t="shared" si="199"/>
        <v>Gobec</v>
      </c>
      <c r="AQ161" s="47" t="s">
        <v>0</v>
      </c>
      <c r="AR161" s="82" t="str">
        <f t="shared" si="239"/>
        <v/>
      </c>
      <c r="AS161" s="47" t="s">
        <v>0</v>
      </c>
      <c r="AT161" s="19" t="str">
        <f t="shared" si="240"/>
        <v/>
      </c>
      <c r="AU161" s="47" t="s">
        <v>0</v>
      </c>
      <c r="AV161" s="103"/>
      <c r="AW161" s="105"/>
      <c r="AX161" s="47" t="s">
        <v>0</v>
      </c>
      <c r="AY161" s="259" t="str">
        <f t="shared" si="263"/>
        <v/>
      </c>
      <c r="AZ161" s="47" t="s">
        <v>0</v>
      </c>
      <c r="BA161" s="52" t="str">
        <f t="shared" si="200"/>
        <v/>
      </c>
      <c r="BB161" s="73" t="str">
        <f>IF(AV161&amp;AW161="","",MAX(BB$12:BB160)+1)</f>
        <v/>
      </c>
      <c r="BC161" s="272" t="str">
        <f t="shared" si="201"/>
        <v/>
      </c>
      <c r="BD161" s="53" t="str">
        <f>IF(AND(AM161="NEMA",AN161="NEMA",OR(AV161&amp;AW161="",BC161="NEMA")),MAX(BD$12:BD160)+1,"")</f>
        <v/>
      </c>
      <c r="BE161" s="47" t="s">
        <v>0</v>
      </c>
      <c r="BF161" s="52" t="str">
        <f t="shared" si="241"/>
        <v>Karlo</v>
      </c>
      <c r="BG161" s="66" t="str">
        <f t="shared" si="242"/>
        <v>Gobec</v>
      </c>
      <c r="BH161" s="47" t="s">
        <v>0</v>
      </c>
      <c r="BI161" s="52" t="str">
        <f t="shared" si="202"/>
        <v>Vihor</v>
      </c>
      <c r="BJ161" s="31" t="str">
        <f t="shared" si="203"/>
        <v>OK Vihor</v>
      </c>
      <c r="BK161" s="73" t="str">
        <f t="shared" si="204"/>
        <v/>
      </c>
      <c r="BL161" s="31" t="str" cm="1">
        <f t="array" ref="BL161">IF(BK161="",""&amp;BJ161,IF(BK161="NEMA",BJ161,INDEX(regKlub_naziv,MATCH(INDEX(regKlub_alias_klubId,BK161),regKlub_id,0))))</f>
        <v>OK Vihor</v>
      </c>
      <c r="BM161" s="31" t="str" cm="1">
        <f t="array" ref="BM161">IFERROR(""&amp;INDEX(regNatjecatelj_klub,DV161),"")</f>
        <v>OK Vihor</v>
      </c>
      <c r="BN161" s="73" t="str">
        <f t="shared" si="243"/>
        <v/>
      </c>
      <c r="BO161" s="66" t="str">
        <f t="shared" si="244"/>
        <v>OK Vihor</v>
      </c>
      <c r="BP161" s="47" t="s">
        <v>0</v>
      </c>
      <c r="BQ161" s="52" t="str">
        <f>IF(X161&lt;&gt;"NEMA","",IF(IFERROR(MATCH(W161,W$12:W160,0),0)&lt;&gt;0,"",W161))</f>
        <v/>
      </c>
      <c r="BR161" s="73" t="str">
        <f t="shared" si="245"/>
        <v/>
      </c>
      <c r="BS161" s="31" t="str">
        <f>IF(OR(BR161="",BR161&lt;&gt;"NEMA"),"",MAX(BS$12:BS160)+1)</f>
        <v/>
      </c>
      <c r="BT161" s="66" t="str">
        <f t="shared" si="246"/>
        <v/>
      </c>
      <c r="BU161" s="47" t="s">
        <v>0</v>
      </c>
      <c r="BV161" s="19" t="str">
        <f t="shared" si="247"/>
        <v/>
      </c>
      <c r="BW161" s="47" t="s">
        <v>0</v>
      </c>
      <c r="BX161" s="82" t="str">
        <f>IF(BK161&lt;&gt;"NEMA","",IF(IFERROR(MATCH(BJ161,BJ$12:BJ160,0),0)&lt;&gt;0,"",BJ161))</f>
        <v/>
      </c>
      <c r="BY161" s="47" t="s">
        <v>0</v>
      </c>
      <c r="BZ161" s="125"/>
      <c r="CA161" s="47" t="s">
        <v>0</v>
      </c>
      <c r="CB161" s="58" t="str">
        <f t="shared" si="248"/>
        <v/>
      </c>
      <c r="CC161" s="31" t="str">
        <f t="shared" si="249"/>
        <v/>
      </c>
      <c r="CD161" s="31" t="str">
        <f>IF(CC161="","",MAX(CD$12:CD160)+1)</f>
        <v/>
      </c>
      <c r="CE161" s="31" t="str">
        <f t="shared" si="205"/>
        <v/>
      </c>
      <c r="CF161" s="31" t="str">
        <f t="shared" si="250"/>
        <v/>
      </c>
      <c r="CG161" s="31" t="str">
        <f>IF(BZ161="","",MAX(CG$12:CG160)+1)</f>
        <v/>
      </c>
      <c r="CH161" s="31" t="str">
        <f t="shared" si="251"/>
        <v/>
      </c>
      <c r="CI161" s="66" t="str">
        <f t="shared" si="252"/>
        <v/>
      </c>
      <c r="CJ161" s="47" t="s">
        <v>0</v>
      </c>
      <c r="CK161" s="73" t="str">
        <f t="shared" si="206"/>
        <v/>
      </c>
      <c r="CL161" s="47"/>
      <c r="CM161" s="19" t="str">
        <f t="shared" si="253"/>
        <v/>
      </c>
      <c r="CN161" s="47" t="s">
        <v>0</v>
      </c>
      <c r="CO161" s="143" t="str">
        <f t="shared" si="254"/>
        <v>OK Vihor</v>
      </c>
      <c r="CP161" s="47" t="s">
        <v>0</v>
      </c>
      <c r="CQ161" s="58" t="str">
        <f t="shared" si="190"/>
        <v>41:31</v>
      </c>
      <c r="CR161" s="73" t="str">
        <f t="shared" si="191"/>
        <v>0</v>
      </c>
      <c r="CS161" s="229" t="str">
        <f t="shared" si="207"/>
        <v/>
      </c>
      <c r="CT161" s="230">
        <f t="shared" si="192"/>
        <v>2491</v>
      </c>
      <c r="CU161" s="163">
        <f t="shared" si="208"/>
        <v>1</v>
      </c>
      <c r="CV161" s="47" t="s">
        <v>0</v>
      </c>
      <c r="CW161" s="222" t="str">
        <f t="shared" si="255"/>
        <v xml:space="preserve">
</v>
      </c>
      <c r="CX161" s="223">
        <f t="shared" si="256"/>
        <v>6</v>
      </c>
      <c r="CY161" s="47" t="s">
        <v>0</v>
      </c>
      <c r="CZ161" s="47"/>
      <c r="DA161" s="47"/>
      <c r="DB161" s="47"/>
      <c r="DC161" s="47" t="s">
        <v>0</v>
      </c>
      <c r="DD161" s="53" t="str">
        <f t="shared" si="264"/>
        <v/>
      </c>
      <c r="DE161" t="s">
        <v>0</v>
      </c>
      <c r="DF161" s="128" t="str">
        <f t="shared" si="265"/>
        <v>M</v>
      </c>
      <c r="DG161" t="s">
        <v>0</v>
      </c>
      <c r="DH161" s="52" t="str">
        <f t="shared" si="266"/>
        <v/>
      </c>
      <c r="DI161" s="66" t="str">
        <f t="shared" si="267"/>
        <v/>
      </c>
      <c r="DJ161" t="s">
        <v>0</v>
      </c>
      <c r="DK161" s="19" t="str">
        <f t="shared" si="268"/>
        <v/>
      </c>
      <c r="DL161" s="47" t="s">
        <v>0</v>
      </c>
      <c r="DM161" s="19" t="str">
        <f t="shared" si="269"/>
        <v/>
      </c>
      <c r="DN161" s="47" t="s">
        <v>0</v>
      </c>
      <c r="DO161" s="52" t="str">
        <f t="shared" si="209"/>
        <v>Karlo – Gobec – OK Vihor – M55</v>
      </c>
      <c r="DP161" s="53">
        <f t="shared" si="210"/>
        <v>675</v>
      </c>
      <c r="DQ161" s="47" t="s">
        <v>0</v>
      </c>
      <c r="DR161" s="52" t="str">
        <f t="shared" si="211"/>
        <v>Karlo – Gobec – OK Vihor</v>
      </c>
      <c r="DS161" s="53">
        <f t="shared" si="212"/>
        <v>675</v>
      </c>
      <c r="DT161" s="47" t="s">
        <v>0</v>
      </c>
      <c r="DU161" s="52" t="str">
        <f t="shared" si="213"/>
        <v>Karlo – Gobec</v>
      </c>
      <c r="DV161" s="53">
        <f t="shared" si="214"/>
        <v>675</v>
      </c>
      <c r="DW161" s="47" t="s">
        <v>0</v>
      </c>
      <c r="DX161" s="58">
        <f t="shared" si="257"/>
        <v>675</v>
      </c>
      <c r="DY161" s="53" cm="1">
        <f t="array" ref="DY161">IF(DX161&lt;&gt;"",INDEX(regNatjecatelj_id,DX161,0),IF(BD161&lt;&gt;"",BD161,""))</f>
        <v>1494</v>
      </c>
      <c r="DZ161" s="47" t="s">
        <v>0</v>
      </c>
      <c r="EA161" s="58" t="str">
        <f t="shared" si="215"/>
        <v>imepre</v>
      </c>
      <c r="EB161" s="73" t="str">
        <f t="shared" si="216"/>
        <v>klu</v>
      </c>
      <c r="EC161" s="73" t="str">
        <f t="shared" si="217"/>
        <v>kat</v>
      </c>
      <c r="ED161" s="73" t="str">
        <f t="shared" si="218"/>
        <v/>
      </c>
      <c r="EE161" s="66" t="str">
        <f t="shared" si="219"/>
        <v>imepre-klu-kat</v>
      </c>
      <c r="EF161" s="47" t="s">
        <v>0</v>
      </c>
      <c r="EG161" s="58">
        <f>IF(AL161="","",MAX(EG$12:EG160)+1)</f>
        <v>326</v>
      </c>
      <c r="EH161" s="73">
        <f t="shared" si="220"/>
        <v>31</v>
      </c>
      <c r="EI161" s="73">
        <f t="shared" si="258"/>
        <v>1494</v>
      </c>
      <c r="EJ161" s="73">
        <f t="shared" si="221"/>
        <v>2491</v>
      </c>
      <c r="EK161" s="73">
        <f t="shared" si="222"/>
        <v>1</v>
      </c>
      <c r="EL161" s="73">
        <f t="shared" si="259"/>
        <v>1</v>
      </c>
      <c r="EM161" s="73">
        <f t="shared" si="260"/>
        <v>1</v>
      </c>
      <c r="EN161" s="73" t="str">
        <f t="shared" si="223"/>
        <v>0</v>
      </c>
      <c r="EO161" s="73" t="str">
        <f t="shared" si="224"/>
        <v/>
      </c>
      <c r="EP161" s="73" t="str">
        <f t="shared" si="225"/>
        <v/>
      </c>
      <c r="EQ161" s="53" t="str">
        <f t="shared" si="226"/>
        <v/>
      </c>
      <c r="ER161" s="47" t="s">
        <v>0</v>
      </c>
      <c r="ES161" s="19" t="str">
        <f t="shared" si="261"/>
        <v>INSERT INTO rezultat(id,stazakategorija_id,imeprezime_id,vrijeme_sec,status_id,registracija,uparivanje_id,originalstatus_id,imeprezimealias_id,klubalias_id,kategorijaalias_id) VALUES (326,31,1494,2491,1,1,1,0,Null,Null,Null);</v>
      </c>
      <c r="ET161" s="47" t="s">
        <v>0</v>
      </c>
      <c r="EU161" s="19" t="str">
        <f t="shared" si="262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1" s="47" t="s">
        <v>0</v>
      </c>
      <c r="EW161" s="180" t="str">
        <f t="shared" si="227"/>
        <v xml:space="preserve">
INSERT INTO rezultat(id,stazakategorija_id,imeprezime_id,vrijeme_sec,status_id,registracija,uparivanje_id,originalstatus_id,imeprezimealias_id,klubalias_id,kategorijaalias_id) VALUES (326,31,1494,2491,1,1,1,0,Null,Null,Null);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1" s="47" t="s">
        <v>0</v>
      </c>
    </row>
    <row r="162" spans="1:154" x14ac:dyDescent="0.25">
      <c r="A162" t="s">
        <v>0</v>
      </c>
      <c r="B162" s="52" t="str">
        <f>IF(csv!F152="","",csv!T152)</f>
        <v>M55</v>
      </c>
      <c r="C162" s="31" t="s">
        <v>0</v>
      </c>
      <c r="D162" s="31" t="str">
        <f>IF(csv!F152="","",csv!F152)</f>
        <v>Mile</v>
      </c>
      <c r="E162" s="31" t="str">
        <f>IF(csv!E152="","",csv!E152)</f>
        <v>Mioković</v>
      </c>
      <c r="F162" s="31" t="s">
        <v>0</v>
      </c>
      <c r="G162" s="73" t="str">
        <f>IF(csv!M152="","",csv!M152)</f>
        <v>42:22</v>
      </c>
      <c r="H162" s="73" t="str">
        <f>IF(csv!N152="","",csv!N152)</f>
        <v>0</v>
      </c>
      <c r="I162" s="31" t="s">
        <v>0</v>
      </c>
      <c r="J162" s="31" t="str">
        <f>IF(csv!P152="","",csv!P152)</f>
        <v>KAP</v>
      </c>
      <c r="K162" s="31" t="str">
        <f>IF(csv!Q152="","",csv!Q152)</f>
        <v>OK Kapela</v>
      </c>
      <c r="L162" s="31" t="s">
        <v>0</v>
      </c>
      <c r="M162" s="66" t="str">
        <f>IF(csv!R152="","",csv!R152)</f>
        <v>CRO</v>
      </c>
      <c r="N162" s="47" t="s">
        <v>0</v>
      </c>
      <c r="O162" s="246" t="str">
        <f t="shared" si="228"/>
        <v>ok</v>
      </c>
      <c r="P162" s="47"/>
      <c r="Q162" s="52" t="str">
        <f t="shared" si="229"/>
        <v>M55</v>
      </c>
      <c r="R162" s="73">
        <f>IF(Q162="","",IF(COUNTIF(Q$12:Q161,Q162)=0,R161+1,R161))</f>
        <v>9</v>
      </c>
      <c r="S162" s="73">
        <f t="shared" si="230"/>
        <v>105</v>
      </c>
      <c r="T162" s="73">
        <f t="shared" si="193"/>
        <v>16</v>
      </c>
      <c r="U162" s="66" t="str">
        <f t="shared" si="194"/>
        <v>M55</v>
      </c>
      <c r="V162" s="47" t="s">
        <v>0</v>
      </c>
      <c r="W162" s="222" t="str">
        <f t="shared" si="195"/>
        <v>M55</v>
      </c>
      <c r="X162" s="223">
        <f t="shared" si="196"/>
        <v>31</v>
      </c>
      <c r="Y162" s="47" t="s">
        <v>0</v>
      </c>
      <c r="Z162" s="52" t="str">
        <f t="shared" si="231"/>
        <v>CRO</v>
      </c>
      <c r="AA162" s="73">
        <f t="shared" si="197"/>
        <v>1</v>
      </c>
      <c r="AB162" s="31" t="str">
        <f t="shared" si="232"/>
        <v/>
      </c>
      <c r="AC162" s="66" t="str">
        <f>IF(AB162="","",MAX(AC$12:AC161)+1)</f>
        <v/>
      </c>
      <c r="AD162" s="47" t="s">
        <v>0</v>
      </c>
      <c r="AE162" s="125"/>
      <c r="AF162" s="47" t="s">
        <v>0</v>
      </c>
      <c r="AG162" s="19" t="str">
        <f t="shared" si="233"/>
        <v/>
      </c>
      <c r="AH162" s="47" t="s">
        <v>0</v>
      </c>
      <c r="AI162" s="143" t="str">
        <f t="shared" si="234"/>
        <v>CRO</v>
      </c>
      <c r="AJ162" s="47"/>
      <c r="AK162" s="52" t="str">
        <f t="shared" si="235"/>
        <v>Mile</v>
      </c>
      <c r="AL162" s="31" t="str">
        <f t="shared" si="236"/>
        <v>Mioković</v>
      </c>
      <c r="AM162" s="73">
        <f t="shared" si="237"/>
        <v>1430</v>
      </c>
      <c r="AN162" s="73" t="str">
        <f t="shared" si="238"/>
        <v/>
      </c>
      <c r="AO162" s="31" t="str">
        <f t="shared" si="198"/>
        <v>Mile</v>
      </c>
      <c r="AP162" s="66" t="str">
        <f t="shared" si="199"/>
        <v>Mioković</v>
      </c>
      <c r="AQ162" s="47" t="s">
        <v>0</v>
      </c>
      <c r="AR162" s="82" t="str">
        <f t="shared" si="239"/>
        <v/>
      </c>
      <c r="AS162" s="47" t="s">
        <v>0</v>
      </c>
      <c r="AT162" s="19" t="str">
        <f t="shared" si="240"/>
        <v/>
      </c>
      <c r="AU162" s="47" t="s">
        <v>0</v>
      </c>
      <c r="AV162" s="103"/>
      <c r="AW162" s="105"/>
      <c r="AX162" s="47" t="s">
        <v>0</v>
      </c>
      <c r="AY162" s="259" t="str">
        <f t="shared" si="263"/>
        <v/>
      </c>
      <c r="AZ162" s="47" t="s">
        <v>0</v>
      </c>
      <c r="BA162" s="52" t="str">
        <f t="shared" si="200"/>
        <v/>
      </c>
      <c r="BB162" s="73" t="str">
        <f>IF(AV162&amp;AW162="","",MAX(BB$12:BB161)+1)</f>
        <v/>
      </c>
      <c r="BC162" s="272" t="str">
        <f t="shared" si="201"/>
        <v/>
      </c>
      <c r="BD162" s="53" t="str">
        <f>IF(AND(AM162="NEMA",AN162="NEMA",OR(AV162&amp;AW162="",BC162="NEMA")),MAX(BD$12:BD161)+1,"")</f>
        <v/>
      </c>
      <c r="BE162" s="47" t="s">
        <v>0</v>
      </c>
      <c r="BF162" s="52" t="str">
        <f t="shared" si="241"/>
        <v>Mile</v>
      </c>
      <c r="BG162" s="66" t="str">
        <f t="shared" si="242"/>
        <v>Mioković</v>
      </c>
      <c r="BH162" s="47" t="s">
        <v>0</v>
      </c>
      <c r="BI162" s="52" t="str">
        <f t="shared" si="202"/>
        <v>KAP</v>
      </c>
      <c r="BJ162" s="31" t="str">
        <f t="shared" si="203"/>
        <v>OK Kapela</v>
      </c>
      <c r="BK162" s="73" t="str">
        <f t="shared" si="204"/>
        <v/>
      </c>
      <c r="BL162" s="31" t="str" cm="1">
        <f t="array" ref="BL162">IF(BK162="",""&amp;BJ162,IF(BK162="NEMA",BJ162,INDEX(regKlub_naziv,MATCH(INDEX(regKlub_alias_klubId,BK162),regKlub_id,0))))</f>
        <v>OK Kapela</v>
      </c>
      <c r="BM162" s="31" t="str" cm="1">
        <f t="array" ref="BM162">IFERROR(""&amp;INDEX(regNatjecatelj_klub,DV162),"")</f>
        <v>OK Kapela</v>
      </c>
      <c r="BN162" s="73" t="str">
        <f t="shared" si="243"/>
        <v/>
      </c>
      <c r="BO162" s="66" t="str">
        <f t="shared" si="244"/>
        <v>OK Kapela</v>
      </c>
      <c r="BP162" s="47" t="s">
        <v>0</v>
      </c>
      <c r="BQ162" s="52" t="str">
        <f>IF(X162&lt;&gt;"NEMA","",IF(IFERROR(MATCH(W162,W$12:W161,0),0)&lt;&gt;0,"",W162))</f>
        <v/>
      </c>
      <c r="BR162" s="73" t="str">
        <f t="shared" si="245"/>
        <v/>
      </c>
      <c r="BS162" s="31" t="str">
        <f>IF(OR(BR162="",BR162&lt;&gt;"NEMA"),"",MAX(BS$12:BS161)+1)</f>
        <v/>
      </c>
      <c r="BT162" s="66" t="str">
        <f t="shared" si="246"/>
        <v/>
      </c>
      <c r="BU162" s="47" t="s">
        <v>0</v>
      </c>
      <c r="BV162" s="19" t="str">
        <f t="shared" si="247"/>
        <v/>
      </c>
      <c r="BW162" s="47" t="s">
        <v>0</v>
      </c>
      <c r="BX162" s="82" t="str">
        <f>IF(BK162&lt;&gt;"NEMA","",IF(IFERROR(MATCH(BJ162,BJ$12:BJ161,0),0)&lt;&gt;0,"",BJ162))</f>
        <v/>
      </c>
      <c r="BY162" s="47" t="s">
        <v>0</v>
      </c>
      <c r="BZ162" s="125"/>
      <c r="CA162" s="47" t="s">
        <v>0</v>
      </c>
      <c r="CB162" s="58" t="str">
        <f t="shared" si="248"/>
        <v/>
      </c>
      <c r="CC162" s="31" t="str">
        <f t="shared" si="249"/>
        <v/>
      </c>
      <c r="CD162" s="31" t="str">
        <f>IF(CC162="","",MAX(CD$12:CD161)+1)</f>
        <v/>
      </c>
      <c r="CE162" s="31" t="str">
        <f t="shared" si="205"/>
        <v/>
      </c>
      <c r="CF162" s="31" t="str">
        <f t="shared" si="250"/>
        <v/>
      </c>
      <c r="CG162" s="31" t="str">
        <f>IF(BZ162="","",MAX(CG$12:CG161)+1)</f>
        <v/>
      </c>
      <c r="CH162" s="31" t="str">
        <f t="shared" si="251"/>
        <v/>
      </c>
      <c r="CI162" s="66" t="str">
        <f t="shared" si="252"/>
        <v/>
      </c>
      <c r="CJ162" s="47" t="s">
        <v>0</v>
      </c>
      <c r="CK162" s="73" t="str">
        <f t="shared" si="206"/>
        <v/>
      </c>
      <c r="CL162" s="47"/>
      <c r="CM162" s="19" t="str">
        <f t="shared" si="253"/>
        <v/>
      </c>
      <c r="CN162" s="47" t="s">
        <v>0</v>
      </c>
      <c r="CO162" s="143" t="str">
        <f t="shared" si="254"/>
        <v>OK Kapela</v>
      </c>
      <c r="CP162" s="47" t="s">
        <v>0</v>
      </c>
      <c r="CQ162" s="58" t="str">
        <f t="shared" si="190"/>
        <v>42:22</v>
      </c>
      <c r="CR162" s="73" t="str">
        <f t="shared" si="191"/>
        <v>0</v>
      </c>
      <c r="CS162" s="229" t="str">
        <f t="shared" si="207"/>
        <v/>
      </c>
      <c r="CT162" s="230">
        <f t="shared" si="192"/>
        <v>2542</v>
      </c>
      <c r="CU162" s="163">
        <f t="shared" si="208"/>
        <v>1</v>
      </c>
      <c r="CV162" s="47" t="s">
        <v>0</v>
      </c>
      <c r="CW162" s="222" t="str">
        <f t="shared" si="255"/>
        <v xml:space="preserve">
</v>
      </c>
      <c r="CX162" s="223">
        <f t="shared" si="256"/>
        <v>6</v>
      </c>
      <c r="CY162" s="47" t="s">
        <v>0</v>
      </c>
      <c r="CZ162" s="47"/>
      <c r="DA162" s="47"/>
      <c r="DB162" s="47"/>
      <c r="DC162" s="47" t="s">
        <v>0</v>
      </c>
      <c r="DD162" s="53" t="str">
        <f t="shared" si="264"/>
        <v/>
      </c>
      <c r="DE162" t="s">
        <v>0</v>
      </c>
      <c r="DF162" s="128" t="str">
        <f t="shared" si="265"/>
        <v>M</v>
      </c>
      <c r="DG162" t="s">
        <v>0</v>
      </c>
      <c r="DH162" s="52" t="str">
        <f t="shared" si="266"/>
        <v/>
      </c>
      <c r="DI162" s="66" t="str">
        <f t="shared" si="267"/>
        <v/>
      </c>
      <c r="DJ162" t="s">
        <v>0</v>
      </c>
      <c r="DK162" s="19" t="str">
        <f t="shared" si="268"/>
        <v/>
      </c>
      <c r="DL162" s="47" t="s">
        <v>0</v>
      </c>
      <c r="DM162" s="19" t="str">
        <f t="shared" si="269"/>
        <v/>
      </c>
      <c r="DN162" s="47" t="s">
        <v>0</v>
      </c>
      <c r="DO162" s="52" t="str">
        <f t="shared" si="209"/>
        <v>Mile – Mioković – OK Kapela – M55</v>
      </c>
      <c r="DP162" s="53">
        <f t="shared" si="210"/>
        <v>285</v>
      </c>
      <c r="DQ162" s="47" t="s">
        <v>0</v>
      </c>
      <c r="DR162" s="52" t="str">
        <f t="shared" si="211"/>
        <v>Mile – Mioković – OK Kapela</v>
      </c>
      <c r="DS162" s="53">
        <f t="shared" si="212"/>
        <v>285</v>
      </c>
      <c r="DT162" s="47" t="s">
        <v>0</v>
      </c>
      <c r="DU162" s="52" t="str">
        <f t="shared" si="213"/>
        <v>Mile – Mioković</v>
      </c>
      <c r="DV162" s="53">
        <f t="shared" si="214"/>
        <v>285</v>
      </c>
      <c r="DW162" s="47" t="s">
        <v>0</v>
      </c>
      <c r="DX162" s="58">
        <f t="shared" si="257"/>
        <v>285</v>
      </c>
      <c r="DY162" s="53" cm="1">
        <f t="array" ref="DY162">IF(DX162&lt;&gt;"",INDEX(regNatjecatelj_id,DX162,0),IF(BD162&lt;&gt;"",BD162,""))</f>
        <v>1430</v>
      </c>
      <c r="DZ162" s="47" t="s">
        <v>0</v>
      </c>
      <c r="EA162" s="58" t="str">
        <f t="shared" si="215"/>
        <v>imepre</v>
      </c>
      <c r="EB162" s="73" t="str">
        <f t="shared" si="216"/>
        <v>klu</v>
      </c>
      <c r="EC162" s="73" t="str">
        <f t="shared" si="217"/>
        <v>kat</v>
      </c>
      <c r="ED162" s="73" t="str">
        <f t="shared" si="218"/>
        <v/>
      </c>
      <c r="EE162" s="66" t="str">
        <f t="shared" si="219"/>
        <v>imepre-klu-kat</v>
      </c>
      <c r="EF162" s="47" t="s">
        <v>0</v>
      </c>
      <c r="EG162" s="58">
        <f>IF(AL162="","",MAX(EG$12:EG161)+1)</f>
        <v>327</v>
      </c>
      <c r="EH162" s="73">
        <f t="shared" si="220"/>
        <v>31</v>
      </c>
      <c r="EI162" s="73">
        <f t="shared" si="258"/>
        <v>1430</v>
      </c>
      <c r="EJ162" s="73">
        <f t="shared" si="221"/>
        <v>2542</v>
      </c>
      <c r="EK162" s="73">
        <f t="shared" si="222"/>
        <v>1</v>
      </c>
      <c r="EL162" s="73">
        <f t="shared" si="259"/>
        <v>1</v>
      </c>
      <c r="EM162" s="73">
        <f t="shared" si="260"/>
        <v>1</v>
      </c>
      <c r="EN162" s="73" t="str">
        <f t="shared" si="223"/>
        <v>0</v>
      </c>
      <c r="EO162" s="73" t="str">
        <f t="shared" si="224"/>
        <v/>
      </c>
      <c r="EP162" s="73" t="str">
        <f t="shared" si="225"/>
        <v/>
      </c>
      <c r="EQ162" s="53" t="str">
        <f t="shared" si="226"/>
        <v/>
      </c>
      <c r="ER162" s="47" t="s">
        <v>0</v>
      </c>
      <c r="ES162" s="19" t="str">
        <f t="shared" si="261"/>
        <v>INSERT INTO rezultat(id,stazakategorija_id,imeprezime_id,vrijeme_sec,status_id,registracija,uparivanje_id,originalstatus_id,imeprezimealias_id,klubalias_id,kategorijaalias_id) VALUES (327,31,1430,2542,1,1,1,0,Null,Null,Null);</v>
      </c>
      <c r="ET162" s="47" t="s">
        <v>0</v>
      </c>
      <c r="EU162" s="19" t="str">
        <f t="shared" si="262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2" s="47" t="s">
        <v>0</v>
      </c>
      <c r="EW162" s="180" t="str">
        <f t="shared" si="227"/>
        <v xml:space="preserve">
INSERT INTO rezultat(id,stazakategorija_id,imeprezime_id,vrijeme_sec,status_id,registracija,uparivanje_id,originalstatus_id,imeprezimealias_id,klubalias_id,kategorijaalias_id) VALUES (327,31,1430,2542,1,1,1,0,Null,Null,Null);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2" s="47" t="s">
        <v>0</v>
      </c>
    </row>
    <row r="163" spans="1:154" x14ac:dyDescent="0.25">
      <c r="A163" t="s">
        <v>0</v>
      </c>
      <c r="B163" s="52" t="str">
        <f>IF(csv!F153="","",csv!T153)</f>
        <v>M55</v>
      </c>
      <c r="C163" s="31" t="s">
        <v>0</v>
      </c>
      <c r="D163" s="31" t="str">
        <f>IF(csv!F153="","",csv!F153)</f>
        <v>Krešo</v>
      </c>
      <c r="E163" s="31" t="str">
        <f>IF(csv!E153="","",csv!E153)</f>
        <v>Špoljar</v>
      </c>
      <c r="F163" s="31" t="s">
        <v>0</v>
      </c>
      <c r="G163" s="73" t="str">
        <f>IF(csv!M153="","",csv!M153)</f>
        <v>45:13</v>
      </c>
      <c r="H163" s="73" t="str">
        <f>IF(csv!N153="","",csv!N153)</f>
        <v>0</v>
      </c>
      <c r="I163" s="31" t="s">
        <v>0</v>
      </c>
      <c r="J163" s="31" t="str">
        <f>IF(csv!P153="","",csv!P153)</f>
        <v>KAP</v>
      </c>
      <c r="K163" s="31" t="str">
        <f>IF(csv!Q153="","",csv!Q153)</f>
        <v>OK Kapela</v>
      </c>
      <c r="L163" s="31" t="s">
        <v>0</v>
      </c>
      <c r="M163" s="66" t="str">
        <f>IF(csv!R153="","",csv!R153)</f>
        <v>CRO</v>
      </c>
      <c r="N163" s="47" t="s">
        <v>0</v>
      </c>
      <c r="O163" s="246" t="str">
        <f t="shared" si="228"/>
        <v>ok</v>
      </c>
      <c r="P163" s="47"/>
      <c r="Q163" s="52" t="str">
        <f t="shared" si="229"/>
        <v>M55</v>
      </c>
      <c r="R163" s="73">
        <f>IF(Q163="","",IF(COUNTIF(Q$12:Q162,Q163)=0,R162+1,R162))</f>
        <v>9</v>
      </c>
      <c r="S163" s="73">
        <f t="shared" si="230"/>
        <v>105</v>
      </c>
      <c r="T163" s="73">
        <f t="shared" si="193"/>
        <v>16</v>
      </c>
      <c r="U163" s="66" t="str">
        <f t="shared" si="194"/>
        <v>M55</v>
      </c>
      <c r="V163" s="47" t="s">
        <v>0</v>
      </c>
      <c r="W163" s="222" t="str">
        <f t="shared" si="195"/>
        <v>M55</v>
      </c>
      <c r="X163" s="223">
        <f t="shared" si="196"/>
        <v>31</v>
      </c>
      <c r="Y163" s="47" t="s">
        <v>0</v>
      </c>
      <c r="Z163" s="52" t="str">
        <f t="shared" si="231"/>
        <v>CRO</v>
      </c>
      <c r="AA163" s="73">
        <f t="shared" si="197"/>
        <v>1</v>
      </c>
      <c r="AB163" s="31" t="str">
        <f t="shared" si="232"/>
        <v/>
      </c>
      <c r="AC163" s="66" t="str">
        <f>IF(AB163="","",MAX(AC$12:AC162)+1)</f>
        <v/>
      </c>
      <c r="AD163" s="47" t="s">
        <v>0</v>
      </c>
      <c r="AE163" s="125"/>
      <c r="AF163" s="47" t="s">
        <v>0</v>
      </c>
      <c r="AG163" s="19" t="str">
        <f t="shared" si="233"/>
        <v/>
      </c>
      <c r="AH163" s="47" t="s">
        <v>0</v>
      </c>
      <c r="AI163" s="143" t="str">
        <f t="shared" si="234"/>
        <v>CRO</v>
      </c>
      <c r="AJ163" s="47"/>
      <c r="AK163" s="52" t="str">
        <f t="shared" si="235"/>
        <v>Krešo</v>
      </c>
      <c r="AL163" s="31" t="str">
        <f t="shared" si="236"/>
        <v>Špoljar</v>
      </c>
      <c r="AM163" s="73">
        <f t="shared" si="237"/>
        <v>1358</v>
      </c>
      <c r="AN163" s="73" t="str">
        <f t="shared" si="238"/>
        <v/>
      </c>
      <c r="AO163" s="31" t="str">
        <f t="shared" si="198"/>
        <v>Krešo</v>
      </c>
      <c r="AP163" s="66" t="str">
        <f t="shared" si="199"/>
        <v>Špoljar</v>
      </c>
      <c r="AQ163" s="47" t="s">
        <v>0</v>
      </c>
      <c r="AR163" s="82" t="str">
        <f t="shared" si="239"/>
        <v/>
      </c>
      <c r="AS163" s="47" t="s">
        <v>0</v>
      </c>
      <c r="AT163" s="19" t="str">
        <f t="shared" si="240"/>
        <v/>
      </c>
      <c r="AU163" s="47" t="s">
        <v>0</v>
      </c>
      <c r="AV163" s="103"/>
      <c r="AW163" s="105"/>
      <c r="AX163" s="47" t="s">
        <v>0</v>
      </c>
      <c r="AY163" s="259" t="str">
        <f t="shared" si="263"/>
        <v/>
      </c>
      <c r="AZ163" s="47" t="s">
        <v>0</v>
      </c>
      <c r="BA163" s="52" t="str">
        <f t="shared" si="200"/>
        <v/>
      </c>
      <c r="BB163" s="73" t="str">
        <f>IF(AV163&amp;AW163="","",MAX(BB$12:BB162)+1)</f>
        <v/>
      </c>
      <c r="BC163" s="272" t="str">
        <f t="shared" si="201"/>
        <v/>
      </c>
      <c r="BD163" s="53" t="str">
        <f>IF(AND(AM163="NEMA",AN163="NEMA",OR(AV163&amp;AW163="",BC163="NEMA")),MAX(BD$12:BD162)+1,"")</f>
        <v/>
      </c>
      <c r="BE163" s="47" t="s">
        <v>0</v>
      </c>
      <c r="BF163" s="52" t="str">
        <f t="shared" si="241"/>
        <v>Krešo</v>
      </c>
      <c r="BG163" s="66" t="str">
        <f t="shared" si="242"/>
        <v>Špoljar</v>
      </c>
      <c r="BH163" s="47" t="s">
        <v>0</v>
      </c>
      <c r="BI163" s="52" t="str">
        <f t="shared" si="202"/>
        <v>KAP</v>
      </c>
      <c r="BJ163" s="31" t="str">
        <f t="shared" si="203"/>
        <v>OK Kapela</v>
      </c>
      <c r="BK163" s="73" t="str">
        <f t="shared" si="204"/>
        <v/>
      </c>
      <c r="BL163" s="31" t="str" cm="1">
        <f t="array" ref="BL163">IF(BK163="",""&amp;BJ163,IF(BK163="NEMA",BJ163,INDEX(regKlub_naziv,MATCH(INDEX(regKlub_alias_klubId,BK163),regKlub_id,0))))</f>
        <v>OK Kapela</v>
      </c>
      <c r="BM163" s="31" t="str" cm="1">
        <f t="array" ref="BM163">IFERROR(""&amp;INDEX(regNatjecatelj_klub,DV163),"")</f>
        <v>OK Kapela</v>
      </c>
      <c r="BN163" s="73" t="str">
        <f t="shared" si="243"/>
        <v/>
      </c>
      <c r="BO163" s="66" t="str">
        <f t="shared" si="244"/>
        <v>OK Kapela</v>
      </c>
      <c r="BP163" s="47" t="s">
        <v>0</v>
      </c>
      <c r="BQ163" s="52" t="str">
        <f>IF(X163&lt;&gt;"NEMA","",IF(IFERROR(MATCH(W163,W$12:W162,0),0)&lt;&gt;0,"",W163))</f>
        <v/>
      </c>
      <c r="BR163" s="73" t="str">
        <f t="shared" si="245"/>
        <v/>
      </c>
      <c r="BS163" s="31" t="str">
        <f>IF(OR(BR163="",BR163&lt;&gt;"NEMA"),"",MAX(BS$12:BS162)+1)</f>
        <v/>
      </c>
      <c r="BT163" s="66" t="str">
        <f t="shared" si="246"/>
        <v/>
      </c>
      <c r="BU163" s="47" t="s">
        <v>0</v>
      </c>
      <c r="BV163" s="19" t="str">
        <f t="shared" si="247"/>
        <v/>
      </c>
      <c r="BW163" s="47" t="s">
        <v>0</v>
      </c>
      <c r="BX163" s="82" t="str">
        <f>IF(BK163&lt;&gt;"NEMA","",IF(IFERROR(MATCH(BJ163,BJ$12:BJ162,0),0)&lt;&gt;0,"",BJ163))</f>
        <v/>
      </c>
      <c r="BY163" s="47" t="s">
        <v>0</v>
      </c>
      <c r="BZ163" s="125"/>
      <c r="CA163" s="47" t="s">
        <v>0</v>
      </c>
      <c r="CB163" s="58" t="str">
        <f t="shared" si="248"/>
        <v/>
      </c>
      <c r="CC163" s="31" t="str">
        <f t="shared" si="249"/>
        <v/>
      </c>
      <c r="CD163" s="31" t="str">
        <f>IF(CC163="","",MAX(CD$12:CD162)+1)</f>
        <v/>
      </c>
      <c r="CE163" s="31" t="str">
        <f t="shared" si="205"/>
        <v/>
      </c>
      <c r="CF163" s="31" t="str">
        <f t="shared" si="250"/>
        <v/>
      </c>
      <c r="CG163" s="31" t="str">
        <f>IF(BZ163="","",MAX(CG$12:CG162)+1)</f>
        <v/>
      </c>
      <c r="CH163" s="31" t="str">
        <f t="shared" si="251"/>
        <v/>
      </c>
      <c r="CI163" s="66" t="str">
        <f t="shared" si="252"/>
        <v/>
      </c>
      <c r="CJ163" s="47" t="s">
        <v>0</v>
      </c>
      <c r="CK163" s="73" t="str">
        <f t="shared" si="206"/>
        <v/>
      </c>
      <c r="CL163" s="47"/>
      <c r="CM163" s="19" t="str">
        <f t="shared" si="253"/>
        <v/>
      </c>
      <c r="CN163" s="47" t="s">
        <v>0</v>
      </c>
      <c r="CO163" s="143" t="str">
        <f t="shared" si="254"/>
        <v>OK Kapela</v>
      </c>
      <c r="CP163" s="47" t="s">
        <v>0</v>
      </c>
      <c r="CQ163" s="58" t="str">
        <f t="shared" si="190"/>
        <v>45:13</v>
      </c>
      <c r="CR163" s="73" t="str">
        <f t="shared" si="191"/>
        <v>0</v>
      </c>
      <c r="CS163" s="229" t="str">
        <f t="shared" si="207"/>
        <v/>
      </c>
      <c r="CT163" s="230">
        <f t="shared" si="192"/>
        <v>2713</v>
      </c>
      <c r="CU163" s="163">
        <f t="shared" si="208"/>
        <v>1</v>
      </c>
      <c r="CV163" s="47" t="s">
        <v>0</v>
      </c>
      <c r="CW163" s="222" t="str">
        <f t="shared" si="255"/>
        <v xml:space="preserve">
</v>
      </c>
      <c r="CX163" s="223">
        <f t="shared" si="256"/>
        <v>6</v>
      </c>
      <c r="CY163" s="47" t="s">
        <v>0</v>
      </c>
      <c r="CZ163" s="47"/>
      <c r="DA163" s="47"/>
      <c r="DB163" s="47"/>
      <c r="DC163" s="47" t="s">
        <v>0</v>
      </c>
      <c r="DD163" s="53" t="str">
        <f t="shared" si="264"/>
        <v/>
      </c>
      <c r="DE163" t="s">
        <v>0</v>
      </c>
      <c r="DF163" s="128" t="str">
        <f t="shared" si="265"/>
        <v>M</v>
      </c>
      <c r="DG163" t="s">
        <v>0</v>
      </c>
      <c r="DH163" s="52" t="str">
        <f t="shared" si="266"/>
        <v/>
      </c>
      <c r="DI163" s="66" t="str">
        <f t="shared" si="267"/>
        <v/>
      </c>
      <c r="DJ163" t="s">
        <v>0</v>
      </c>
      <c r="DK163" s="19" t="str">
        <f t="shared" si="268"/>
        <v/>
      </c>
      <c r="DL163" s="47" t="s">
        <v>0</v>
      </c>
      <c r="DM163" s="19" t="str">
        <f t="shared" si="269"/>
        <v/>
      </c>
      <c r="DN163" s="47" t="s">
        <v>0</v>
      </c>
      <c r="DO163" s="52" t="str">
        <f t="shared" si="209"/>
        <v>Krešo – Špoljar – OK Kapela – M55</v>
      </c>
      <c r="DP163" s="53">
        <f t="shared" si="210"/>
        <v>313</v>
      </c>
      <c r="DQ163" s="47" t="s">
        <v>0</v>
      </c>
      <c r="DR163" s="52" t="str">
        <f t="shared" si="211"/>
        <v>Krešo – Špoljar – OK Kapela</v>
      </c>
      <c r="DS163" s="53">
        <f t="shared" si="212"/>
        <v>313</v>
      </c>
      <c r="DT163" s="47" t="s">
        <v>0</v>
      </c>
      <c r="DU163" s="52" t="str">
        <f t="shared" si="213"/>
        <v>Krešo – Špoljar</v>
      </c>
      <c r="DV163" s="53">
        <f t="shared" si="214"/>
        <v>313</v>
      </c>
      <c r="DW163" s="47" t="s">
        <v>0</v>
      </c>
      <c r="DX163" s="58">
        <f t="shared" si="257"/>
        <v>313</v>
      </c>
      <c r="DY163" s="53" cm="1">
        <f t="array" ref="DY163">IF(DX163&lt;&gt;"",INDEX(regNatjecatelj_id,DX163,0),IF(BD163&lt;&gt;"",BD163,""))</f>
        <v>1358</v>
      </c>
      <c r="DZ163" s="47" t="s">
        <v>0</v>
      </c>
      <c r="EA163" s="58" t="str">
        <f t="shared" si="215"/>
        <v>imepre</v>
      </c>
      <c r="EB163" s="73" t="str">
        <f t="shared" si="216"/>
        <v>klu</v>
      </c>
      <c r="EC163" s="73" t="str">
        <f t="shared" si="217"/>
        <v>kat</v>
      </c>
      <c r="ED163" s="73" t="str">
        <f t="shared" si="218"/>
        <v/>
      </c>
      <c r="EE163" s="66" t="str">
        <f t="shared" si="219"/>
        <v>imepre-klu-kat</v>
      </c>
      <c r="EF163" s="47" t="s">
        <v>0</v>
      </c>
      <c r="EG163" s="58">
        <f>IF(AL163="","",MAX(EG$12:EG162)+1)</f>
        <v>328</v>
      </c>
      <c r="EH163" s="73">
        <f t="shared" si="220"/>
        <v>31</v>
      </c>
      <c r="EI163" s="73">
        <f t="shared" si="258"/>
        <v>1358</v>
      </c>
      <c r="EJ163" s="73">
        <f t="shared" si="221"/>
        <v>2713</v>
      </c>
      <c r="EK163" s="73">
        <f t="shared" si="222"/>
        <v>1</v>
      </c>
      <c r="EL163" s="73">
        <f t="shared" si="259"/>
        <v>1</v>
      </c>
      <c r="EM163" s="73">
        <f t="shared" si="260"/>
        <v>1</v>
      </c>
      <c r="EN163" s="73" t="str">
        <f t="shared" si="223"/>
        <v>0</v>
      </c>
      <c r="EO163" s="73" t="str">
        <f t="shared" si="224"/>
        <v/>
      </c>
      <c r="EP163" s="73" t="str">
        <f t="shared" si="225"/>
        <v/>
      </c>
      <c r="EQ163" s="53" t="str">
        <f t="shared" si="226"/>
        <v/>
      </c>
      <c r="ER163" s="47" t="s">
        <v>0</v>
      </c>
      <c r="ES163" s="19" t="str">
        <f t="shared" si="261"/>
        <v>INSERT INTO rezultat(id,stazakategorija_id,imeprezime_id,vrijeme_sec,status_id,registracija,uparivanje_id,originalstatus_id,imeprezimealias_id,klubalias_id,kategorijaalias_id) VALUES (328,31,1358,2713,1,1,1,0,Null,Null,Null);</v>
      </c>
      <c r="ET163" s="47" t="s">
        <v>0</v>
      </c>
      <c r="EU163" s="19" t="str">
        <f t="shared" si="262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3" s="47" t="s">
        <v>0</v>
      </c>
      <c r="EW163" s="180" t="str">
        <f t="shared" si="227"/>
        <v xml:space="preserve">
INSERT INTO rezultat(id,stazakategorija_id,imeprezime_id,vrijeme_sec,status_id,registracija,uparivanje_id,originalstatus_id,imeprezimealias_id,klubalias_id,kategorijaalias_id) VALUES (328,31,1358,2713,1,1,1,0,Null,Null,Null);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3" s="47" t="s">
        <v>0</v>
      </c>
    </row>
    <row r="164" spans="1:154" x14ac:dyDescent="0.25">
      <c r="A164" t="s">
        <v>0</v>
      </c>
      <c r="B164" s="52" t="str">
        <f>IF(csv!F154="","",csv!T154)</f>
        <v>M55</v>
      </c>
      <c r="C164" s="31" t="s">
        <v>0</v>
      </c>
      <c r="D164" s="31" t="str">
        <f>IF(csv!F154="","",csv!F154)</f>
        <v>Milan</v>
      </c>
      <c r="E164" s="31" t="str">
        <f>IF(csv!E154="","",csv!E154)</f>
        <v>Radočaj</v>
      </c>
      <c r="F164" s="31" t="s">
        <v>0</v>
      </c>
      <c r="G164" s="73" t="str">
        <f>IF(csv!M154="","",csv!M154)</f>
        <v>48:26</v>
      </c>
      <c r="H164" s="73" t="str">
        <f>IF(csv!N154="","",csv!N154)</f>
        <v>0</v>
      </c>
      <c r="I164" s="31" t="s">
        <v>0</v>
      </c>
      <c r="J164" s="31" t="str">
        <f>IF(csv!P154="","",csv!P154)</f>
        <v>BJE</v>
      </c>
      <c r="K164" s="31" t="str">
        <f>IF(csv!Q154="","",csv!Q154)</f>
        <v>OK Bjelovar</v>
      </c>
      <c r="L164" s="31" t="s">
        <v>0</v>
      </c>
      <c r="M164" s="66" t="str">
        <f>IF(csv!R154="","",csv!R154)</f>
        <v>CRO</v>
      </c>
      <c r="N164" s="47" t="s">
        <v>0</v>
      </c>
      <c r="O164" s="246" t="str">
        <f t="shared" si="228"/>
        <v>ok</v>
      </c>
      <c r="P164" s="47"/>
      <c r="Q164" s="52" t="str">
        <f t="shared" si="229"/>
        <v>M55</v>
      </c>
      <c r="R164" s="73">
        <f>IF(Q164="","",IF(COUNTIF(Q$12:Q163,Q164)=0,R163+1,R163))</f>
        <v>9</v>
      </c>
      <c r="S164" s="73">
        <f t="shared" si="230"/>
        <v>105</v>
      </c>
      <c r="T164" s="73">
        <f t="shared" si="193"/>
        <v>16</v>
      </c>
      <c r="U164" s="66" t="str">
        <f t="shared" si="194"/>
        <v>M55</v>
      </c>
      <c r="V164" s="47" t="s">
        <v>0</v>
      </c>
      <c r="W164" s="222" t="str">
        <f t="shared" si="195"/>
        <v>M55</v>
      </c>
      <c r="X164" s="223">
        <f t="shared" si="196"/>
        <v>31</v>
      </c>
      <c r="Y164" s="47" t="s">
        <v>0</v>
      </c>
      <c r="Z164" s="52" t="str">
        <f t="shared" si="231"/>
        <v>CRO</v>
      </c>
      <c r="AA164" s="73">
        <f t="shared" si="197"/>
        <v>1</v>
      </c>
      <c r="AB164" s="31" t="str">
        <f t="shared" si="232"/>
        <v/>
      </c>
      <c r="AC164" s="66" t="str">
        <f>IF(AB164="","",MAX(AC$12:AC163)+1)</f>
        <v/>
      </c>
      <c r="AD164" s="47" t="s">
        <v>0</v>
      </c>
      <c r="AE164" s="125"/>
      <c r="AF164" s="47" t="s">
        <v>0</v>
      </c>
      <c r="AG164" s="19" t="str">
        <f t="shared" si="233"/>
        <v/>
      </c>
      <c r="AH164" s="47" t="s">
        <v>0</v>
      </c>
      <c r="AI164" s="143" t="str">
        <f t="shared" si="234"/>
        <v>CRO</v>
      </c>
      <c r="AJ164" s="47"/>
      <c r="AK164" s="52" t="str">
        <f t="shared" si="235"/>
        <v>Milan</v>
      </c>
      <c r="AL164" s="31" t="str">
        <f t="shared" si="236"/>
        <v>Radočaj</v>
      </c>
      <c r="AM164" s="73">
        <f t="shared" si="237"/>
        <v>1490</v>
      </c>
      <c r="AN164" s="73" t="str">
        <f t="shared" si="238"/>
        <v/>
      </c>
      <c r="AO164" s="31" t="str">
        <f t="shared" si="198"/>
        <v>Milan</v>
      </c>
      <c r="AP164" s="66" t="str">
        <f t="shared" si="199"/>
        <v>Radočaj</v>
      </c>
      <c r="AQ164" s="47" t="s">
        <v>0</v>
      </c>
      <c r="AR164" s="82" t="str">
        <f t="shared" si="239"/>
        <v/>
      </c>
      <c r="AS164" s="47" t="s">
        <v>0</v>
      </c>
      <c r="AT164" s="19" t="str">
        <f t="shared" si="240"/>
        <v/>
      </c>
      <c r="AU164" s="47" t="s">
        <v>0</v>
      </c>
      <c r="AV164" s="103"/>
      <c r="AW164" s="105"/>
      <c r="AX164" s="47" t="s">
        <v>0</v>
      </c>
      <c r="AY164" s="259" t="str">
        <f t="shared" si="263"/>
        <v/>
      </c>
      <c r="AZ164" s="47" t="s">
        <v>0</v>
      </c>
      <c r="BA164" s="52" t="str">
        <f t="shared" si="200"/>
        <v/>
      </c>
      <c r="BB164" s="73" t="str">
        <f>IF(AV164&amp;AW164="","",MAX(BB$12:BB163)+1)</f>
        <v/>
      </c>
      <c r="BC164" s="272" t="str">
        <f t="shared" si="201"/>
        <v/>
      </c>
      <c r="BD164" s="53" t="str">
        <f>IF(AND(AM164="NEMA",AN164="NEMA",OR(AV164&amp;AW164="",BC164="NEMA")),MAX(BD$12:BD163)+1,"")</f>
        <v/>
      </c>
      <c r="BE164" s="47" t="s">
        <v>0</v>
      </c>
      <c r="BF164" s="52" t="str">
        <f t="shared" si="241"/>
        <v>Milan</v>
      </c>
      <c r="BG164" s="66" t="str">
        <f t="shared" si="242"/>
        <v>Radočaj</v>
      </c>
      <c r="BH164" s="47" t="s">
        <v>0</v>
      </c>
      <c r="BI164" s="52" t="str">
        <f t="shared" si="202"/>
        <v>BJE</v>
      </c>
      <c r="BJ164" s="31" t="str">
        <f t="shared" si="203"/>
        <v>OK Bjelovar</v>
      </c>
      <c r="BK164" s="73" t="str">
        <f t="shared" si="204"/>
        <v/>
      </c>
      <c r="BL164" s="31" t="str" cm="1">
        <f t="array" ref="BL164">IF(BK164="",""&amp;BJ164,IF(BK164="NEMA",BJ164,INDEX(regKlub_naziv,MATCH(INDEX(regKlub_alias_klubId,BK164),regKlub_id,0))))</f>
        <v>OK Bjelovar</v>
      </c>
      <c r="BM164" s="31" t="str" cm="1">
        <f t="array" ref="BM164">IFERROR(""&amp;INDEX(regNatjecatelj_klub,DV164),"")</f>
        <v>OK Bjelovar</v>
      </c>
      <c r="BN164" s="73" t="str">
        <f t="shared" si="243"/>
        <v/>
      </c>
      <c r="BO164" s="66" t="str">
        <f t="shared" si="244"/>
        <v>OK Bjelovar</v>
      </c>
      <c r="BP164" s="47" t="s">
        <v>0</v>
      </c>
      <c r="BQ164" s="52" t="str">
        <f>IF(X164&lt;&gt;"NEMA","",IF(IFERROR(MATCH(W164,W$12:W163,0),0)&lt;&gt;0,"",W164))</f>
        <v/>
      </c>
      <c r="BR164" s="73" t="str">
        <f t="shared" si="245"/>
        <v/>
      </c>
      <c r="BS164" s="31" t="str">
        <f>IF(OR(BR164="",BR164&lt;&gt;"NEMA"),"",MAX(BS$12:BS163)+1)</f>
        <v/>
      </c>
      <c r="BT164" s="66" t="str">
        <f t="shared" si="246"/>
        <v/>
      </c>
      <c r="BU164" s="47" t="s">
        <v>0</v>
      </c>
      <c r="BV164" s="19" t="str">
        <f t="shared" si="247"/>
        <v/>
      </c>
      <c r="BW164" s="47" t="s">
        <v>0</v>
      </c>
      <c r="BX164" s="82" t="str">
        <f>IF(BK164&lt;&gt;"NEMA","",IF(IFERROR(MATCH(BJ164,BJ$12:BJ163,0),0)&lt;&gt;0,"",BJ164))</f>
        <v/>
      </c>
      <c r="BY164" s="47" t="s">
        <v>0</v>
      </c>
      <c r="BZ164" s="125"/>
      <c r="CA164" s="47" t="s">
        <v>0</v>
      </c>
      <c r="CB164" s="58" t="str">
        <f t="shared" si="248"/>
        <v/>
      </c>
      <c r="CC164" s="31" t="str">
        <f t="shared" si="249"/>
        <v/>
      </c>
      <c r="CD164" s="31" t="str">
        <f>IF(CC164="","",MAX(CD$12:CD163)+1)</f>
        <v/>
      </c>
      <c r="CE164" s="31" t="str">
        <f t="shared" si="205"/>
        <v/>
      </c>
      <c r="CF164" s="31" t="str">
        <f t="shared" si="250"/>
        <v/>
      </c>
      <c r="CG164" s="31" t="str">
        <f>IF(BZ164="","",MAX(CG$12:CG163)+1)</f>
        <v/>
      </c>
      <c r="CH164" s="31" t="str">
        <f t="shared" si="251"/>
        <v/>
      </c>
      <c r="CI164" s="66" t="str">
        <f t="shared" si="252"/>
        <v/>
      </c>
      <c r="CJ164" s="47" t="s">
        <v>0</v>
      </c>
      <c r="CK164" s="73" t="str">
        <f t="shared" si="206"/>
        <v/>
      </c>
      <c r="CL164" s="47"/>
      <c r="CM164" s="19" t="str">
        <f t="shared" si="253"/>
        <v/>
      </c>
      <c r="CN164" s="47" t="s">
        <v>0</v>
      </c>
      <c r="CO164" s="143" t="str">
        <f t="shared" si="254"/>
        <v>OK Bjelovar</v>
      </c>
      <c r="CP164" s="47" t="s">
        <v>0</v>
      </c>
      <c r="CQ164" s="58" t="str">
        <f t="shared" si="190"/>
        <v>48:26</v>
      </c>
      <c r="CR164" s="73" t="str">
        <f t="shared" si="191"/>
        <v>0</v>
      </c>
      <c r="CS164" s="229" t="str">
        <f t="shared" si="207"/>
        <v/>
      </c>
      <c r="CT164" s="230">
        <f t="shared" si="192"/>
        <v>2906</v>
      </c>
      <c r="CU164" s="163">
        <f t="shared" si="208"/>
        <v>1</v>
      </c>
      <c r="CV164" s="47" t="s">
        <v>0</v>
      </c>
      <c r="CW164" s="222" t="str">
        <f t="shared" si="255"/>
        <v xml:space="preserve">
</v>
      </c>
      <c r="CX164" s="223">
        <f t="shared" si="256"/>
        <v>6</v>
      </c>
      <c r="CY164" s="47" t="s">
        <v>0</v>
      </c>
      <c r="CZ164" s="47"/>
      <c r="DA164" s="47"/>
      <c r="DB164" s="47"/>
      <c r="DC164" s="47" t="s">
        <v>0</v>
      </c>
      <c r="DD164" s="53" t="str">
        <f t="shared" si="264"/>
        <v/>
      </c>
      <c r="DE164" t="s">
        <v>0</v>
      </c>
      <c r="DF164" s="128" t="str">
        <f t="shared" si="265"/>
        <v>M</v>
      </c>
      <c r="DG164" t="s">
        <v>0</v>
      </c>
      <c r="DH164" s="52" t="str">
        <f t="shared" si="266"/>
        <v/>
      </c>
      <c r="DI164" s="66" t="str">
        <f t="shared" si="267"/>
        <v/>
      </c>
      <c r="DJ164" t="s">
        <v>0</v>
      </c>
      <c r="DK164" s="19" t="str">
        <f t="shared" si="268"/>
        <v/>
      </c>
      <c r="DL164" s="47" t="s">
        <v>0</v>
      </c>
      <c r="DM164" s="19" t="str">
        <f t="shared" si="269"/>
        <v/>
      </c>
      <c r="DN164" s="47" t="s">
        <v>0</v>
      </c>
      <c r="DO164" s="52" t="str">
        <f t="shared" si="209"/>
        <v>Milan – Radočaj – OK Bjelovar – M55</v>
      </c>
      <c r="DP164" s="53">
        <f t="shared" si="210"/>
        <v>21</v>
      </c>
      <c r="DQ164" s="47" t="s">
        <v>0</v>
      </c>
      <c r="DR164" s="52" t="str">
        <f t="shared" si="211"/>
        <v>Milan – Radočaj – OK Bjelovar</v>
      </c>
      <c r="DS164" s="53">
        <f t="shared" si="212"/>
        <v>21</v>
      </c>
      <c r="DT164" s="47" t="s">
        <v>0</v>
      </c>
      <c r="DU164" s="52" t="str">
        <f t="shared" si="213"/>
        <v>Milan – Radočaj</v>
      </c>
      <c r="DV164" s="53">
        <f t="shared" si="214"/>
        <v>21</v>
      </c>
      <c r="DW164" s="47" t="s">
        <v>0</v>
      </c>
      <c r="DX164" s="58">
        <f t="shared" si="257"/>
        <v>21</v>
      </c>
      <c r="DY164" s="53" cm="1">
        <f t="array" ref="DY164">IF(DX164&lt;&gt;"",INDEX(regNatjecatelj_id,DX164,0),IF(BD164&lt;&gt;"",BD164,""))</f>
        <v>1490</v>
      </c>
      <c r="DZ164" s="47" t="s">
        <v>0</v>
      </c>
      <c r="EA164" s="58" t="str">
        <f t="shared" si="215"/>
        <v>imepre</v>
      </c>
      <c r="EB164" s="73" t="str">
        <f t="shared" si="216"/>
        <v>klu</v>
      </c>
      <c r="EC164" s="73" t="str">
        <f t="shared" si="217"/>
        <v>kat</v>
      </c>
      <c r="ED164" s="73" t="str">
        <f t="shared" si="218"/>
        <v/>
      </c>
      <c r="EE164" s="66" t="str">
        <f t="shared" si="219"/>
        <v>imepre-klu-kat</v>
      </c>
      <c r="EF164" s="47" t="s">
        <v>0</v>
      </c>
      <c r="EG164" s="58">
        <f>IF(AL164="","",MAX(EG$12:EG163)+1)</f>
        <v>329</v>
      </c>
      <c r="EH164" s="73">
        <f t="shared" si="220"/>
        <v>31</v>
      </c>
      <c r="EI164" s="73">
        <f t="shared" si="258"/>
        <v>1490</v>
      </c>
      <c r="EJ164" s="73">
        <f t="shared" si="221"/>
        <v>2906</v>
      </c>
      <c r="EK164" s="73">
        <f t="shared" si="222"/>
        <v>1</v>
      </c>
      <c r="EL164" s="73">
        <f t="shared" si="259"/>
        <v>1</v>
      </c>
      <c r="EM164" s="73">
        <f t="shared" si="260"/>
        <v>1</v>
      </c>
      <c r="EN164" s="73" t="str">
        <f t="shared" si="223"/>
        <v>0</v>
      </c>
      <c r="EO164" s="73" t="str">
        <f t="shared" si="224"/>
        <v/>
      </c>
      <c r="EP164" s="73" t="str">
        <f t="shared" si="225"/>
        <v/>
      </c>
      <c r="EQ164" s="53" t="str">
        <f t="shared" si="226"/>
        <v/>
      </c>
      <c r="ER164" s="47" t="s">
        <v>0</v>
      </c>
      <c r="ES164" s="19" t="str">
        <f t="shared" si="261"/>
        <v>INSERT INTO rezultat(id,stazakategorija_id,imeprezime_id,vrijeme_sec,status_id,registracija,uparivanje_id,originalstatus_id,imeprezimealias_id,klubalias_id,kategorijaalias_id) VALUES (329,31,1490,2906,1,1,1,0,Null,Null,Null);</v>
      </c>
      <c r="ET164" s="47" t="s">
        <v>0</v>
      </c>
      <c r="EU164" s="19" t="str">
        <f t="shared" si="262"/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4" s="47" t="s">
        <v>0</v>
      </c>
      <c r="EW164" s="180" t="str">
        <f t="shared" si="227"/>
        <v xml:space="preserve">
INSERT INTO rezultat(id,stazakategorija_id,imeprezime_id,vrijeme_sec,status_id,registracija,uparivanje_id,originalstatus_id,imeprezimealias_id,klubalias_id,kategorijaalias_id) VALUES (329,31,1490,2906,1,1,1,0,Null,Null,Null);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4" s="47" t="s">
        <v>0</v>
      </c>
    </row>
    <row r="165" spans="1:154" x14ac:dyDescent="0.25">
      <c r="A165" t="s">
        <v>0</v>
      </c>
      <c r="B165" s="52" t="str">
        <f>IF(csv!F155="","",csv!T155)</f>
        <v>M55</v>
      </c>
      <c r="C165" s="31" t="s">
        <v>0</v>
      </c>
      <c r="D165" s="31" t="str">
        <f>IF(csv!F155="","",csv!F155)</f>
        <v>Darko</v>
      </c>
      <c r="E165" s="31" t="str">
        <f>IF(csv!E155="","",csv!E155)</f>
        <v>Raškaj</v>
      </c>
      <c r="F165" s="31" t="s">
        <v>0</v>
      </c>
      <c r="G165" s="73" t="str">
        <f>IF(csv!M155="","",csv!M155)</f>
        <v>48:41</v>
      </c>
      <c r="H165" s="73" t="str">
        <f>IF(csv!N155="","",csv!N155)</f>
        <v>0</v>
      </c>
      <c r="I165" s="31" t="s">
        <v>0</v>
      </c>
      <c r="J165" s="31" t="str">
        <f>IF(csv!P155="","",csv!P155)</f>
        <v>KAP</v>
      </c>
      <c r="K165" s="31" t="str">
        <f>IF(csv!Q155="","",csv!Q155)</f>
        <v>OK Kapela</v>
      </c>
      <c r="L165" s="31" t="s">
        <v>0</v>
      </c>
      <c r="M165" s="66" t="str">
        <f>IF(csv!R155="","",csv!R155)</f>
        <v>CRO</v>
      </c>
      <c r="N165" s="47" t="s">
        <v>0</v>
      </c>
      <c r="O165" s="246" t="str">
        <f t="shared" si="228"/>
        <v>ok</v>
      </c>
      <c r="P165" s="47"/>
      <c r="Q165" s="52" t="str">
        <f t="shared" si="229"/>
        <v>M55</v>
      </c>
      <c r="R165" s="73">
        <f>IF(Q165="","",IF(COUNTIF(Q$12:Q164,Q165)=0,R164+1,R164))</f>
        <v>9</v>
      </c>
      <c r="S165" s="73">
        <f t="shared" si="230"/>
        <v>105</v>
      </c>
      <c r="T165" s="73">
        <f t="shared" si="193"/>
        <v>16</v>
      </c>
      <c r="U165" s="66" t="str">
        <f t="shared" si="194"/>
        <v>M55</v>
      </c>
      <c r="V165" s="47" t="s">
        <v>0</v>
      </c>
      <c r="W165" s="222" t="str">
        <f t="shared" si="195"/>
        <v>M55</v>
      </c>
      <c r="X165" s="223">
        <f t="shared" si="196"/>
        <v>31</v>
      </c>
      <c r="Y165" s="47" t="s">
        <v>0</v>
      </c>
      <c r="Z165" s="52" t="str">
        <f t="shared" si="231"/>
        <v>CRO</v>
      </c>
      <c r="AA165" s="73">
        <f t="shared" si="197"/>
        <v>1</v>
      </c>
      <c r="AB165" s="31" t="str">
        <f t="shared" si="232"/>
        <v/>
      </c>
      <c r="AC165" s="66" t="str">
        <f>IF(AB165="","",MAX(AC$12:AC164)+1)</f>
        <v/>
      </c>
      <c r="AD165" s="47" t="s">
        <v>0</v>
      </c>
      <c r="AE165" s="125"/>
      <c r="AF165" s="47" t="s">
        <v>0</v>
      </c>
      <c r="AG165" s="19" t="str">
        <f t="shared" si="233"/>
        <v/>
      </c>
      <c r="AH165" s="47" t="s">
        <v>0</v>
      </c>
      <c r="AI165" s="143" t="str">
        <f t="shared" si="234"/>
        <v>CRO</v>
      </c>
      <c r="AJ165" s="47"/>
      <c r="AK165" s="52" t="str">
        <f t="shared" si="235"/>
        <v>Darko</v>
      </c>
      <c r="AL165" s="31" t="str">
        <f t="shared" si="236"/>
        <v>Raškaj</v>
      </c>
      <c r="AM165" s="73">
        <f t="shared" si="237"/>
        <v>1363</v>
      </c>
      <c r="AN165" s="73" t="str">
        <f t="shared" si="238"/>
        <v/>
      </c>
      <c r="AO165" s="31" t="str">
        <f t="shared" si="198"/>
        <v>Darko</v>
      </c>
      <c r="AP165" s="66" t="str">
        <f t="shared" si="199"/>
        <v>Raškaj</v>
      </c>
      <c r="AQ165" s="47" t="s">
        <v>0</v>
      </c>
      <c r="AR165" s="82" t="str">
        <f t="shared" si="239"/>
        <v/>
      </c>
      <c r="AS165" s="47" t="s">
        <v>0</v>
      </c>
      <c r="AT165" s="19" t="str">
        <f t="shared" si="240"/>
        <v/>
      </c>
      <c r="AU165" s="47" t="s">
        <v>0</v>
      </c>
      <c r="AV165" s="103"/>
      <c r="AW165" s="105"/>
      <c r="AX165" s="47" t="s">
        <v>0</v>
      </c>
      <c r="AY165" s="259" t="str">
        <f t="shared" si="263"/>
        <v/>
      </c>
      <c r="AZ165" s="47" t="s">
        <v>0</v>
      </c>
      <c r="BA165" s="52" t="str">
        <f t="shared" si="200"/>
        <v/>
      </c>
      <c r="BB165" s="73" t="str">
        <f>IF(AV165&amp;AW165="","",MAX(BB$12:BB164)+1)</f>
        <v/>
      </c>
      <c r="BC165" s="272" t="str">
        <f t="shared" si="201"/>
        <v/>
      </c>
      <c r="BD165" s="53" t="str">
        <f>IF(AND(AM165="NEMA",AN165="NEMA",OR(AV165&amp;AW165="",BC165="NEMA")),MAX(BD$12:BD164)+1,"")</f>
        <v/>
      </c>
      <c r="BE165" s="47" t="s">
        <v>0</v>
      </c>
      <c r="BF165" s="52" t="str">
        <f t="shared" si="241"/>
        <v>Darko</v>
      </c>
      <c r="BG165" s="66" t="str">
        <f t="shared" si="242"/>
        <v>Raškaj</v>
      </c>
      <c r="BH165" s="47" t="s">
        <v>0</v>
      </c>
      <c r="BI165" s="52" t="str">
        <f t="shared" si="202"/>
        <v>KAP</v>
      </c>
      <c r="BJ165" s="31" t="str">
        <f t="shared" si="203"/>
        <v>OK Kapela</v>
      </c>
      <c r="BK165" s="73" t="str">
        <f t="shared" si="204"/>
        <v/>
      </c>
      <c r="BL165" s="31" t="str" cm="1">
        <f t="array" ref="BL165">IF(BK165="",""&amp;BJ165,IF(BK165="NEMA",BJ165,INDEX(regKlub_naziv,MATCH(INDEX(regKlub_alias_klubId,BK165),regKlub_id,0))))</f>
        <v>OK Kapela</v>
      </c>
      <c r="BM165" s="31" t="str" cm="1">
        <f t="array" ref="BM165">IFERROR(""&amp;INDEX(regNatjecatelj_klub,DV165),"")</f>
        <v>OK Kapela</v>
      </c>
      <c r="BN165" s="73" t="str">
        <f t="shared" si="243"/>
        <v/>
      </c>
      <c r="BO165" s="66" t="str">
        <f t="shared" si="244"/>
        <v>OK Kapela</v>
      </c>
      <c r="BP165" s="47" t="s">
        <v>0</v>
      </c>
      <c r="BQ165" s="52" t="str">
        <f>IF(X165&lt;&gt;"NEMA","",IF(IFERROR(MATCH(W165,W$12:W164,0),0)&lt;&gt;0,"",W165))</f>
        <v/>
      </c>
      <c r="BR165" s="73" t="str">
        <f t="shared" si="245"/>
        <v/>
      </c>
      <c r="BS165" s="31" t="str">
        <f>IF(OR(BR165="",BR165&lt;&gt;"NEMA"),"",MAX(BS$12:BS164)+1)</f>
        <v/>
      </c>
      <c r="BT165" s="66" t="str">
        <f t="shared" si="246"/>
        <v/>
      </c>
      <c r="BU165" s="47" t="s">
        <v>0</v>
      </c>
      <c r="BV165" s="19" t="str">
        <f t="shared" si="247"/>
        <v/>
      </c>
      <c r="BW165" s="47" t="s">
        <v>0</v>
      </c>
      <c r="BX165" s="82" t="str">
        <f>IF(BK165&lt;&gt;"NEMA","",IF(IFERROR(MATCH(BJ165,BJ$12:BJ164,0),0)&lt;&gt;0,"",BJ165))</f>
        <v/>
      </c>
      <c r="BY165" s="47" t="s">
        <v>0</v>
      </c>
      <c r="BZ165" s="125"/>
      <c r="CA165" s="47" t="s">
        <v>0</v>
      </c>
      <c r="CB165" s="58" t="str">
        <f t="shared" si="248"/>
        <v/>
      </c>
      <c r="CC165" s="31" t="str">
        <f t="shared" si="249"/>
        <v/>
      </c>
      <c r="CD165" s="31" t="str">
        <f>IF(CC165="","",MAX(CD$12:CD164)+1)</f>
        <v/>
      </c>
      <c r="CE165" s="31" t="str">
        <f t="shared" si="205"/>
        <v/>
      </c>
      <c r="CF165" s="31" t="str">
        <f t="shared" si="250"/>
        <v/>
      </c>
      <c r="CG165" s="31" t="str">
        <f>IF(BZ165="","",MAX(CG$12:CG164)+1)</f>
        <v/>
      </c>
      <c r="CH165" s="31" t="str">
        <f t="shared" si="251"/>
        <v/>
      </c>
      <c r="CI165" s="66" t="str">
        <f t="shared" si="252"/>
        <v/>
      </c>
      <c r="CJ165" s="47" t="s">
        <v>0</v>
      </c>
      <c r="CK165" s="73" t="str">
        <f t="shared" si="206"/>
        <v/>
      </c>
      <c r="CL165" s="47"/>
      <c r="CM165" s="19" t="str">
        <f t="shared" si="253"/>
        <v/>
      </c>
      <c r="CN165" s="47" t="s">
        <v>0</v>
      </c>
      <c r="CO165" s="143" t="str">
        <f t="shared" si="254"/>
        <v>OK Kapela</v>
      </c>
      <c r="CP165" s="47" t="s">
        <v>0</v>
      </c>
      <c r="CQ165" s="58" t="str">
        <f t="shared" si="190"/>
        <v>48:41</v>
      </c>
      <c r="CR165" s="73" t="str">
        <f t="shared" si="191"/>
        <v>0</v>
      </c>
      <c r="CS165" s="229" t="str">
        <f t="shared" si="207"/>
        <v/>
      </c>
      <c r="CT165" s="230">
        <f t="shared" si="192"/>
        <v>2921</v>
      </c>
      <c r="CU165" s="163">
        <f t="shared" si="208"/>
        <v>1</v>
      </c>
      <c r="CV165" s="47" t="s">
        <v>0</v>
      </c>
      <c r="CW165" s="222" t="str">
        <f t="shared" si="255"/>
        <v xml:space="preserve">
</v>
      </c>
      <c r="CX165" s="223">
        <f t="shared" si="256"/>
        <v>6</v>
      </c>
      <c r="CY165" s="47" t="s">
        <v>0</v>
      </c>
      <c r="CZ165" s="47"/>
      <c r="DA165" s="47"/>
      <c r="DB165" s="47"/>
      <c r="DC165" s="47" t="s">
        <v>0</v>
      </c>
      <c r="DD165" s="53" t="str">
        <f t="shared" si="264"/>
        <v/>
      </c>
      <c r="DE165" t="s">
        <v>0</v>
      </c>
      <c r="DF165" s="128" t="str">
        <f t="shared" si="265"/>
        <v>M</v>
      </c>
      <c r="DG165" t="s">
        <v>0</v>
      </c>
      <c r="DH165" s="52" t="str">
        <f t="shared" si="266"/>
        <v/>
      </c>
      <c r="DI165" s="66" t="str">
        <f t="shared" si="267"/>
        <v/>
      </c>
      <c r="DJ165" t="s">
        <v>0</v>
      </c>
      <c r="DK165" s="19" t="str">
        <f t="shared" si="268"/>
        <v/>
      </c>
      <c r="DL165" s="47" t="s">
        <v>0</v>
      </c>
      <c r="DM165" s="19" t="str">
        <f t="shared" si="269"/>
        <v/>
      </c>
      <c r="DN165" s="47" t="s">
        <v>0</v>
      </c>
      <c r="DO165" s="52" t="str">
        <f t="shared" si="209"/>
        <v>Darko – Raškaj – OK Kapela – M55</v>
      </c>
      <c r="DP165" s="53">
        <f t="shared" si="210"/>
        <v>301</v>
      </c>
      <c r="DQ165" s="47" t="s">
        <v>0</v>
      </c>
      <c r="DR165" s="52" t="str">
        <f t="shared" si="211"/>
        <v>Darko – Raškaj – OK Kapela</v>
      </c>
      <c r="DS165" s="53">
        <f t="shared" si="212"/>
        <v>301</v>
      </c>
      <c r="DT165" s="47" t="s">
        <v>0</v>
      </c>
      <c r="DU165" s="52" t="str">
        <f t="shared" si="213"/>
        <v>Darko – Raškaj</v>
      </c>
      <c r="DV165" s="53">
        <f t="shared" si="214"/>
        <v>301</v>
      </c>
      <c r="DW165" s="47" t="s">
        <v>0</v>
      </c>
      <c r="DX165" s="58">
        <f t="shared" si="257"/>
        <v>301</v>
      </c>
      <c r="DY165" s="53" cm="1">
        <f t="array" ref="DY165">IF(DX165&lt;&gt;"",INDEX(regNatjecatelj_id,DX165,0),IF(BD165&lt;&gt;"",BD165,""))</f>
        <v>1363</v>
      </c>
      <c r="DZ165" s="47" t="s">
        <v>0</v>
      </c>
      <c r="EA165" s="58" t="str">
        <f t="shared" si="215"/>
        <v>imepre</v>
      </c>
      <c r="EB165" s="73" t="str">
        <f t="shared" si="216"/>
        <v>klu</v>
      </c>
      <c r="EC165" s="73" t="str">
        <f t="shared" si="217"/>
        <v>kat</v>
      </c>
      <c r="ED165" s="73" t="str">
        <f t="shared" si="218"/>
        <v/>
      </c>
      <c r="EE165" s="66" t="str">
        <f t="shared" si="219"/>
        <v>imepre-klu-kat</v>
      </c>
      <c r="EF165" s="47" t="s">
        <v>0</v>
      </c>
      <c r="EG165" s="58">
        <f>IF(AL165="","",MAX(EG$12:EG164)+1)</f>
        <v>330</v>
      </c>
      <c r="EH165" s="73">
        <f t="shared" si="220"/>
        <v>31</v>
      </c>
      <c r="EI165" s="73">
        <f t="shared" si="258"/>
        <v>1363</v>
      </c>
      <c r="EJ165" s="73">
        <f t="shared" si="221"/>
        <v>2921</v>
      </c>
      <c r="EK165" s="73">
        <f t="shared" si="222"/>
        <v>1</v>
      </c>
      <c r="EL165" s="73">
        <f t="shared" si="259"/>
        <v>1</v>
      </c>
      <c r="EM165" s="73">
        <f t="shared" si="260"/>
        <v>1</v>
      </c>
      <c r="EN165" s="73" t="str">
        <f t="shared" si="223"/>
        <v>0</v>
      </c>
      <c r="EO165" s="73" t="str">
        <f t="shared" si="224"/>
        <v/>
      </c>
      <c r="EP165" s="73" t="str">
        <f t="shared" si="225"/>
        <v/>
      </c>
      <c r="EQ165" s="53" t="str">
        <f t="shared" si="226"/>
        <v/>
      </c>
      <c r="ER165" s="47" t="s">
        <v>0</v>
      </c>
      <c r="ES165" s="19" t="str">
        <f t="shared" si="261"/>
        <v>INSERT INTO rezultat(id,stazakategorija_id,imeprezime_id,vrijeme_sec,status_id,registracija,uparivanje_id,originalstatus_id,imeprezimealias_id,klubalias_id,kategorijaalias_id) VALUES (330,31,1363,2921,1,1,1,0,Null,Null,Null);</v>
      </c>
      <c r="ET165" s="47" t="s">
        <v>0</v>
      </c>
      <c r="EU165" s="19" t="str">
        <f t="shared" si="262"/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5" s="47" t="s">
        <v>0</v>
      </c>
      <c r="EW165" s="180" t="str">
        <f t="shared" si="227"/>
        <v xml:space="preserve">
INSERT INTO rezultat(id,stazakategorija_id,imeprezime_id,vrijeme_sec,status_id,registracija,uparivanje_id,originalstatus_id,imeprezimealias_id,klubalias_id,kategorijaalias_id) VALUES (330,31,1363,2921,1,1,1,0,Null,Null,Null);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5" s="47" t="s">
        <v>0</v>
      </c>
    </row>
    <row r="166" spans="1:154" x14ac:dyDescent="0.25">
      <c r="A166" t="s">
        <v>0</v>
      </c>
      <c r="B166" s="52" t="str">
        <f>IF(csv!F156="","",csv!T156)</f>
        <v>M55</v>
      </c>
      <c r="C166" s="31" t="s">
        <v>0</v>
      </c>
      <c r="D166" s="31" t="str">
        <f>IF(csv!F156="","",csv!F156)</f>
        <v>Mladen</v>
      </c>
      <c r="E166" s="31" t="str">
        <f>IF(csv!E156="","",csv!E156)</f>
        <v>Jelić</v>
      </c>
      <c r="F166" s="31" t="s">
        <v>0</v>
      </c>
      <c r="G166" s="73" t="str">
        <f>IF(csv!M156="","",csv!M156)</f>
        <v>57:17</v>
      </c>
      <c r="H166" s="73" t="str">
        <f>IF(csv!N156="","",csv!N156)</f>
        <v>0</v>
      </c>
      <c r="I166" s="31" t="s">
        <v>0</v>
      </c>
      <c r="J166" s="31" t="str">
        <f>IF(csv!P156="","",csv!P156)</f>
        <v>KAP</v>
      </c>
      <c r="K166" s="31" t="str">
        <f>IF(csv!Q156="","",csv!Q156)</f>
        <v>OK Kapela</v>
      </c>
      <c r="L166" s="31" t="s">
        <v>0</v>
      </c>
      <c r="M166" s="66" t="str">
        <f>IF(csv!R156="","",csv!R156)</f>
        <v>CRO</v>
      </c>
      <c r="N166" s="47" t="s">
        <v>0</v>
      </c>
      <c r="O166" s="246" t="str">
        <f t="shared" si="228"/>
        <v>ok</v>
      </c>
      <c r="P166" s="47"/>
      <c r="Q166" s="52" t="str">
        <f t="shared" si="229"/>
        <v>M55</v>
      </c>
      <c r="R166" s="73">
        <f>IF(Q166="","",IF(COUNTIF(Q$12:Q165,Q166)=0,R165+1,R165))</f>
        <v>9</v>
      </c>
      <c r="S166" s="73">
        <f t="shared" si="230"/>
        <v>105</v>
      </c>
      <c r="T166" s="73">
        <f t="shared" si="193"/>
        <v>16</v>
      </c>
      <c r="U166" s="66" t="str">
        <f t="shared" si="194"/>
        <v>M55</v>
      </c>
      <c r="V166" s="47" t="s">
        <v>0</v>
      </c>
      <c r="W166" s="222" t="str">
        <f t="shared" si="195"/>
        <v>M55</v>
      </c>
      <c r="X166" s="223">
        <f t="shared" si="196"/>
        <v>31</v>
      </c>
      <c r="Y166" s="47" t="s">
        <v>0</v>
      </c>
      <c r="Z166" s="52" t="str">
        <f t="shared" si="231"/>
        <v>CRO</v>
      </c>
      <c r="AA166" s="73">
        <f t="shared" si="197"/>
        <v>1</v>
      </c>
      <c r="AB166" s="31" t="str">
        <f t="shared" si="232"/>
        <v/>
      </c>
      <c r="AC166" s="66" t="str">
        <f>IF(AB166="","",MAX(AC$12:AC165)+1)</f>
        <v/>
      </c>
      <c r="AD166" s="47" t="s">
        <v>0</v>
      </c>
      <c r="AE166" s="125"/>
      <c r="AF166" s="47" t="s">
        <v>0</v>
      </c>
      <c r="AG166" s="19" t="str">
        <f t="shared" si="233"/>
        <v/>
      </c>
      <c r="AH166" s="47" t="s">
        <v>0</v>
      </c>
      <c r="AI166" s="143" t="str">
        <f t="shared" si="234"/>
        <v>CRO</v>
      </c>
      <c r="AJ166" s="47"/>
      <c r="AK166" s="52" t="str">
        <f t="shared" si="235"/>
        <v>Mladen</v>
      </c>
      <c r="AL166" s="31" t="str">
        <f t="shared" si="236"/>
        <v>Jelić</v>
      </c>
      <c r="AM166" s="73">
        <f t="shared" si="237"/>
        <v>1188</v>
      </c>
      <c r="AN166" s="73" t="str">
        <f t="shared" si="238"/>
        <v/>
      </c>
      <c r="AO166" s="31" t="str">
        <f t="shared" si="198"/>
        <v>Mladen</v>
      </c>
      <c r="AP166" s="66" t="str">
        <f t="shared" si="199"/>
        <v>Jelić</v>
      </c>
      <c r="AQ166" s="47" t="s">
        <v>0</v>
      </c>
      <c r="AR166" s="82" t="str">
        <f t="shared" si="239"/>
        <v/>
      </c>
      <c r="AS166" s="47" t="s">
        <v>0</v>
      </c>
      <c r="AT166" s="19" t="str">
        <f t="shared" si="240"/>
        <v/>
      </c>
      <c r="AU166" s="47" t="s">
        <v>0</v>
      </c>
      <c r="AV166" s="103"/>
      <c r="AW166" s="105"/>
      <c r="AX166" s="47" t="s">
        <v>0</v>
      </c>
      <c r="AY166" s="259" t="str">
        <f t="shared" si="263"/>
        <v/>
      </c>
      <c r="AZ166" s="47" t="s">
        <v>0</v>
      </c>
      <c r="BA166" s="52" t="str">
        <f t="shared" si="200"/>
        <v/>
      </c>
      <c r="BB166" s="73" t="str">
        <f>IF(AV166&amp;AW166="","",MAX(BB$12:BB165)+1)</f>
        <v/>
      </c>
      <c r="BC166" s="272" t="str">
        <f t="shared" si="201"/>
        <v/>
      </c>
      <c r="BD166" s="53" t="str">
        <f>IF(AND(AM166="NEMA",AN166="NEMA",OR(AV166&amp;AW166="",BC166="NEMA")),MAX(BD$12:BD165)+1,"")</f>
        <v/>
      </c>
      <c r="BE166" s="47" t="s">
        <v>0</v>
      </c>
      <c r="BF166" s="52" t="str">
        <f t="shared" si="241"/>
        <v>Mladen</v>
      </c>
      <c r="BG166" s="66" t="str">
        <f t="shared" si="242"/>
        <v>Jelić</v>
      </c>
      <c r="BH166" s="47" t="s">
        <v>0</v>
      </c>
      <c r="BI166" s="52" t="str">
        <f t="shared" si="202"/>
        <v>KAP</v>
      </c>
      <c r="BJ166" s="31" t="str">
        <f t="shared" si="203"/>
        <v>OK Kapela</v>
      </c>
      <c r="BK166" s="73" t="str">
        <f t="shared" si="204"/>
        <v/>
      </c>
      <c r="BL166" s="31" t="str" cm="1">
        <f t="array" ref="BL166">IF(BK166="",""&amp;BJ166,IF(BK166="NEMA",BJ166,INDEX(regKlub_naziv,MATCH(INDEX(regKlub_alias_klubId,BK166),regKlub_id,0))))</f>
        <v>OK Kapela</v>
      </c>
      <c r="BM166" s="31" t="str" cm="1">
        <f t="array" ref="BM166">IFERROR(""&amp;INDEX(regNatjecatelj_klub,DV166),"")</f>
        <v>OK Kapela</v>
      </c>
      <c r="BN166" s="73" t="str">
        <f t="shared" si="243"/>
        <v/>
      </c>
      <c r="BO166" s="66" t="str">
        <f t="shared" si="244"/>
        <v>OK Kapela</v>
      </c>
      <c r="BP166" s="47" t="s">
        <v>0</v>
      </c>
      <c r="BQ166" s="52" t="str">
        <f>IF(X166&lt;&gt;"NEMA","",IF(IFERROR(MATCH(W166,W$12:W165,0),0)&lt;&gt;0,"",W166))</f>
        <v/>
      </c>
      <c r="BR166" s="73" t="str">
        <f t="shared" si="245"/>
        <v/>
      </c>
      <c r="BS166" s="31" t="str">
        <f>IF(OR(BR166="",BR166&lt;&gt;"NEMA"),"",MAX(BS$12:BS165)+1)</f>
        <v/>
      </c>
      <c r="BT166" s="66" t="str">
        <f t="shared" si="246"/>
        <v/>
      </c>
      <c r="BU166" s="47" t="s">
        <v>0</v>
      </c>
      <c r="BV166" s="19" t="str">
        <f t="shared" si="247"/>
        <v/>
      </c>
      <c r="BW166" s="47" t="s">
        <v>0</v>
      </c>
      <c r="BX166" s="82" t="str">
        <f>IF(BK166&lt;&gt;"NEMA","",IF(IFERROR(MATCH(BJ166,BJ$12:BJ165,0),0)&lt;&gt;0,"",BJ166))</f>
        <v/>
      </c>
      <c r="BY166" s="47" t="s">
        <v>0</v>
      </c>
      <c r="BZ166" s="125"/>
      <c r="CA166" s="47" t="s">
        <v>0</v>
      </c>
      <c r="CB166" s="58" t="str">
        <f t="shared" si="248"/>
        <v/>
      </c>
      <c r="CC166" s="31" t="str">
        <f t="shared" si="249"/>
        <v/>
      </c>
      <c r="CD166" s="31" t="str">
        <f>IF(CC166="","",MAX(CD$12:CD165)+1)</f>
        <v/>
      </c>
      <c r="CE166" s="31" t="str">
        <f t="shared" si="205"/>
        <v/>
      </c>
      <c r="CF166" s="31" t="str">
        <f t="shared" si="250"/>
        <v/>
      </c>
      <c r="CG166" s="31" t="str">
        <f>IF(BZ166="","",MAX(CG$12:CG165)+1)</f>
        <v/>
      </c>
      <c r="CH166" s="31" t="str">
        <f t="shared" si="251"/>
        <v/>
      </c>
      <c r="CI166" s="66" t="str">
        <f t="shared" si="252"/>
        <v/>
      </c>
      <c r="CJ166" s="47" t="s">
        <v>0</v>
      </c>
      <c r="CK166" s="73" t="str">
        <f t="shared" si="206"/>
        <v/>
      </c>
      <c r="CL166" s="47"/>
      <c r="CM166" s="19" t="str">
        <f t="shared" si="253"/>
        <v/>
      </c>
      <c r="CN166" s="47" t="s">
        <v>0</v>
      </c>
      <c r="CO166" s="143" t="str">
        <f t="shared" si="254"/>
        <v>OK Kapela</v>
      </c>
      <c r="CP166" s="47" t="s">
        <v>0</v>
      </c>
      <c r="CQ166" s="58" t="str">
        <f t="shared" si="190"/>
        <v>57:17</v>
      </c>
      <c r="CR166" s="73" t="str">
        <f t="shared" si="191"/>
        <v>0</v>
      </c>
      <c r="CS166" s="229" t="str">
        <f t="shared" si="207"/>
        <v/>
      </c>
      <c r="CT166" s="230">
        <f t="shared" si="192"/>
        <v>3437</v>
      </c>
      <c r="CU166" s="163">
        <f t="shared" si="208"/>
        <v>1</v>
      </c>
      <c r="CV166" s="47" t="s">
        <v>0</v>
      </c>
      <c r="CW166" s="222" t="str">
        <f t="shared" si="255"/>
        <v xml:space="preserve">
</v>
      </c>
      <c r="CX166" s="223">
        <f t="shared" si="256"/>
        <v>6</v>
      </c>
      <c r="CY166" s="47" t="s">
        <v>0</v>
      </c>
      <c r="CZ166" s="47"/>
      <c r="DA166" s="47"/>
      <c r="DB166" s="47"/>
      <c r="DC166" s="47" t="s">
        <v>0</v>
      </c>
      <c r="DD166" s="53" t="str">
        <f t="shared" si="264"/>
        <v/>
      </c>
      <c r="DE166" t="s">
        <v>0</v>
      </c>
      <c r="DF166" s="128" t="str">
        <f t="shared" si="265"/>
        <v>M</v>
      </c>
      <c r="DG166" t="s">
        <v>0</v>
      </c>
      <c r="DH166" s="52" t="str">
        <f t="shared" si="266"/>
        <v/>
      </c>
      <c r="DI166" s="66" t="str">
        <f t="shared" si="267"/>
        <v/>
      </c>
      <c r="DJ166" t="s">
        <v>0</v>
      </c>
      <c r="DK166" s="19" t="str">
        <f t="shared" si="268"/>
        <v/>
      </c>
      <c r="DL166" s="47" t="s">
        <v>0</v>
      </c>
      <c r="DM166" s="19" t="str">
        <f t="shared" si="269"/>
        <v/>
      </c>
      <c r="DN166" s="47" t="s">
        <v>0</v>
      </c>
      <c r="DO166" s="52" t="str">
        <f t="shared" si="209"/>
        <v>Mladen – Jelić – OK Kapela – M55</v>
      </c>
      <c r="DP166" s="53">
        <f t="shared" si="210"/>
        <v>260</v>
      </c>
      <c r="DQ166" s="47" t="s">
        <v>0</v>
      </c>
      <c r="DR166" s="52" t="str">
        <f t="shared" si="211"/>
        <v>Mladen – Jelić – OK Kapela</v>
      </c>
      <c r="DS166" s="53">
        <f t="shared" si="212"/>
        <v>260</v>
      </c>
      <c r="DT166" s="47" t="s">
        <v>0</v>
      </c>
      <c r="DU166" s="52" t="str">
        <f t="shared" si="213"/>
        <v>Mladen – Jelić</v>
      </c>
      <c r="DV166" s="53">
        <f t="shared" si="214"/>
        <v>260</v>
      </c>
      <c r="DW166" s="47" t="s">
        <v>0</v>
      </c>
      <c r="DX166" s="58">
        <f t="shared" si="257"/>
        <v>260</v>
      </c>
      <c r="DY166" s="53" cm="1">
        <f t="array" ref="DY166">IF(DX166&lt;&gt;"",INDEX(regNatjecatelj_id,DX166,0),IF(BD166&lt;&gt;"",BD166,""))</f>
        <v>1188</v>
      </c>
      <c r="DZ166" s="47" t="s">
        <v>0</v>
      </c>
      <c r="EA166" s="58" t="str">
        <f t="shared" si="215"/>
        <v>imepre</v>
      </c>
      <c r="EB166" s="73" t="str">
        <f t="shared" si="216"/>
        <v>klu</v>
      </c>
      <c r="EC166" s="73" t="str">
        <f t="shared" si="217"/>
        <v>kat</v>
      </c>
      <c r="ED166" s="73" t="str">
        <f t="shared" si="218"/>
        <v/>
      </c>
      <c r="EE166" s="66" t="str">
        <f t="shared" si="219"/>
        <v>imepre-klu-kat</v>
      </c>
      <c r="EF166" s="47" t="s">
        <v>0</v>
      </c>
      <c r="EG166" s="58">
        <f>IF(AL166="","",MAX(EG$12:EG165)+1)</f>
        <v>331</v>
      </c>
      <c r="EH166" s="73">
        <f t="shared" si="220"/>
        <v>31</v>
      </c>
      <c r="EI166" s="73">
        <f t="shared" si="258"/>
        <v>1188</v>
      </c>
      <c r="EJ166" s="73">
        <f t="shared" si="221"/>
        <v>3437</v>
      </c>
      <c r="EK166" s="73">
        <f t="shared" si="222"/>
        <v>1</v>
      </c>
      <c r="EL166" s="73">
        <f t="shared" si="259"/>
        <v>1</v>
      </c>
      <c r="EM166" s="73">
        <f t="shared" si="260"/>
        <v>1</v>
      </c>
      <c r="EN166" s="73" t="str">
        <f t="shared" si="223"/>
        <v>0</v>
      </c>
      <c r="EO166" s="73" t="str">
        <f t="shared" si="224"/>
        <v/>
      </c>
      <c r="EP166" s="73" t="str">
        <f t="shared" si="225"/>
        <v/>
      </c>
      <c r="EQ166" s="53" t="str">
        <f t="shared" si="226"/>
        <v/>
      </c>
      <c r="ER166" s="47" t="s">
        <v>0</v>
      </c>
      <c r="ES166" s="19" t="str">
        <f t="shared" si="261"/>
        <v>INSERT INTO rezultat(id,stazakategorija_id,imeprezime_id,vrijeme_sec,status_id,registracija,uparivanje_id,originalstatus_id,imeprezimealias_id,klubalias_id,kategorijaalias_id) VALUES (331,31,1188,3437,1,1,1,0,Null,Null,Null);</v>
      </c>
      <c r="ET166" s="47" t="s">
        <v>0</v>
      </c>
      <c r="EU166" s="19" t="str">
        <f t="shared" si="262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6" s="47" t="s">
        <v>0</v>
      </c>
      <c r="EW166" s="180" t="str">
        <f t="shared" si="227"/>
        <v xml:space="preserve">
INSERT INTO rezultat(id,stazakategorija_id,imeprezime_id,vrijeme_sec,status_id,registracija,uparivanje_id,originalstatus_id,imeprezimealias_id,klubalias_id,kategorijaalias_id) VALUES (331,31,1188,3437,1,1,1,0,Null,Null,Null);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6" s="47" t="s">
        <v>0</v>
      </c>
    </row>
    <row r="167" spans="1:154" x14ac:dyDescent="0.25">
      <c r="A167" t="s">
        <v>0</v>
      </c>
      <c r="B167" s="52" t="str">
        <f>IF(csv!F157="","",csv!T157)</f>
        <v>M55</v>
      </c>
      <c r="C167" s="31" t="s">
        <v>0</v>
      </c>
      <c r="D167" s="31" t="str">
        <f>IF(csv!F157="","",csv!F157)</f>
        <v>Robert</v>
      </c>
      <c r="E167" s="31" t="str">
        <f>IF(csv!E157="","",csv!E157)</f>
        <v>Vuk</v>
      </c>
      <c r="F167" s="31" t="s">
        <v>0</v>
      </c>
      <c r="G167" s="73" t="str">
        <f>IF(csv!M157="","",csv!M157)</f>
        <v>64:26</v>
      </c>
      <c r="H167" s="73" t="str">
        <f>IF(csv!N157="","",csv!N157)</f>
        <v>0</v>
      </c>
      <c r="I167" s="31" t="s">
        <v>0</v>
      </c>
      <c r="J167" s="31" t="str">
        <f>IF(csv!P157="","",csv!P157)</f>
        <v>KAP</v>
      </c>
      <c r="K167" s="31" t="str">
        <f>IF(csv!Q157="","",csv!Q157)</f>
        <v>OK Kapela</v>
      </c>
      <c r="L167" s="31" t="s">
        <v>0</v>
      </c>
      <c r="M167" s="66" t="str">
        <f>IF(csv!R157="","",csv!R157)</f>
        <v>CRO</v>
      </c>
      <c r="N167" s="47" t="s">
        <v>0</v>
      </c>
      <c r="O167" s="246" t="str">
        <f t="shared" si="228"/>
        <v>ok</v>
      </c>
      <c r="P167" s="47"/>
      <c r="Q167" s="52" t="str">
        <f t="shared" si="229"/>
        <v>M55</v>
      </c>
      <c r="R167" s="73">
        <f>IF(Q167="","",IF(COUNTIF(Q$12:Q166,Q167)=0,R166+1,R166))</f>
        <v>9</v>
      </c>
      <c r="S167" s="73">
        <f t="shared" si="230"/>
        <v>105</v>
      </c>
      <c r="T167" s="73">
        <f t="shared" si="193"/>
        <v>16</v>
      </c>
      <c r="U167" s="66" t="str">
        <f t="shared" si="194"/>
        <v>M55</v>
      </c>
      <c r="V167" s="47" t="s">
        <v>0</v>
      </c>
      <c r="W167" s="222" t="str">
        <f t="shared" si="195"/>
        <v>M55</v>
      </c>
      <c r="X167" s="223">
        <f t="shared" si="196"/>
        <v>31</v>
      </c>
      <c r="Y167" s="47" t="s">
        <v>0</v>
      </c>
      <c r="Z167" s="52" t="str">
        <f t="shared" si="231"/>
        <v>CRO</v>
      </c>
      <c r="AA167" s="73">
        <f t="shared" si="197"/>
        <v>1</v>
      </c>
      <c r="AB167" s="31" t="str">
        <f t="shared" si="232"/>
        <v/>
      </c>
      <c r="AC167" s="66" t="str">
        <f>IF(AB167="","",MAX(AC$12:AC166)+1)</f>
        <v/>
      </c>
      <c r="AD167" s="47" t="s">
        <v>0</v>
      </c>
      <c r="AE167" s="125"/>
      <c r="AF167" s="47" t="s">
        <v>0</v>
      </c>
      <c r="AG167" s="19" t="str">
        <f t="shared" si="233"/>
        <v/>
      </c>
      <c r="AH167" s="47" t="s">
        <v>0</v>
      </c>
      <c r="AI167" s="143" t="str">
        <f t="shared" si="234"/>
        <v>CRO</v>
      </c>
      <c r="AJ167" s="47"/>
      <c r="AK167" s="52" t="str">
        <f t="shared" si="235"/>
        <v>Robert</v>
      </c>
      <c r="AL167" s="31" t="str">
        <f t="shared" si="236"/>
        <v>Vuk</v>
      </c>
      <c r="AM167" s="73">
        <f t="shared" si="237"/>
        <v>1388</v>
      </c>
      <c r="AN167" s="73" t="str">
        <f t="shared" si="238"/>
        <v/>
      </c>
      <c r="AO167" s="31" t="str">
        <f t="shared" si="198"/>
        <v>Robert</v>
      </c>
      <c r="AP167" s="66" t="str">
        <f t="shared" si="199"/>
        <v>Vuk</v>
      </c>
      <c r="AQ167" s="47" t="s">
        <v>0</v>
      </c>
      <c r="AR167" s="82" t="str">
        <f t="shared" si="239"/>
        <v/>
      </c>
      <c r="AS167" s="47" t="s">
        <v>0</v>
      </c>
      <c r="AT167" s="19" t="str">
        <f t="shared" si="240"/>
        <v/>
      </c>
      <c r="AU167" s="47" t="s">
        <v>0</v>
      </c>
      <c r="AV167" s="103"/>
      <c r="AW167" s="105"/>
      <c r="AX167" s="47" t="s">
        <v>0</v>
      </c>
      <c r="AY167" s="259" t="str">
        <f t="shared" si="263"/>
        <v/>
      </c>
      <c r="AZ167" s="47" t="s">
        <v>0</v>
      </c>
      <c r="BA167" s="52" t="str">
        <f t="shared" si="200"/>
        <v/>
      </c>
      <c r="BB167" s="73" t="str">
        <f>IF(AV167&amp;AW167="","",MAX(BB$12:BB166)+1)</f>
        <v/>
      </c>
      <c r="BC167" s="272" t="str">
        <f t="shared" si="201"/>
        <v/>
      </c>
      <c r="BD167" s="53" t="str">
        <f>IF(AND(AM167="NEMA",AN167="NEMA",OR(AV167&amp;AW167="",BC167="NEMA")),MAX(BD$12:BD166)+1,"")</f>
        <v/>
      </c>
      <c r="BE167" s="47" t="s">
        <v>0</v>
      </c>
      <c r="BF167" s="52" t="str">
        <f t="shared" si="241"/>
        <v>Robert</v>
      </c>
      <c r="BG167" s="66" t="str">
        <f t="shared" si="242"/>
        <v>Vuk</v>
      </c>
      <c r="BH167" s="47" t="s">
        <v>0</v>
      </c>
      <c r="BI167" s="52" t="str">
        <f t="shared" si="202"/>
        <v>KAP</v>
      </c>
      <c r="BJ167" s="31" t="str">
        <f t="shared" si="203"/>
        <v>OK Kapela</v>
      </c>
      <c r="BK167" s="73" t="str">
        <f t="shared" si="204"/>
        <v/>
      </c>
      <c r="BL167" s="31" t="str" cm="1">
        <f t="array" ref="BL167">IF(BK167="",""&amp;BJ167,IF(BK167="NEMA",BJ167,INDEX(regKlub_naziv,MATCH(INDEX(regKlub_alias_klubId,BK167),regKlub_id,0))))</f>
        <v>OK Kapela</v>
      </c>
      <c r="BM167" s="31" t="str" cm="1">
        <f t="array" ref="BM167">IFERROR(""&amp;INDEX(regNatjecatelj_klub,DV167),"")</f>
        <v>OK Kapela</v>
      </c>
      <c r="BN167" s="73" t="str">
        <f t="shared" si="243"/>
        <v/>
      </c>
      <c r="BO167" s="66" t="str">
        <f t="shared" si="244"/>
        <v>OK Kapela</v>
      </c>
      <c r="BP167" s="47" t="s">
        <v>0</v>
      </c>
      <c r="BQ167" s="52" t="str">
        <f>IF(X167&lt;&gt;"NEMA","",IF(IFERROR(MATCH(W167,W$12:W166,0),0)&lt;&gt;0,"",W167))</f>
        <v/>
      </c>
      <c r="BR167" s="73" t="str">
        <f t="shared" si="245"/>
        <v/>
      </c>
      <c r="BS167" s="31" t="str">
        <f>IF(OR(BR167="",BR167&lt;&gt;"NEMA"),"",MAX(BS$12:BS166)+1)</f>
        <v/>
      </c>
      <c r="BT167" s="66" t="str">
        <f t="shared" si="246"/>
        <v/>
      </c>
      <c r="BU167" s="47" t="s">
        <v>0</v>
      </c>
      <c r="BV167" s="19" t="str">
        <f t="shared" si="247"/>
        <v/>
      </c>
      <c r="BW167" s="47" t="s">
        <v>0</v>
      </c>
      <c r="BX167" s="82" t="str">
        <f>IF(BK167&lt;&gt;"NEMA","",IF(IFERROR(MATCH(BJ167,BJ$12:BJ166,0),0)&lt;&gt;0,"",BJ167))</f>
        <v/>
      </c>
      <c r="BY167" s="47" t="s">
        <v>0</v>
      </c>
      <c r="BZ167" s="125"/>
      <c r="CA167" s="47" t="s">
        <v>0</v>
      </c>
      <c r="CB167" s="58" t="str">
        <f t="shared" si="248"/>
        <v/>
      </c>
      <c r="CC167" s="31" t="str">
        <f t="shared" si="249"/>
        <v/>
      </c>
      <c r="CD167" s="31" t="str">
        <f>IF(CC167="","",MAX(CD$12:CD166)+1)</f>
        <v/>
      </c>
      <c r="CE167" s="31" t="str">
        <f t="shared" si="205"/>
        <v/>
      </c>
      <c r="CF167" s="31" t="str">
        <f t="shared" si="250"/>
        <v/>
      </c>
      <c r="CG167" s="31" t="str">
        <f>IF(BZ167="","",MAX(CG$12:CG166)+1)</f>
        <v/>
      </c>
      <c r="CH167" s="31" t="str">
        <f t="shared" si="251"/>
        <v/>
      </c>
      <c r="CI167" s="66" t="str">
        <f t="shared" si="252"/>
        <v/>
      </c>
      <c r="CJ167" s="47" t="s">
        <v>0</v>
      </c>
      <c r="CK167" s="73" t="str">
        <f t="shared" si="206"/>
        <v/>
      </c>
      <c r="CL167" s="47"/>
      <c r="CM167" s="19" t="str">
        <f t="shared" si="253"/>
        <v/>
      </c>
      <c r="CN167" s="47" t="s">
        <v>0</v>
      </c>
      <c r="CO167" s="143" t="str">
        <f t="shared" si="254"/>
        <v>OK Kapela</v>
      </c>
      <c r="CP167" s="47" t="s">
        <v>0</v>
      </c>
      <c r="CQ167" s="58" t="str">
        <f t="shared" ref="CQ167:CQ230" si="270">IF(G167="","",G167)</f>
        <v>64:26</v>
      </c>
      <c r="CR167" s="73" t="str">
        <f t="shared" ref="CR167:CR230" si="271">IF(H167="","",H167)</f>
        <v>0</v>
      </c>
      <c r="CS167" s="229" t="str">
        <f t="shared" si="207"/>
        <v/>
      </c>
      <c r="CT167" s="230">
        <f t="shared" si="192"/>
        <v>3866</v>
      </c>
      <c r="CU167" s="163">
        <f t="shared" si="208"/>
        <v>1</v>
      </c>
      <c r="CV167" s="47" t="s">
        <v>0</v>
      </c>
      <c r="CW167" s="222" t="str">
        <f t="shared" si="255"/>
        <v xml:space="preserve">
</v>
      </c>
      <c r="CX167" s="223">
        <f t="shared" si="256"/>
        <v>6</v>
      </c>
      <c r="CY167" s="47" t="s">
        <v>0</v>
      </c>
      <c r="CZ167" s="47"/>
      <c r="DA167" s="47"/>
      <c r="DB167" s="47"/>
      <c r="DC167" s="47" t="s">
        <v>0</v>
      </c>
      <c r="DD167" s="53" t="str">
        <f t="shared" si="264"/>
        <v/>
      </c>
      <c r="DE167" t="s">
        <v>0</v>
      </c>
      <c r="DF167" s="128" t="str">
        <f t="shared" si="265"/>
        <v>M</v>
      </c>
      <c r="DG167" t="s">
        <v>0</v>
      </c>
      <c r="DH167" s="52" t="str">
        <f t="shared" si="266"/>
        <v/>
      </c>
      <c r="DI167" s="66" t="str">
        <f t="shared" si="267"/>
        <v/>
      </c>
      <c r="DJ167" t="s">
        <v>0</v>
      </c>
      <c r="DK167" s="19" t="str">
        <f t="shared" si="268"/>
        <v/>
      </c>
      <c r="DL167" s="47" t="s">
        <v>0</v>
      </c>
      <c r="DM167" s="19" t="str">
        <f t="shared" si="269"/>
        <v/>
      </c>
      <c r="DN167" s="47" t="s">
        <v>0</v>
      </c>
      <c r="DO167" s="52" t="str">
        <f t="shared" si="209"/>
        <v>Robert – Vuk – OK Kapela – M55</v>
      </c>
      <c r="DP167" s="53">
        <f t="shared" si="210"/>
        <v>328</v>
      </c>
      <c r="DQ167" s="47" t="s">
        <v>0</v>
      </c>
      <c r="DR167" s="52" t="str">
        <f t="shared" si="211"/>
        <v>Robert – Vuk – OK Kapela</v>
      </c>
      <c r="DS167" s="53">
        <f t="shared" si="212"/>
        <v>328</v>
      </c>
      <c r="DT167" s="47" t="s">
        <v>0</v>
      </c>
      <c r="DU167" s="52" t="str">
        <f t="shared" si="213"/>
        <v>Robert – Vuk</v>
      </c>
      <c r="DV167" s="53">
        <f t="shared" si="214"/>
        <v>328</v>
      </c>
      <c r="DW167" s="47" t="s">
        <v>0</v>
      </c>
      <c r="DX167" s="58">
        <f t="shared" si="257"/>
        <v>328</v>
      </c>
      <c r="DY167" s="53" cm="1">
        <f t="array" ref="DY167">IF(DX167&lt;&gt;"",INDEX(regNatjecatelj_id,DX167,0),IF(BD167&lt;&gt;"",BD167,""))</f>
        <v>1388</v>
      </c>
      <c r="DZ167" s="47" t="s">
        <v>0</v>
      </c>
      <c r="EA167" s="58" t="str">
        <f t="shared" si="215"/>
        <v>imepre</v>
      </c>
      <c r="EB167" s="73" t="str">
        <f t="shared" si="216"/>
        <v>klu</v>
      </c>
      <c r="EC167" s="73" t="str">
        <f t="shared" si="217"/>
        <v>kat</v>
      </c>
      <c r="ED167" s="73" t="str">
        <f t="shared" si="218"/>
        <v/>
      </c>
      <c r="EE167" s="66" t="str">
        <f t="shared" si="219"/>
        <v>imepre-klu-kat</v>
      </c>
      <c r="EF167" s="47" t="s">
        <v>0</v>
      </c>
      <c r="EG167" s="58">
        <f>IF(AL167="","",MAX(EG$12:EG166)+1)</f>
        <v>332</v>
      </c>
      <c r="EH167" s="73">
        <f t="shared" si="220"/>
        <v>31</v>
      </c>
      <c r="EI167" s="73">
        <f t="shared" si="258"/>
        <v>1388</v>
      </c>
      <c r="EJ167" s="73">
        <f t="shared" si="221"/>
        <v>3866</v>
      </c>
      <c r="EK167" s="73">
        <f t="shared" si="222"/>
        <v>1</v>
      </c>
      <c r="EL167" s="73">
        <f t="shared" si="259"/>
        <v>1</v>
      </c>
      <c r="EM167" s="73">
        <f t="shared" si="260"/>
        <v>1</v>
      </c>
      <c r="EN167" s="73" t="str">
        <f t="shared" si="223"/>
        <v>0</v>
      </c>
      <c r="EO167" s="73" t="str">
        <f t="shared" si="224"/>
        <v/>
      </c>
      <c r="EP167" s="73" t="str">
        <f t="shared" si="225"/>
        <v/>
      </c>
      <c r="EQ167" s="53" t="str">
        <f t="shared" si="226"/>
        <v/>
      </c>
      <c r="ER167" s="47" t="s">
        <v>0</v>
      </c>
      <c r="ES167" s="19" t="str">
        <f t="shared" si="261"/>
        <v>INSERT INTO rezultat(id,stazakategorija_id,imeprezime_id,vrijeme_sec,status_id,registracija,uparivanje_id,originalstatus_id,imeprezimealias_id,klubalias_id,kategorijaalias_id) VALUES (332,31,1388,3866,1,1,1,0,Null,Null,Null);</v>
      </c>
      <c r="ET167" s="47" t="s">
        <v>0</v>
      </c>
      <c r="EU167" s="19" t="str">
        <f t="shared" si="262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7" s="47" t="s">
        <v>0</v>
      </c>
      <c r="EW167" s="180" t="str">
        <f t="shared" si="227"/>
        <v xml:space="preserve">
INSERT INTO rezultat(id,stazakategorija_id,imeprezime_id,vrijeme_sec,status_id,registracija,uparivanje_id,originalstatus_id,imeprezimealias_id,klubalias_id,kategorijaalias_id) VALUES (332,31,1388,3866,1,1,1,0,Null,Null,Null);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7" s="47" t="s">
        <v>0</v>
      </c>
    </row>
    <row r="168" spans="1:154" x14ac:dyDescent="0.25">
      <c r="A168" t="s">
        <v>0</v>
      </c>
      <c r="B168" s="52" t="str">
        <f>IF(csv!F158="","",csv!T158)</f>
        <v>M55</v>
      </c>
      <c r="C168" s="31" t="s">
        <v>0</v>
      </c>
      <c r="D168" s="31" t="str">
        <f>IF(csv!F158="","",csv!F158)</f>
        <v>Nenad</v>
      </c>
      <c r="E168" s="31" t="str">
        <f>IF(csv!E158="","",csv!E158)</f>
        <v>Mihaljević</v>
      </c>
      <c r="F168" s="31" t="s">
        <v>0</v>
      </c>
      <c r="G168" s="73" t="str">
        <f>IF(csv!M158="","",csv!M158)</f>
        <v>67:35</v>
      </c>
      <c r="H168" s="73" t="str">
        <f>IF(csv!N158="","",csv!N158)</f>
        <v>0</v>
      </c>
      <c r="I168" s="31" t="s">
        <v>0</v>
      </c>
      <c r="J168" s="31" t="str">
        <f>IF(csv!P158="","",csv!P158)</f>
        <v>Vihor</v>
      </c>
      <c r="K168" s="31" t="str">
        <f>IF(csv!Q158="","",csv!Q158)</f>
        <v>OK Vihor</v>
      </c>
      <c r="L168" s="31" t="s">
        <v>0</v>
      </c>
      <c r="M168" s="66" t="str">
        <f>IF(csv!R158="","",csv!R158)</f>
        <v>CRO</v>
      </c>
      <c r="N168" s="47" t="s">
        <v>0</v>
      </c>
      <c r="O168" s="246" t="str">
        <f t="shared" si="228"/>
        <v>ok</v>
      </c>
      <c r="P168" s="47"/>
      <c r="Q168" s="52" t="str">
        <f t="shared" si="229"/>
        <v>M55</v>
      </c>
      <c r="R168" s="73">
        <f>IF(Q168="","",IF(COUNTIF(Q$12:Q167,Q168)=0,R167+1,R167))</f>
        <v>9</v>
      </c>
      <c r="S168" s="73">
        <f t="shared" si="230"/>
        <v>105</v>
      </c>
      <c r="T168" s="73">
        <f t="shared" si="193"/>
        <v>16</v>
      </c>
      <c r="U168" s="66" t="str">
        <f t="shared" si="194"/>
        <v>M55</v>
      </c>
      <c r="V168" s="47" t="s">
        <v>0</v>
      </c>
      <c r="W168" s="222" t="str">
        <f t="shared" si="195"/>
        <v>M55</v>
      </c>
      <c r="X168" s="223">
        <f t="shared" si="196"/>
        <v>31</v>
      </c>
      <c r="Y168" s="47" t="s">
        <v>0</v>
      </c>
      <c r="Z168" s="52" t="str">
        <f t="shared" si="231"/>
        <v>CRO</v>
      </c>
      <c r="AA168" s="73">
        <f t="shared" si="197"/>
        <v>1</v>
      </c>
      <c r="AB168" s="31" t="str">
        <f t="shared" si="232"/>
        <v/>
      </c>
      <c r="AC168" s="66" t="str">
        <f>IF(AB168="","",MAX(AC$12:AC167)+1)</f>
        <v/>
      </c>
      <c r="AD168" s="47" t="s">
        <v>0</v>
      </c>
      <c r="AE168" s="125"/>
      <c r="AF168" s="47" t="s">
        <v>0</v>
      </c>
      <c r="AG168" s="19" t="str">
        <f t="shared" si="233"/>
        <v/>
      </c>
      <c r="AH168" s="47" t="s">
        <v>0</v>
      </c>
      <c r="AI168" s="143" t="str">
        <f t="shared" si="234"/>
        <v>CRO</v>
      </c>
      <c r="AJ168" s="47"/>
      <c r="AK168" s="52" t="str">
        <f t="shared" si="235"/>
        <v>Nenad</v>
      </c>
      <c r="AL168" s="31" t="str">
        <f t="shared" si="236"/>
        <v>Mihaljević</v>
      </c>
      <c r="AM168" s="73">
        <f t="shared" si="237"/>
        <v>1533</v>
      </c>
      <c r="AN168" s="73" t="str">
        <f t="shared" si="238"/>
        <v/>
      </c>
      <c r="AO168" s="31" t="str">
        <f t="shared" si="198"/>
        <v>Nenad</v>
      </c>
      <c r="AP168" s="66" t="str">
        <f t="shared" si="199"/>
        <v>Mihaljević</v>
      </c>
      <c r="AQ168" s="47" t="s">
        <v>0</v>
      </c>
      <c r="AR168" s="82" t="str">
        <f t="shared" si="239"/>
        <v/>
      </c>
      <c r="AS168" s="47" t="s">
        <v>0</v>
      </c>
      <c r="AT168" s="19" t="str">
        <f t="shared" si="240"/>
        <v/>
      </c>
      <c r="AU168" s="47" t="s">
        <v>0</v>
      </c>
      <c r="AV168" s="103"/>
      <c r="AW168" s="105"/>
      <c r="AX168" s="47" t="s">
        <v>0</v>
      </c>
      <c r="AY168" s="259" t="str">
        <f t="shared" si="263"/>
        <v/>
      </c>
      <c r="AZ168" s="47" t="s">
        <v>0</v>
      </c>
      <c r="BA168" s="52" t="str">
        <f t="shared" si="200"/>
        <v/>
      </c>
      <c r="BB168" s="73" t="str">
        <f>IF(AV168&amp;AW168="","",MAX(BB$12:BB167)+1)</f>
        <v/>
      </c>
      <c r="BC168" s="272" t="str">
        <f t="shared" si="201"/>
        <v/>
      </c>
      <c r="BD168" s="53" t="str">
        <f>IF(AND(AM168="NEMA",AN168="NEMA",OR(AV168&amp;AW168="",BC168="NEMA")),MAX(BD$12:BD167)+1,"")</f>
        <v/>
      </c>
      <c r="BE168" s="47" t="s">
        <v>0</v>
      </c>
      <c r="BF168" s="52" t="str">
        <f t="shared" si="241"/>
        <v>Nenad</v>
      </c>
      <c r="BG168" s="66" t="str">
        <f t="shared" si="242"/>
        <v>Mihaljević</v>
      </c>
      <c r="BH168" s="47" t="s">
        <v>0</v>
      </c>
      <c r="BI168" s="52" t="str">
        <f t="shared" si="202"/>
        <v>Vihor</v>
      </c>
      <c r="BJ168" s="31" t="str">
        <f t="shared" si="203"/>
        <v>OK Vihor</v>
      </c>
      <c r="BK168" s="73" t="str">
        <f t="shared" si="204"/>
        <v/>
      </c>
      <c r="BL168" s="31" t="str" cm="1">
        <f t="array" ref="BL168">IF(BK168="",""&amp;BJ168,IF(BK168="NEMA",BJ168,INDEX(regKlub_naziv,MATCH(INDEX(regKlub_alias_klubId,BK168),regKlub_id,0))))</f>
        <v>OK Vihor</v>
      </c>
      <c r="BM168" s="31" t="str" cm="1">
        <f t="array" ref="BM168">IFERROR(""&amp;INDEX(regNatjecatelj_klub,DV168),"")</f>
        <v>OK Vihor</v>
      </c>
      <c r="BN168" s="73" t="str">
        <f t="shared" si="243"/>
        <v/>
      </c>
      <c r="BO168" s="66" t="str">
        <f t="shared" si="244"/>
        <v>OK Vihor</v>
      </c>
      <c r="BP168" s="47" t="s">
        <v>0</v>
      </c>
      <c r="BQ168" s="52" t="str">
        <f>IF(X168&lt;&gt;"NEMA","",IF(IFERROR(MATCH(W168,W$12:W167,0),0)&lt;&gt;0,"",W168))</f>
        <v/>
      </c>
      <c r="BR168" s="73" t="str">
        <f t="shared" si="245"/>
        <v/>
      </c>
      <c r="BS168" s="31" t="str">
        <f>IF(OR(BR168="",BR168&lt;&gt;"NEMA"),"",MAX(BS$12:BS167)+1)</f>
        <v/>
      </c>
      <c r="BT168" s="66" t="str">
        <f t="shared" si="246"/>
        <v/>
      </c>
      <c r="BU168" s="47" t="s">
        <v>0</v>
      </c>
      <c r="BV168" s="19" t="str">
        <f t="shared" si="247"/>
        <v/>
      </c>
      <c r="BW168" s="47" t="s">
        <v>0</v>
      </c>
      <c r="BX168" s="82" t="str">
        <f>IF(BK168&lt;&gt;"NEMA","",IF(IFERROR(MATCH(BJ168,BJ$12:BJ167,0),0)&lt;&gt;0,"",BJ168))</f>
        <v/>
      </c>
      <c r="BY168" s="47" t="s">
        <v>0</v>
      </c>
      <c r="BZ168" s="125"/>
      <c r="CA168" s="47" t="s">
        <v>0</v>
      </c>
      <c r="CB168" s="58" t="str">
        <f t="shared" si="248"/>
        <v/>
      </c>
      <c r="CC168" s="31" t="str">
        <f t="shared" si="249"/>
        <v/>
      </c>
      <c r="CD168" s="31" t="str">
        <f>IF(CC168="","",MAX(CD$12:CD167)+1)</f>
        <v/>
      </c>
      <c r="CE168" s="31" t="str">
        <f t="shared" si="205"/>
        <v/>
      </c>
      <c r="CF168" s="31" t="str">
        <f t="shared" si="250"/>
        <v/>
      </c>
      <c r="CG168" s="31" t="str">
        <f>IF(BZ168="","",MAX(CG$12:CG167)+1)</f>
        <v/>
      </c>
      <c r="CH168" s="31" t="str">
        <f t="shared" si="251"/>
        <v/>
      </c>
      <c r="CI168" s="66" t="str">
        <f t="shared" si="252"/>
        <v/>
      </c>
      <c r="CJ168" s="47" t="s">
        <v>0</v>
      </c>
      <c r="CK168" s="73" t="str">
        <f t="shared" si="206"/>
        <v/>
      </c>
      <c r="CL168" s="47"/>
      <c r="CM168" s="19" t="str">
        <f t="shared" si="253"/>
        <v/>
      </c>
      <c r="CN168" s="47" t="s">
        <v>0</v>
      </c>
      <c r="CO168" s="143" t="str">
        <f t="shared" si="254"/>
        <v>OK Vihor</v>
      </c>
      <c r="CP168" s="47" t="s">
        <v>0</v>
      </c>
      <c r="CQ168" s="58" t="str">
        <f t="shared" si="270"/>
        <v>67:35</v>
      </c>
      <c r="CR168" s="73" t="str">
        <f t="shared" si="271"/>
        <v>0</v>
      </c>
      <c r="CS168" s="229" t="str">
        <f t="shared" si="207"/>
        <v/>
      </c>
      <c r="CT168" s="230">
        <f t="shared" si="192"/>
        <v>4055</v>
      </c>
      <c r="CU168" s="163">
        <f t="shared" si="208"/>
        <v>1</v>
      </c>
      <c r="CV168" s="47" t="s">
        <v>0</v>
      </c>
      <c r="CW168" s="222" t="str">
        <f t="shared" si="255"/>
        <v xml:space="preserve">
</v>
      </c>
      <c r="CX168" s="223">
        <f t="shared" si="256"/>
        <v>6</v>
      </c>
      <c r="CY168" s="47" t="s">
        <v>0</v>
      </c>
      <c r="CZ168" s="47"/>
      <c r="DA168" s="47"/>
      <c r="DB168" s="47"/>
      <c r="DC168" s="47" t="s">
        <v>0</v>
      </c>
      <c r="DD168" s="53" t="str">
        <f t="shared" si="264"/>
        <v/>
      </c>
      <c r="DE168" t="s">
        <v>0</v>
      </c>
      <c r="DF168" s="128" t="str">
        <f t="shared" si="265"/>
        <v>M</v>
      </c>
      <c r="DG168" t="s">
        <v>0</v>
      </c>
      <c r="DH168" s="52" t="str">
        <f t="shared" si="266"/>
        <v/>
      </c>
      <c r="DI168" s="66" t="str">
        <f t="shared" si="267"/>
        <v/>
      </c>
      <c r="DJ168" t="s">
        <v>0</v>
      </c>
      <c r="DK168" s="19" t="str">
        <f t="shared" si="268"/>
        <v/>
      </c>
      <c r="DL168" s="47" t="s">
        <v>0</v>
      </c>
      <c r="DM168" s="19" t="str">
        <f t="shared" si="269"/>
        <v/>
      </c>
      <c r="DN168" s="47" t="s">
        <v>0</v>
      </c>
      <c r="DO168" s="52" t="str">
        <f t="shared" si="209"/>
        <v>Nenad – Mihaljević – OK Vihor – M55</v>
      </c>
      <c r="DP168" s="53">
        <f t="shared" si="210"/>
        <v>806</v>
      </c>
      <c r="DQ168" s="47" t="s">
        <v>0</v>
      </c>
      <c r="DR168" s="52" t="str">
        <f t="shared" si="211"/>
        <v>Nenad – Mihaljević – OK Vihor</v>
      </c>
      <c r="DS168" s="53">
        <f t="shared" si="212"/>
        <v>806</v>
      </c>
      <c r="DT168" s="47" t="s">
        <v>0</v>
      </c>
      <c r="DU168" s="52" t="str">
        <f t="shared" si="213"/>
        <v>Nenad – Mihaljević</v>
      </c>
      <c r="DV168" s="53">
        <f t="shared" si="214"/>
        <v>806</v>
      </c>
      <c r="DW168" s="47" t="s">
        <v>0</v>
      </c>
      <c r="DX168" s="58">
        <f t="shared" si="257"/>
        <v>806</v>
      </c>
      <c r="DY168" s="53" cm="1">
        <f t="array" ref="DY168">IF(DX168&lt;&gt;"",INDEX(regNatjecatelj_id,DX168,0),IF(BD168&lt;&gt;"",BD168,""))</f>
        <v>1533</v>
      </c>
      <c r="DZ168" s="47" t="s">
        <v>0</v>
      </c>
      <c r="EA168" s="58" t="str">
        <f t="shared" si="215"/>
        <v>imepre</v>
      </c>
      <c r="EB168" s="73" t="str">
        <f t="shared" si="216"/>
        <v>klu</v>
      </c>
      <c r="EC168" s="73" t="str">
        <f t="shared" si="217"/>
        <v>kat</v>
      </c>
      <c r="ED168" s="73" t="str">
        <f t="shared" si="218"/>
        <v/>
      </c>
      <c r="EE168" s="66" t="str">
        <f t="shared" si="219"/>
        <v>imepre-klu-kat</v>
      </c>
      <c r="EF168" s="47" t="s">
        <v>0</v>
      </c>
      <c r="EG168" s="58">
        <f>IF(AL168="","",MAX(EG$12:EG167)+1)</f>
        <v>333</v>
      </c>
      <c r="EH168" s="73">
        <f t="shared" si="220"/>
        <v>31</v>
      </c>
      <c r="EI168" s="73">
        <f t="shared" si="258"/>
        <v>1533</v>
      </c>
      <c r="EJ168" s="73">
        <f t="shared" si="221"/>
        <v>4055</v>
      </c>
      <c r="EK168" s="73">
        <f t="shared" si="222"/>
        <v>1</v>
      </c>
      <c r="EL168" s="73">
        <f t="shared" si="259"/>
        <v>1</v>
      </c>
      <c r="EM168" s="73">
        <f t="shared" si="260"/>
        <v>1</v>
      </c>
      <c r="EN168" s="73" t="str">
        <f t="shared" si="223"/>
        <v>0</v>
      </c>
      <c r="EO168" s="73" t="str">
        <f t="shared" si="224"/>
        <v/>
      </c>
      <c r="EP168" s="73" t="str">
        <f t="shared" si="225"/>
        <v/>
      </c>
      <c r="EQ168" s="53" t="str">
        <f t="shared" si="226"/>
        <v/>
      </c>
      <c r="ER168" s="47" t="s">
        <v>0</v>
      </c>
      <c r="ES168" s="19" t="str">
        <f t="shared" si="261"/>
        <v>INSERT INTO rezultat(id,stazakategorija_id,imeprezime_id,vrijeme_sec,status_id,registracija,uparivanje_id,originalstatus_id,imeprezimealias_id,klubalias_id,kategorijaalias_id) VALUES (333,31,1533,4055,1,1,1,0,Null,Null,Null);</v>
      </c>
      <c r="ET168" s="47" t="s">
        <v>0</v>
      </c>
      <c r="EU168" s="19" t="str">
        <f t="shared" si="262"/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8" s="47" t="s">
        <v>0</v>
      </c>
      <c r="EW168" s="180" t="str">
        <f t="shared" si="227"/>
        <v xml:space="preserve">
INSERT INTO rezultat(id,stazakategorija_id,imeprezime_id,vrijeme_sec,status_id,registracija,uparivanje_id,originalstatus_id,imeprezimealias_id,klubalias_id,kategorijaalias_id) VALUES (333,31,1533,4055,1,1,1,0,Null,Null,Null);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8" s="47" t="s">
        <v>0</v>
      </c>
    </row>
    <row r="169" spans="1:154" x14ac:dyDescent="0.25">
      <c r="A169" t="s">
        <v>0</v>
      </c>
      <c r="B169" s="52" t="str">
        <f>IF(csv!F159="","",csv!T159)</f>
        <v>M55</v>
      </c>
      <c r="C169" s="31" t="s">
        <v>0</v>
      </c>
      <c r="D169" s="31" t="str">
        <f>IF(csv!F159="","",csv!F159)</f>
        <v>Josip</v>
      </c>
      <c r="E169" s="31" t="str">
        <f>IF(csv!E159="","",csv!E159)</f>
        <v>Matijašić</v>
      </c>
      <c r="F169" s="31" t="s">
        <v>0</v>
      </c>
      <c r="G169" s="73" t="str">
        <f>IF(csv!M159="","",csv!M159)</f>
        <v>70:40</v>
      </c>
      <c r="H169" s="73" t="str">
        <f>IF(csv!N159="","",csv!N159)</f>
        <v>0</v>
      </c>
      <c r="I169" s="31" t="s">
        <v>0</v>
      </c>
      <c r="J169" s="31" t="str">
        <f>IF(csv!P159="","",csv!P159)</f>
        <v>Vihor</v>
      </c>
      <c r="K169" s="31" t="str">
        <f>IF(csv!Q159="","",csv!Q159)</f>
        <v>OK Vihor</v>
      </c>
      <c r="L169" s="31" t="s">
        <v>0</v>
      </c>
      <c r="M169" s="66" t="str">
        <f>IF(csv!R159="","",csv!R159)</f>
        <v>CRO</v>
      </c>
      <c r="N169" s="47" t="s">
        <v>0</v>
      </c>
      <c r="O169" s="246" t="str">
        <f t="shared" si="228"/>
        <v>ok</v>
      </c>
      <c r="P169" s="47"/>
      <c r="Q169" s="52" t="str">
        <f t="shared" si="229"/>
        <v>M55</v>
      </c>
      <c r="R169" s="73">
        <f>IF(Q169="","",IF(COUNTIF(Q$12:Q168,Q169)=0,R168+1,R168))</f>
        <v>9</v>
      </c>
      <c r="S169" s="73">
        <f t="shared" si="230"/>
        <v>105</v>
      </c>
      <c r="T169" s="73">
        <f t="shared" si="193"/>
        <v>16</v>
      </c>
      <c r="U169" s="66" t="str">
        <f t="shared" si="194"/>
        <v>M55</v>
      </c>
      <c r="V169" s="47" t="s">
        <v>0</v>
      </c>
      <c r="W169" s="222" t="str">
        <f t="shared" si="195"/>
        <v>M55</v>
      </c>
      <c r="X169" s="223">
        <f t="shared" si="196"/>
        <v>31</v>
      </c>
      <c r="Y169" s="47" t="s">
        <v>0</v>
      </c>
      <c r="Z169" s="52" t="str">
        <f t="shared" si="231"/>
        <v>CRO</v>
      </c>
      <c r="AA169" s="73">
        <f t="shared" si="197"/>
        <v>1</v>
      </c>
      <c r="AB169" s="31" t="str">
        <f t="shared" si="232"/>
        <v/>
      </c>
      <c r="AC169" s="66" t="str">
        <f>IF(AB169="","",MAX(AC$12:AC168)+1)</f>
        <v/>
      </c>
      <c r="AD169" s="47" t="s">
        <v>0</v>
      </c>
      <c r="AE169" s="125"/>
      <c r="AF169" s="47" t="s">
        <v>0</v>
      </c>
      <c r="AG169" s="19" t="str">
        <f t="shared" si="233"/>
        <v/>
      </c>
      <c r="AH169" s="47" t="s">
        <v>0</v>
      </c>
      <c r="AI169" s="143" t="str">
        <f t="shared" si="234"/>
        <v>CRO</v>
      </c>
      <c r="AJ169" s="47"/>
      <c r="AK169" s="52" t="str">
        <f t="shared" si="235"/>
        <v>Josip</v>
      </c>
      <c r="AL169" s="31" t="str">
        <f t="shared" si="236"/>
        <v>Matijašić</v>
      </c>
      <c r="AM169" s="73">
        <f t="shared" si="237"/>
        <v>1271</v>
      </c>
      <c r="AN169" s="73" t="str">
        <f t="shared" si="238"/>
        <v/>
      </c>
      <c r="AO169" s="31" t="str">
        <f t="shared" si="198"/>
        <v>Josip</v>
      </c>
      <c r="AP169" s="66" t="str">
        <f t="shared" si="199"/>
        <v>Matijašić</v>
      </c>
      <c r="AQ169" s="47" t="s">
        <v>0</v>
      </c>
      <c r="AR169" s="82" t="str">
        <f t="shared" si="239"/>
        <v/>
      </c>
      <c r="AS169" s="47" t="s">
        <v>0</v>
      </c>
      <c r="AT169" s="19" t="str">
        <f t="shared" si="240"/>
        <v/>
      </c>
      <c r="AU169" s="47" t="s">
        <v>0</v>
      </c>
      <c r="AV169" s="103"/>
      <c r="AW169" s="105"/>
      <c r="AX169" s="47" t="s">
        <v>0</v>
      </c>
      <c r="AY169" s="259" t="str">
        <f t="shared" si="263"/>
        <v/>
      </c>
      <c r="AZ169" s="47" t="s">
        <v>0</v>
      </c>
      <c r="BA169" s="52" t="str">
        <f t="shared" si="200"/>
        <v/>
      </c>
      <c r="BB169" s="73" t="str">
        <f>IF(AV169&amp;AW169="","",MAX(BB$12:BB168)+1)</f>
        <v/>
      </c>
      <c r="BC169" s="272" t="str">
        <f t="shared" si="201"/>
        <v/>
      </c>
      <c r="BD169" s="53" t="str">
        <f>IF(AND(AM169="NEMA",AN169="NEMA",OR(AV169&amp;AW169="",BC169="NEMA")),MAX(BD$12:BD168)+1,"")</f>
        <v/>
      </c>
      <c r="BE169" s="47" t="s">
        <v>0</v>
      </c>
      <c r="BF169" s="52" t="str">
        <f t="shared" si="241"/>
        <v>Josip</v>
      </c>
      <c r="BG169" s="66" t="str">
        <f t="shared" si="242"/>
        <v>Matijašić</v>
      </c>
      <c r="BH169" s="47" t="s">
        <v>0</v>
      </c>
      <c r="BI169" s="52" t="str">
        <f t="shared" si="202"/>
        <v>Vihor</v>
      </c>
      <c r="BJ169" s="31" t="str">
        <f t="shared" si="203"/>
        <v>OK Vihor</v>
      </c>
      <c r="BK169" s="73" t="str">
        <f t="shared" si="204"/>
        <v/>
      </c>
      <c r="BL169" s="31" t="str" cm="1">
        <f t="array" ref="BL169">IF(BK169="",""&amp;BJ169,IF(BK169="NEMA",BJ169,INDEX(regKlub_naziv,MATCH(INDEX(regKlub_alias_klubId,BK169),regKlub_id,0))))</f>
        <v>OK Vihor</v>
      </c>
      <c r="BM169" s="31" t="str" cm="1">
        <f t="array" ref="BM169">IFERROR(""&amp;INDEX(regNatjecatelj_klub,DV169),"")</f>
        <v>OK Vihor</v>
      </c>
      <c r="BN169" s="73" t="str">
        <f t="shared" si="243"/>
        <v/>
      </c>
      <c r="BO169" s="66" t="str">
        <f t="shared" si="244"/>
        <v>OK Vihor</v>
      </c>
      <c r="BP169" s="47" t="s">
        <v>0</v>
      </c>
      <c r="BQ169" s="52" t="str">
        <f>IF(X169&lt;&gt;"NEMA","",IF(IFERROR(MATCH(W169,W$12:W168,0),0)&lt;&gt;0,"",W169))</f>
        <v/>
      </c>
      <c r="BR169" s="73" t="str">
        <f t="shared" si="245"/>
        <v/>
      </c>
      <c r="BS169" s="31" t="str">
        <f>IF(OR(BR169="",BR169&lt;&gt;"NEMA"),"",MAX(BS$12:BS168)+1)</f>
        <v/>
      </c>
      <c r="BT169" s="66" t="str">
        <f t="shared" si="246"/>
        <v/>
      </c>
      <c r="BU169" s="47" t="s">
        <v>0</v>
      </c>
      <c r="BV169" s="19" t="str">
        <f t="shared" si="247"/>
        <v/>
      </c>
      <c r="BW169" s="47" t="s">
        <v>0</v>
      </c>
      <c r="BX169" s="82" t="str">
        <f>IF(BK169&lt;&gt;"NEMA","",IF(IFERROR(MATCH(BJ169,BJ$12:BJ168,0),0)&lt;&gt;0,"",BJ169))</f>
        <v/>
      </c>
      <c r="BY169" s="47" t="s">
        <v>0</v>
      </c>
      <c r="BZ169" s="125"/>
      <c r="CA169" s="47" t="s">
        <v>0</v>
      </c>
      <c r="CB169" s="58" t="str">
        <f t="shared" si="248"/>
        <v/>
      </c>
      <c r="CC169" s="31" t="str">
        <f t="shared" si="249"/>
        <v/>
      </c>
      <c r="CD169" s="31" t="str">
        <f>IF(CC169="","",MAX(CD$12:CD168)+1)</f>
        <v/>
      </c>
      <c r="CE169" s="31" t="str">
        <f t="shared" si="205"/>
        <v/>
      </c>
      <c r="CF169" s="31" t="str">
        <f t="shared" si="250"/>
        <v/>
      </c>
      <c r="CG169" s="31" t="str">
        <f>IF(BZ169="","",MAX(CG$12:CG168)+1)</f>
        <v/>
      </c>
      <c r="CH169" s="31" t="str">
        <f t="shared" si="251"/>
        <v/>
      </c>
      <c r="CI169" s="66" t="str">
        <f t="shared" si="252"/>
        <v/>
      </c>
      <c r="CJ169" s="47" t="s">
        <v>0</v>
      </c>
      <c r="CK169" s="73" t="str">
        <f t="shared" si="206"/>
        <v/>
      </c>
      <c r="CL169" s="47"/>
      <c r="CM169" s="19" t="str">
        <f t="shared" si="253"/>
        <v/>
      </c>
      <c r="CN169" s="47" t="s">
        <v>0</v>
      </c>
      <c r="CO169" s="143" t="str">
        <f t="shared" si="254"/>
        <v>OK Vihor</v>
      </c>
      <c r="CP169" s="47" t="s">
        <v>0</v>
      </c>
      <c r="CQ169" s="58" t="str">
        <f t="shared" si="270"/>
        <v>70:40</v>
      </c>
      <c r="CR169" s="73" t="str">
        <f t="shared" si="271"/>
        <v>0</v>
      </c>
      <c r="CS169" s="229" t="str">
        <f t="shared" si="207"/>
        <v/>
      </c>
      <c r="CT169" s="230">
        <f t="shared" si="192"/>
        <v>4240</v>
      </c>
      <c r="CU169" s="163">
        <f t="shared" si="208"/>
        <v>1</v>
      </c>
      <c r="CV169" s="47" t="s">
        <v>0</v>
      </c>
      <c r="CW169" s="222" t="str">
        <f t="shared" si="255"/>
        <v xml:space="preserve">
</v>
      </c>
      <c r="CX169" s="223">
        <f t="shared" si="256"/>
        <v>6</v>
      </c>
      <c r="CY169" s="47" t="s">
        <v>0</v>
      </c>
      <c r="CZ169" s="47"/>
      <c r="DA169" s="47"/>
      <c r="DB169" s="47"/>
      <c r="DC169" s="47" t="s">
        <v>0</v>
      </c>
      <c r="DD169" s="53" t="str">
        <f t="shared" si="264"/>
        <v/>
      </c>
      <c r="DE169" t="s">
        <v>0</v>
      </c>
      <c r="DF169" s="128" t="str">
        <f t="shared" si="265"/>
        <v>M</v>
      </c>
      <c r="DG169" t="s">
        <v>0</v>
      </c>
      <c r="DH169" s="52" t="str">
        <f t="shared" si="266"/>
        <v/>
      </c>
      <c r="DI169" s="66" t="str">
        <f t="shared" si="267"/>
        <v/>
      </c>
      <c r="DJ169" t="s">
        <v>0</v>
      </c>
      <c r="DK169" s="19" t="str">
        <f t="shared" si="268"/>
        <v/>
      </c>
      <c r="DL169" s="47" t="s">
        <v>0</v>
      </c>
      <c r="DM169" s="19" t="str">
        <f t="shared" si="269"/>
        <v/>
      </c>
      <c r="DN169" s="47" t="s">
        <v>0</v>
      </c>
      <c r="DO169" s="52" t="str">
        <f t="shared" si="209"/>
        <v>Josip – Matijašić – OK Vihor – M55</v>
      </c>
      <c r="DP169" s="53">
        <f t="shared" si="210"/>
        <v>796</v>
      </c>
      <c r="DQ169" s="47" t="s">
        <v>0</v>
      </c>
      <c r="DR169" s="52" t="str">
        <f t="shared" si="211"/>
        <v>Josip – Matijašić – OK Vihor</v>
      </c>
      <c r="DS169" s="53">
        <f t="shared" si="212"/>
        <v>796</v>
      </c>
      <c r="DT169" s="47" t="s">
        <v>0</v>
      </c>
      <c r="DU169" s="52" t="str">
        <f t="shared" si="213"/>
        <v>Josip – Matijašić</v>
      </c>
      <c r="DV169" s="53">
        <f t="shared" si="214"/>
        <v>796</v>
      </c>
      <c r="DW169" s="47" t="s">
        <v>0</v>
      </c>
      <c r="DX169" s="58">
        <f t="shared" si="257"/>
        <v>796</v>
      </c>
      <c r="DY169" s="53" cm="1">
        <f t="array" ref="DY169">IF(DX169&lt;&gt;"",INDEX(regNatjecatelj_id,DX169,0),IF(BD169&lt;&gt;"",BD169,""))</f>
        <v>1271</v>
      </c>
      <c r="DZ169" s="47" t="s">
        <v>0</v>
      </c>
      <c r="EA169" s="58" t="str">
        <f t="shared" si="215"/>
        <v>imepre</v>
      </c>
      <c r="EB169" s="73" t="str">
        <f t="shared" si="216"/>
        <v>klu</v>
      </c>
      <c r="EC169" s="73" t="str">
        <f t="shared" si="217"/>
        <v>kat</v>
      </c>
      <c r="ED169" s="73" t="str">
        <f t="shared" si="218"/>
        <v/>
      </c>
      <c r="EE169" s="66" t="str">
        <f t="shared" si="219"/>
        <v>imepre-klu-kat</v>
      </c>
      <c r="EF169" s="47" t="s">
        <v>0</v>
      </c>
      <c r="EG169" s="58">
        <f>IF(AL169="","",MAX(EG$12:EG168)+1)</f>
        <v>334</v>
      </c>
      <c r="EH169" s="73">
        <f t="shared" si="220"/>
        <v>31</v>
      </c>
      <c r="EI169" s="73">
        <f t="shared" si="258"/>
        <v>1271</v>
      </c>
      <c r="EJ169" s="73">
        <f t="shared" si="221"/>
        <v>4240</v>
      </c>
      <c r="EK169" s="73">
        <f t="shared" si="222"/>
        <v>1</v>
      </c>
      <c r="EL169" s="73">
        <f t="shared" si="259"/>
        <v>1</v>
      </c>
      <c r="EM169" s="73">
        <f t="shared" si="260"/>
        <v>1</v>
      </c>
      <c r="EN169" s="73" t="str">
        <f t="shared" si="223"/>
        <v>0</v>
      </c>
      <c r="EO169" s="73" t="str">
        <f t="shared" si="224"/>
        <v/>
      </c>
      <c r="EP169" s="73" t="str">
        <f t="shared" si="225"/>
        <v/>
      </c>
      <c r="EQ169" s="53" t="str">
        <f t="shared" si="226"/>
        <v/>
      </c>
      <c r="ER169" s="47" t="s">
        <v>0</v>
      </c>
      <c r="ES169" s="19" t="str">
        <f t="shared" si="261"/>
        <v>INSERT INTO rezultat(id,stazakategorija_id,imeprezime_id,vrijeme_sec,status_id,registracija,uparivanje_id,originalstatus_id,imeprezimealias_id,klubalias_id,kategorijaalias_id) VALUES (334,31,1271,4240,1,1,1,0,Null,Null,Null);</v>
      </c>
      <c r="ET169" s="47" t="s">
        <v>0</v>
      </c>
      <c r="EU169" s="19" t="str">
        <f t="shared" si="262"/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9" s="47" t="s">
        <v>0</v>
      </c>
      <c r="EW169" s="180" t="str">
        <f t="shared" si="227"/>
        <v xml:space="preserve">
INSERT INTO rezultat(id,stazakategorija_id,imeprezime_id,vrijeme_sec,status_id,registracija,uparivanje_id,originalstatus_id,imeprezimealias_id,klubalias_id,kategorijaalias_id) VALUES (334,31,1271,4240,1,1,1,0,Null,Null,Null);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9" s="47" t="s">
        <v>0</v>
      </c>
    </row>
    <row r="170" spans="1:154" x14ac:dyDescent="0.25">
      <c r="A170" t="s">
        <v>0</v>
      </c>
      <c r="B170" s="52" t="str">
        <f>IF(csv!F160="","",csv!T160)</f>
        <v>M55</v>
      </c>
      <c r="C170" s="31" t="s">
        <v>0</v>
      </c>
      <c r="D170" s="31" t="str">
        <f>IF(csv!F160="","",csv!F160)</f>
        <v>Ivo</v>
      </c>
      <c r="E170" s="31" t="str">
        <f>IF(csv!E160="","",csv!E160)</f>
        <v>Lukačić</v>
      </c>
      <c r="F170" s="31" t="s">
        <v>0</v>
      </c>
      <c r="G170" s="73" t="str">
        <f>IF(csv!M160="","",csv!M160)</f>
        <v>78:18</v>
      </c>
      <c r="H170" s="73" t="str">
        <f>IF(csv!N160="","",csv!N160)</f>
        <v>0</v>
      </c>
      <c r="I170" s="31" t="s">
        <v>0</v>
      </c>
      <c r="J170" s="31" t="str">
        <f>IF(csv!P160="","",csv!P160)</f>
        <v/>
      </c>
      <c r="K170" s="31" t="str">
        <f>IF(csv!Q160="","",csv!Q160)</f>
        <v/>
      </c>
      <c r="L170" s="31" t="s">
        <v>0</v>
      </c>
      <c r="M170" s="66" t="str">
        <f>IF(csv!R160="","",csv!R160)</f>
        <v/>
      </c>
      <c r="N170" s="47" t="s">
        <v>0</v>
      </c>
      <c r="O170" s="246" t="str">
        <f t="shared" si="228"/>
        <v>ok</v>
      </c>
      <c r="P170" s="47"/>
      <c r="Q170" s="52" t="str">
        <f t="shared" si="229"/>
        <v>M55</v>
      </c>
      <c r="R170" s="73">
        <f>IF(Q170="","",IF(COUNTIF(Q$12:Q169,Q170)=0,R169+1,R169))</f>
        <v>9</v>
      </c>
      <c r="S170" s="73">
        <f t="shared" si="230"/>
        <v>105</v>
      </c>
      <c r="T170" s="73">
        <f t="shared" si="193"/>
        <v>16</v>
      </c>
      <c r="U170" s="66" t="str">
        <f t="shared" si="194"/>
        <v>M55</v>
      </c>
      <c r="V170" s="47" t="s">
        <v>0</v>
      </c>
      <c r="W170" s="222" t="str">
        <f t="shared" si="195"/>
        <v>M55</v>
      </c>
      <c r="X170" s="223">
        <f t="shared" si="196"/>
        <v>31</v>
      </c>
      <c r="Y170" s="47" t="s">
        <v>0</v>
      </c>
      <c r="Z170" s="52" t="str">
        <f t="shared" si="231"/>
        <v/>
      </c>
      <c r="AA170" s="73" t="str">
        <f t="shared" si="197"/>
        <v/>
      </c>
      <c r="AB170" s="31" t="str">
        <f t="shared" si="232"/>
        <v/>
      </c>
      <c r="AC170" s="66" t="str">
        <f>IF(AB170="","",MAX(AC$12:AC169)+1)</f>
        <v/>
      </c>
      <c r="AD170" s="47" t="s">
        <v>0</v>
      </c>
      <c r="AE170" s="125"/>
      <c r="AF170" s="47" t="s">
        <v>0</v>
      </c>
      <c r="AG170" s="19" t="str">
        <f t="shared" si="233"/>
        <v/>
      </c>
      <c r="AH170" s="47" t="s">
        <v>0</v>
      </c>
      <c r="AI170" s="143" t="str">
        <f t="shared" si="234"/>
        <v/>
      </c>
      <c r="AJ170" s="47"/>
      <c r="AK170" s="52" t="str">
        <f t="shared" si="235"/>
        <v>Ivo</v>
      </c>
      <c r="AL170" s="31" t="str">
        <f t="shared" si="236"/>
        <v>Lukačić</v>
      </c>
      <c r="AM170" s="73">
        <f t="shared" si="237"/>
        <v>1952</v>
      </c>
      <c r="AN170" s="73" t="str">
        <f t="shared" si="238"/>
        <v/>
      </c>
      <c r="AO170" s="31" t="str">
        <f t="shared" si="198"/>
        <v>Ivo</v>
      </c>
      <c r="AP170" s="66" t="str">
        <f t="shared" si="199"/>
        <v>Lukačić</v>
      </c>
      <c r="AQ170" s="47" t="s">
        <v>0</v>
      </c>
      <c r="AR170" s="82" t="str">
        <f t="shared" si="239"/>
        <v/>
      </c>
      <c r="AS170" s="47" t="s">
        <v>0</v>
      </c>
      <c r="AT170" s="19" t="str">
        <f t="shared" si="240"/>
        <v/>
      </c>
      <c r="AU170" s="47" t="s">
        <v>0</v>
      </c>
      <c r="AV170" s="103"/>
      <c r="AW170" s="105"/>
      <c r="AX170" s="47" t="s">
        <v>0</v>
      </c>
      <c r="AY170" s="259" t="str">
        <f t="shared" si="263"/>
        <v/>
      </c>
      <c r="AZ170" s="47" t="s">
        <v>0</v>
      </c>
      <c r="BA170" s="52" t="str">
        <f t="shared" si="200"/>
        <v/>
      </c>
      <c r="BB170" s="73" t="str">
        <f>IF(AV170&amp;AW170="","",MAX(BB$12:BB169)+1)</f>
        <v/>
      </c>
      <c r="BC170" s="272" t="str">
        <f t="shared" si="201"/>
        <v/>
      </c>
      <c r="BD170" s="53" t="str">
        <f>IF(AND(AM170="NEMA",AN170="NEMA",OR(AV170&amp;AW170="",BC170="NEMA")),MAX(BD$12:BD169)+1,"")</f>
        <v/>
      </c>
      <c r="BE170" s="47" t="s">
        <v>0</v>
      </c>
      <c r="BF170" s="52" t="str">
        <f t="shared" si="241"/>
        <v>Ivo</v>
      </c>
      <c r="BG170" s="66" t="str">
        <f t="shared" si="242"/>
        <v>Lukačić</v>
      </c>
      <c r="BH170" s="47" t="s">
        <v>0</v>
      </c>
      <c r="BI170" s="52" t="str">
        <f t="shared" si="202"/>
        <v/>
      </c>
      <c r="BJ170" s="31" t="str">
        <f t="shared" si="203"/>
        <v/>
      </c>
      <c r="BK170" s="73" t="str">
        <f t="shared" si="204"/>
        <v/>
      </c>
      <c r="BL170" s="31" t="str" cm="1">
        <f t="array" ref="BL170">IF(BK170="",""&amp;BJ170,IF(BK170="NEMA",BJ170,INDEX(regKlub_naziv,MATCH(INDEX(regKlub_alias_klubId,BK170),regKlub_id,0))))</f>
        <v/>
      </c>
      <c r="BM170" s="31" t="str" cm="1">
        <f t="array" ref="BM170">IFERROR(""&amp;INDEX(regNatjecatelj_klub,DV170),"")</f>
        <v/>
      </c>
      <c r="BN170" s="73" t="str">
        <f t="shared" si="243"/>
        <v/>
      </c>
      <c r="BO170" s="66" t="str">
        <f t="shared" si="244"/>
        <v/>
      </c>
      <c r="BP170" s="47" t="s">
        <v>0</v>
      </c>
      <c r="BQ170" s="52" t="str">
        <f>IF(X170&lt;&gt;"NEMA","",IF(IFERROR(MATCH(W170,W$12:W169,0),0)&lt;&gt;0,"",W170))</f>
        <v/>
      </c>
      <c r="BR170" s="73" t="str">
        <f t="shared" si="245"/>
        <v/>
      </c>
      <c r="BS170" s="31" t="str">
        <f>IF(OR(BR170="",BR170&lt;&gt;"NEMA"),"",MAX(BS$12:BS169)+1)</f>
        <v/>
      </c>
      <c r="BT170" s="66" t="str">
        <f t="shared" si="246"/>
        <v/>
      </c>
      <c r="BU170" s="47" t="s">
        <v>0</v>
      </c>
      <c r="BV170" s="19" t="str">
        <f t="shared" si="247"/>
        <v/>
      </c>
      <c r="BW170" s="47" t="s">
        <v>0</v>
      </c>
      <c r="BX170" s="82" t="str">
        <f>IF(BK170&lt;&gt;"NEMA","",IF(IFERROR(MATCH(BJ170,BJ$12:BJ169,0),0)&lt;&gt;0,"",BJ170))</f>
        <v/>
      </c>
      <c r="BY170" s="47" t="s">
        <v>0</v>
      </c>
      <c r="BZ170" s="125"/>
      <c r="CA170" s="47" t="s">
        <v>0</v>
      </c>
      <c r="CB170" s="58" t="str">
        <f t="shared" si="248"/>
        <v/>
      </c>
      <c r="CC170" s="31" t="str">
        <f t="shared" si="249"/>
        <v/>
      </c>
      <c r="CD170" s="31" t="str">
        <f>IF(CC170="","",MAX(CD$12:CD169)+1)</f>
        <v/>
      </c>
      <c r="CE170" s="31" t="str">
        <f t="shared" si="205"/>
        <v/>
      </c>
      <c r="CF170" s="31" t="str">
        <f t="shared" si="250"/>
        <v/>
      </c>
      <c r="CG170" s="31" t="str">
        <f>IF(BZ170="","",MAX(CG$12:CG169)+1)</f>
        <v/>
      </c>
      <c r="CH170" s="31" t="str">
        <f t="shared" si="251"/>
        <v/>
      </c>
      <c r="CI170" s="66" t="str">
        <f t="shared" si="252"/>
        <v/>
      </c>
      <c r="CJ170" s="47" t="s">
        <v>0</v>
      </c>
      <c r="CK170" s="73" t="str">
        <f t="shared" si="206"/>
        <v/>
      </c>
      <c r="CL170" s="47"/>
      <c r="CM170" s="19" t="str">
        <f t="shared" si="253"/>
        <v/>
      </c>
      <c r="CN170" s="47" t="s">
        <v>0</v>
      </c>
      <c r="CO170" s="143" t="str">
        <f t="shared" si="254"/>
        <v/>
      </c>
      <c r="CP170" s="47" t="s">
        <v>0</v>
      </c>
      <c r="CQ170" s="58" t="str">
        <f t="shared" si="270"/>
        <v>78:18</v>
      </c>
      <c r="CR170" s="73" t="str">
        <f t="shared" si="271"/>
        <v>0</v>
      </c>
      <c r="CS170" s="229" t="str">
        <f t="shared" si="207"/>
        <v/>
      </c>
      <c r="CT170" s="230">
        <f t="shared" si="192"/>
        <v>4698</v>
      </c>
      <c r="CU170" s="163">
        <f t="shared" si="208"/>
        <v>1</v>
      </c>
      <c r="CV170" s="47" t="s">
        <v>0</v>
      </c>
      <c r="CW170" s="222" t="str">
        <f t="shared" si="255"/>
        <v xml:space="preserve">
</v>
      </c>
      <c r="CX170" s="223">
        <f t="shared" si="256"/>
        <v>6</v>
      </c>
      <c r="CY170" s="47" t="s">
        <v>0</v>
      </c>
      <c r="CZ170" s="47"/>
      <c r="DA170" s="47"/>
      <c r="DB170" s="47"/>
      <c r="DC170" s="47" t="s">
        <v>0</v>
      </c>
      <c r="DD170" s="53" t="str">
        <f t="shared" si="264"/>
        <v/>
      </c>
      <c r="DE170" t="s">
        <v>0</v>
      </c>
      <c r="DF170" s="128" t="str">
        <f t="shared" si="265"/>
        <v>M</v>
      </c>
      <c r="DG170" t="s">
        <v>0</v>
      </c>
      <c r="DH170" s="52" t="str">
        <f t="shared" si="266"/>
        <v/>
      </c>
      <c r="DI170" s="66" t="str">
        <f t="shared" si="267"/>
        <v/>
      </c>
      <c r="DJ170" t="s">
        <v>0</v>
      </c>
      <c r="DK170" s="19" t="str">
        <f t="shared" si="268"/>
        <v/>
      </c>
      <c r="DL170" s="47" t="s">
        <v>0</v>
      </c>
      <c r="DM170" s="19" t="str">
        <f t="shared" si="269"/>
        <v/>
      </c>
      <c r="DN170" s="47" t="s">
        <v>0</v>
      </c>
      <c r="DO170" s="52" t="str">
        <f t="shared" si="209"/>
        <v>Ivo – Lukačić – M55</v>
      </c>
      <c r="DP170" s="53" t="str">
        <f t="shared" si="210"/>
        <v>NEMA</v>
      </c>
      <c r="DQ170" s="47" t="s">
        <v>0</v>
      </c>
      <c r="DR170" s="52" t="str">
        <f t="shared" si="211"/>
        <v>Ivo – Lukačić</v>
      </c>
      <c r="DS170" s="53">
        <f t="shared" si="212"/>
        <v>2</v>
      </c>
      <c r="DT170" s="47" t="s">
        <v>0</v>
      </c>
      <c r="DU170" s="52" t="str">
        <f t="shared" si="213"/>
        <v>Ivo – Lukačić</v>
      </c>
      <c r="DV170" s="53">
        <f t="shared" si="214"/>
        <v>2</v>
      </c>
      <c r="DW170" s="47" t="s">
        <v>0</v>
      </c>
      <c r="DX170" s="58">
        <f t="shared" si="257"/>
        <v>2</v>
      </c>
      <c r="DY170" s="53" cm="1">
        <f t="array" ref="DY170">IF(DX170&lt;&gt;"",INDEX(regNatjecatelj_id,DX170,0),IF(BD170&lt;&gt;"",BD170,""))</f>
        <v>1952</v>
      </c>
      <c r="DZ170" s="47" t="s">
        <v>0</v>
      </c>
      <c r="EA170" s="58" t="str">
        <f t="shared" si="215"/>
        <v>imepre</v>
      </c>
      <c r="EB170" s="73" t="str">
        <f t="shared" si="216"/>
        <v>klu</v>
      </c>
      <c r="EC170" s="73" t="str">
        <f t="shared" si="217"/>
        <v>kat</v>
      </c>
      <c r="ED170" s="73" t="str">
        <f t="shared" si="218"/>
        <v/>
      </c>
      <c r="EE170" s="66" t="str">
        <f t="shared" si="219"/>
        <v>imepre-klu-kat</v>
      </c>
      <c r="EF170" s="47" t="s">
        <v>0</v>
      </c>
      <c r="EG170" s="58">
        <f>IF(AL170="","",MAX(EG$12:EG169)+1)</f>
        <v>335</v>
      </c>
      <c r="EH170" s="73">
        <f t="shared" si="220"/>
        <v>31</v>
      </c>
      <c r="EI170" s="73">
        <f t="shared" si="258"/>
        <v>1952</v>
      </c>
      <c r="EJ170" s="73">
        <f t="shared" si="221"/>
        <v>4698</v>
      </c>
      <c r="EK170" s="73">
        <f t="shared" si="222"/>
        <v>1</v>
      </c>
      <c r="EL170" s="73">
        <f t="shared" si="259"/>
        <v>0</v>
      </c>
      <c r="EM170" s="73">
        <f t="shared" si="260"/>
        <v>1</v>
      </c>
      <c r="EN170" s="73" t="str">
        <f t="shared" si="223"/>
        <v>0</v>
      </c>
      <c r="EO170" s="73" t="str">
        <f t="shared" si="224"/>
        <v/>
      </c>
      <c r="EP170" s="73" t="str">
        <f t="shared" si="225"/>
        <v/>
      </c>
      <c r="EQ170" s="53" t="str">
        <f t="shared" si="226"/>
        <v/>
      </c>
      <c r="ER170" s="47" t="s">
        <v>0</v>
      </c>
      <c r="ES170" s="19" t="str">
        <f t="shared" si="261"/>
        <v>INSERT INTO rezultat(id,stazakategorija_id,imeprezime_id,vrijeme_sec,status_id,registracija,uparivanje_id,originalstatus_id,imeprezimealias_id,klubalias_id,kategorijaalias_id) VALUES (335,31,1952,4698,1,0,1,0,Null,Null,Null);</v>
      </c>
      <c r="ET170" s="47" t="s">
        <v>0</v>
      </c>
      <c r="EU170" s="19" t="str">
        <f t="shared" si="262"/>
        <v/>
      </c>
      <c r="EV170" s="47" t="s">
        <v>0</v>
      </c>
      <c r="EW170" s="180" t="str">
        <f t="shared" si="227"/>
        <v xml:space="preserve">
INSERT INTO rezultat(id,stazakategorija_id,imeprezime_id,vrijeme_sec,status_id,registracija,uparivanje_id,originalstatus_id,imeprezimealias_id,klubalias_id,kategorijaalias_id) VALUES (335,31,1952,4698,1,0,1,0,Null,Null,Null);</v>
      </c>
      <c r="EX170" s="47" t="s">
        <v>0</v>
      </c>
    </row>
    <row r="171" spans="1:154" x14ac:dyDescent="0.25">
      <c r="A171" t="s">
        <v>0</v>
      </c>
      <c r="B171" s="52" t="str">
        <f>IF(csv!F161="","",csv!T161)</f>
        <v>M55</v>
      </c>
      <c r="C171" s="31" t="s">
        <v>0</v>
      </c>
      <c r="D171" s="31" t="str">
        <f>IF(csv!F161="","",csv!F161)</f>
        <v>Damir</v>
      </c>
      <c r="E171" s="31" t="str">
        <f>IF(csv!E161="","",csv!E161)</f>
        <v>Ćurić</v>
      </c>
      <c r="F171" s="31" t="s">
        <v>0</v>
      </c>
      <c r="G171" s="73" t="str">
        <f>IF(csv!M161="","",csv!M161)</f>
        <v>89:48</v>
      </c>
      <c r="H171" s="73" t="str">
        <f>IF(csv!N161="","",csv!N161)</f>
        <v>0</v>
      </c>
      <c r="I171" s="31" t="s">
        <v>0</v>
      </c>
      <c r="J171" s="31" t="str">
        <f>IF(csv!P161="","",csv!P161)</f>
        <v>KAP</v>
      </c>
      <c r="K171" s="31" t="str">
        <f>IF(csv!Q161="","",csv!Q161)</f>
        <v>OK Kapela</v>
      </c>
      <c r="L171" s="31" t="s">
        <v>0</v>
      </c>
      <c r="M171" s="66" t="str">
        <f>IF(csv!R161="","",csv!R161)</f>
        <v>CRO</v>
      </c>
      <c r="N171" s="47" t="s">
        <v>0</v>
      </c>
      <c r="O171" s="246" t="str">
        <f t="shared" si="228"/>
        <v>ok</v>
      </c>
      <c r="P171" s="47"/>
      <c r="Q171" s="52" t="str">
        <f t="shared" si="229"/>
        <v>M55</v>
      </c>
      <c r="R171" s="73">
        <f>IF(Q171="","",IF(COUNTIF(Q$12:Q170,Q171)=0,R170+1,R170))</f>
        <v>9</v>
      </c>
      <c r="S171" s="73">
        <f t="shared" si="230"/>
        <v>105</v>
      </c>
      <c r="T171" s="73">
        <f t="shared" si="193"/>
        <v>16</v>
      </c>
      <c r="U171" s="66" t="str">
        <f t="shared" si="194"/>
        <v>M55</v>
      </c>
      <c r="V171" s="47" t="s">
        <v>0</v>
      </c>
      <c r="W171" s="222" t="str">
        <f t="shared" si="195"/>
        <v>M55</v>
      </c>
      <c r="X171" s="223">
        <f t="shared" si="196"/>
        <v>31</v>
      </c>
      <c r="Y171" s="47" t="s">
        <v>0</v>
      </c>
      <c r="Z171" s="52" t="str">
        <f t="shared" si="231"/>
        <v>CRO</v>
      </c>
      <c r="AA171" s="73">
        <f t="shared" si="197"/>
        <v>1</v>
      </c>
      <c r="AB171" s="31" t="str">
        <f t="shared" si="232"/>
        <v/>
      </c>
      <c r="AC171" s="66" t="str">
        <f>IF(AB171="","",MAX(AC$12:AC170)+1)</f>
        <v/>
      </c>
      <c r="AD171" s="47" t="s">
        <v>0</v>
      </c>
      <c r="AE171" s="125"/>
      <c r="AF171" s="47" t="s">
        <v>0</v>
      </c>
      <c r="AG171" s="19" t="str">
        <f t="shared" si="233"/>
        <v/>
      </c>
      <c r="AH171" s="47" t="s">
        <v>0</v>
      </c>
      <c r="AI171" s="143" t="str">
        <f t="shared" si="234"/>
        <v>CRO</v>
      </c>
      <c r="AJ171" s="47"/>
      <c r="AK171" s="52" t="str">
        <f t="shared" si="235"/>
        <v>Damir</v>
      </c>
      <c r="AL171" s="31" t="str">
        <f t="shared" si="236"/>
        <v>Ćurić</v>
      </c>
      <c r="AM171" s="73">
        <f t="shared" si="237"/>
        <v>1868</v>
      </c>
      <c r="AN171" s="73" t="str">
        <f t="shared" si="238"/>
        <v/>
      </c>
      <c r="AO171" s="31" t="str">
        <f t="shared" si="198"/>
        <v>Damir</v>
      </c>
      <c r="AP171" s="66" t="str">
        <f t="shared" si="199"/>
        <v>Ćurić</v>
      </c>
      <c r="AQ171" s="47" t="s">
        <v>0</v>
      </c>
      <c r="AR171" s="82" t="str">
        <f t="shared" si="239"/>
        <v/>
      </c>
      <c r="AS171" s="47" t="s">
        <v>0</v>
      </c>
      <c r="AT171" s="19" t="str">
        <f t="shared" si="240"/>
        <v/>
      </c>
      <c r="AU171" s="47" t="s">
        <v>0</v>
      </c>
      <c r="AV171" s="103"/>
      <c r="AW171" s="105"/>
      <c r="AX171" s="47" t="s">
        <v>0</v>
      </c>
      <c r="AY171" s="259" t="str">
        <f t="shared" si="263"/>
        <v/>
      </c>
      <c r="AZ171" s="47" t="s">
        <v>0</v>
      </c>
      <c r="BA171" s="52" t="str">
        <f t="shared" si="200"/>
        <v/>
      </c>
      <c r="BB171" s="73" t="str">
        <f>IF(AV171&amp;AW171="","",MAX(BB$12:BB170)+1)</f>
        <v/>
      </c>
      <c r="BC171" s="272" t="str">
        <f t="shared" si="201"/>
        <v/>
      </c>
      <c r="BD171" s="53" t="str">
        <f>IF(AND(AM171="NEMA",AN171="NEMA",OR(AV171&amp;AW171="",BC171="NEMA")),MAX(BD$12:BD170)+1,"")</f>
        <v/>
      </c>
      <c r="BE171" s="47" t="s">
        <v>0</v>
      </c>
      <c r="BF171" s="52" t="str">
        <f t="shared" si="241"/>
        <v>Damir</v>
      </c>
      <c r="BG171" s="66" t="str">
        <f t="shared" si="242"/>
        <v>Ćurić</v>
      </c>
      <c r="BH171" s="47" t="s">
        <v>0</v>
      </c>
      <c r="BI171" s="52" t="str">
        <f t="shared" si="202"/>
        <v>KAP</v>
      </c>
      <c r="BJ171" s="31" t="str">
        <f t="shared" si="203"/>
        <v>OK Kapela</v>
      </c>
      <c r="BK171" s="73" t="str">
        <f t="shared" si="204"/>
        <v/>
      </c>
      <c r="BL171" s="31" t="str" cm="1">
        <f t="array" ref="BL171">IF(BK171="",""&amp;BJ171,IF(BK171="NEMA",BJ171,INDEX(regKlub_naziv,MATCH(INDEX(regKlub_alias_klubId,BK171),regKlub_id,0))))</f>
        <v>OK Kapela</v>
      </c>
      <c r="BM171" s="31" t="str" cm="1">
        <f t="array" ref="BM171">IFERROR(""&amp;INDEX(regNatjecatelj_klub,DV171),"")</f>
        <v>OK Kapela</v>
      </c>
      <c r="BN171" s="73" t="str">
        <f t="shared" si="243"/>
        <v/>
      </c>
      <c r="BO171" s="66" t="str">
        <f t="shared" si="244"/>
        <v>OK Kapela</v>
      </c>
      <c r="BP171" s="47" t="s">
        <v>0</v>
      </c>
      <c r="BQ171" s="52" t="str">
        <f>IF(X171&lt;&gt;"NEMA","",IF(IFERROR(MATCH(W171,W$12:W170,0),0)&lt;&gt;0,"",W171))</f>
        <v/>
      </c>
      <c r="BR171" s="73" t="str">
        <f t="shared" si="245"/>
        <v/>
      </c>
      <c r="BS171" s="31" t="str">
        <f>IF(OR(BR171="",BR171&lt;&gt;"NEMA"),"",MAX(BS$12:BS170)+1)</f>
        <v/>
      </c>
      <c r="BT171" s="66" t="str">
        <f t="shared" si="246"/>
        <v/>
      </c>
      <c r="BU171" s="47" t="s">
        <v>0</v>
      </c>
      <c r="BV171" s="19" t="str">
        <f t="shared" si="247"/>
        <v/>
      </c>
      <c r="BW171" s="47" t="s">
        <v>0</v>
      </c>
      <c r="BX171" s="82" t="str">
        <f>IF(BK171&lt;&gt;"NEMA","",IF(IFERROR(MATCH(BJ171,BJ$12:BJ170,0),0)&lt;&gt;0,"",BJ171))</f>
        <v/>
      </c>
      <c r="BY171" s="47" t="s">
        <v>0</v>
      </c>
      <c r="BZ171" s="125"/>
      <c r="CA171" s="47" t="s">
        <v>0</v>
      </c>
      <c r="CB171" s="58" t="str">
        <f t="shared" si="248"/>
        <v/>
      </c>
      <c r="CC171" s="31" t="str">
        <f t="shared" si="249"/>
        <v/>
      </c>
      <c r="CD171" s="31" t="str">
        <f>IF(CC171="","",MAX(CD$12:CD170)+1)</f>
        <v/>
      </c>
      <c r="CE171" s="31" t="str">
        <f t="shared" si="205"/>
        <v/>
      </c>
      <c r="CF171" s="31" t="str">
        <f t="shared" si="250"/>
        <v/>
      </c>
      <c r="CG171" s="31" t="str">
        <f>IF(BZ171="","",MAX(CG$12:CG170)+1)</f>
        <v/>
      </c>
      <c r="CH171" s="31" t="str">
        <f t="shared" si="251"/>
        <v/>
      </c>
      <c r="CI171" s="66" t="str">
        <f t="shared" si="252"/>
        <v/>
      </c>
      <c r="CJ171" s="47" t="s">
        <v>0</v>
      </c>
      <c r="CK171" s="73" t="str">
        <f t="shared" si="206"/>
        <v/>
      </c>
      <c r="CL171" s="47"/>
      <c r="CM171" s="19" t="str">
        <f t="shared" si="253"/>
        <v/>
      </c>
      <c r="CN171" s="47" t="s">
        <v>0</v>
      </c>
      <c r="CO171" s="143" t="str">
        <f t="shared" si="254"/>
        <v>OK Kapela</v>
      </c>
      <c r="CP171" s="47" t="s">
        <v>0</v>
      </c>
      <c r="CQ171" s="58" t="str">
        <f t="shared" si="270"/>
        <v>89:48</v>
      </c>
      <c r="CR171" s="73" t="str">
        <f t="shared" si="271"/>
        <v>0</v>
      </c>
      <c r="CS171" s="229" t="str">
        <f t="shared" si="207"/>
        <v/>
      </c>
      <c r="CT171" s="230">
        <f t="shared" si="192"/>
        <v>5388</v>
      </c>
      <c r="CU171" s="163">
        <f t="shared" si="208"/>
        <v>1</v>
      </c>
      <c r="CV171" s="47" t="s">
        <v>0</v>
      </c>
      <c r="CW171" s="222" t="str">
        <f t="shared" si="255"/>
        <v xml:space="preserve">
</v>
      </c>
      <c r="CX171" s="223">
        <f t="shared" si="256"/>
        <v>6</v>
      </c>
      <c r="CY171" s="47" t="s">
        <v>0</v>
      </c>
      <c r="CZ171" s="47"/>
      <c r="DA171" s="47"/>
      <c r="DB171" s="47"/>
      <c r="DC171" s="47" t="s">
        <v>0</v>
      </c>
      <c r="DD171" s="53" t="str">
        <f t="shared" si="264"/>
        <v/>
      </c>
      <c r="DE171" t="s">
        <v>0</v>
      </c>
      <c r="DF171" s="128" t="str">
        <f t="shared" si="265"/>
        <v>M</v>
      </c>
      <c r="DG171" t="s">
        <v>0</v>
      </c>
      <c r="DH171" s="52" t="str">
        <f t="shared" si="266"/>
        <v/>
      </c>
      <c r="DI171" s="66" t="str">
        <f t="shared" si="267"/>
        <v/>
      </c>
      <c r="DJ171" t="s">
        <v>0</v>
      </c>
      <c r="DK171" s="19" t="str">
        <f t="shared" si="268"/>
        <v/>
      </c>
      <c r="DL171" s="47" t="s">
        <v>0</v>
      </c>
      <c r="DM171" s="19" t="str">
        <f t="shared" si="269"/>
        <v/>
      </c>
      <c r="DN171" s="47" t="s">
        <v>0</v>
      </c>
      <c r="DO171" s="52" t="str">
        <f t="shared" si="209"/>
        <v>Damir – Ćurić – OK Kapela – M55</v>
      </c>
      <c r="DP171" s="53">
        <f t="shared" si="210"/>
        <v>223</v>
      </c>
      <c r="DQ171" s="47" t="s">
        <v>0</v>
      </c>
      <c r="DR171" s="52" t="str">
        <f t="shared" si="211"/>
        <v>Damir – Ćurić – OK Kapela</v>
      </c>
      <c r="DS171" s="53">
        <f t="shared" si="212"/>
        <v>223</v>
      </c>
      <c r="DT171" s="47" t="s">
        <v>0</v>
      </c>
      <c r="DU171" s="52" t="str">
        <f t="shared" si="213"/>
        <v>Damir – Ćurić</v>
      </c>
      <c r="DV171" s="53">
        <f t="shared" si="214"/>
        <v>223</v>
      </c>
      <c r="DW171" s="47" t="s">
        <v>0</v>
      </c>
      <c r="DX171" s="58">
        <f t="shared" si="257"/>
        <v>223</v>
      </c>
      <c r="DY171" s="53" cm="1">
        <f t="array" ref="DY171">IF(DX171&lt;&gt;"",INDEX(regNatjecatelj_id,DX171,0),IF(BD171&lt;&gt;"",BD171,""))</f>
        <v>1868</v>
      </c>
      <c r="DZ171" s="47" t="s">
        <v>0</v>
      </c>
      <c r="EA171" s="58" t="str">
        <f t="shared" si="215"/>
        <v>imepre</v>
      </c>
      <c r="EB171" s="73" t="str">
        <f t="shared" si="216"/>
        <v>klu</v>
      </c>
      <c r="EC171" s="73" t="str">
        <f t="shared" si="217"/>
        <v>kat</v>
      </c>
      <c r="ED171" s="73" t="str">
        <f t="shared" si="218"/>
        <v/>
      </c>
      <c r="EE171" s="66" t="str">
        <f t="shared" si="219"/>
        <v>imepre-klu-kat</v>
      </c>
      <c r="EF171" s="47" t="s">
        <v>0</v>
      </c>
      <c r="EG171" s="58">
        <f>IF(AL171="","",MAX(EG$12:EG170)+1)</f>
        <v>336</v>
      </c>
      <c r="EH171" s="73">
        <f t="shared" si="220"/>
        <v>31</v>
      </c>
      <c r="EI171" s="73">
        <f t="shared" si="258"/>
        <v>1868</v>
      </c>
      <c r="EJ171" s="73">
        <f t="shared" si="221"/>
        <v>5388</v>
      </c>
      <c r="EK171" s="73">
        <f t="shared" si="222"/>
        <v>1</v>
      </c>
      <c r="EL171" s="73">
        <f t="shared" si="259"/>
        <v>1</v>
      </c>
      <c r="EM171" s="73">
        <f t="shared" si="260"/>
        <v>1</v>
      </c>
      <c r="EN171" s="73" t="str">
        <f t="shared" si="223"/>
        <v>0</v>
      </c>
      <c r="EO171" s="73" t="str">
        <f t="shared" si="224"/>
        <v/>
      </c>
      <c r="EP171" s="73" t="str">
        <f t="shared" si="225"/>
        <v/>
      </c>
      <c r="EQ171" s="53" t="str">
        <f t="shared" si="226"/>
        <v/>
      </c>
      <c r="ER171" s="47" t="s">
        <v>0</v>
      </c>
      <c r="ES171" s="19" t="str">
        <f t="shared" si="261"/>
        <v>INSERT INTO rezultat(id,stazakategorija_id,imeprezime_id,vrijeme_sec,status_id,registracija,uparivanje_id,originalstatus_id,imeprezimealias_id,klubalias_id,kategorijaalias_id) VALUES (336,31,1868,5388,1,1,1,0,Null,Null,Null);</v>
      </c>
      <c r="ET171" s="47" t="s">
        <v>0</v>
      </c>
      <c r="EU171" s="19" t="str">
        <f t="shared" si="262"/>
        <v>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1" s="47" t="s">
        <v>0</v>
      </c>
      <c r="EW171" s="180" t="str">
        <f t="shared" si="227"/>
        <v xml:space="preserve">
INSERT INTO rezultat(id,stazakategorija_id,imeprezime_id,vrijeme_sec,status_id,registracija,uparivanje_id,originalstatus_id,imeprezimealias_id,klubalias_id,kategorijaalias_id) VALUES (336,31,1868,5388,1,1,1,0,Null,Null,Null);
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1" s="47" t="s">
        <v>0</v>
      </c>
    </row>
    <row r="172" spans="1:154" x14ac:dyDescent="0.25">
      <c r="A172" t="s">
        <v>0</v>
      </c>
      <c r="B172" s="52" t="str">
        <f>IF(csv!F162="","",csv!T162)</f>
        <v>M55</v>
      </c>
      <c r="C172" s="31" t="s">
        <v>0</v>
      </c>
      <c r="D172" s="31" t="str">
        <f>IF(csv!F162="","",csv!F162)</f>
        <v>Predrag</v>
      </c>
      <c r="E172" s="31" t="str">
        <f>IF(csv!E162="","",csv!E162)</f>
        <v>Labaš</v>
      </c>
      <c r="F172" s="31" t="s">
        <v>0</v>
      </c>
      <c r="G172" s="73" t="str">
        <f>IF(csv!M162="","",csv!M162)</f>
        <v>172:23</v>
      </c>
      <c r="H172" s="73" t="str">
        <f>IF(csv!N162="","",csv!N162)</f>
        <v>0</v>
      </c>
      <c r="I172" s="31" t="s">
        <v>0</v>
      </c>
      <c r="J172" s="31" t="str">
        <f>IF(csv!P162="","",csv!P162)</f>
        <v>OK Varaždin</v>
      </c>
      <c r="K172" s="31" t="str">
        <f>IF(csv!Q162="","",csv!Q162)</f>
        <v>OK Varaždin</v>
      </c>
      <c r="L172" s="31" t="s">
        <v>0</v>
      </c>
      <c r="M172" s="66" t="str">
        <f>IF(csv!R162="","",csv!R162)</f>
        <v>CRO</v>
      </c>
      <c r="N172" s="47" t="s">
        <v>0</v>
      </c>
      <c r="O172" s="246" t="str">
        <f t="shared" si="228"/>
        <v>ok</v>
      </c>
      <c r="P172" s="47"/>
      <c r="Q172" s="52" t="str">
        <f t="shared" si="229"/>
        <v>M55</v>
      </c>
      <c r="R172" s="73">
        <f>IF(Q172="","",IF(COUNTIF(Q$12:Q171,Q172)=0,R171+1,R171))</f>
        <v>9</v>
      </c>
      <c r="S172" s="73">
        <f t="shared" si="230"/>
        <v>105</v>
      </c>
      <c r="T172" s="73">
        <f t="shared" si="193"/>
        <v>16</v>
      </c>
      <c r="U172" s="66" t="str">
        <f t="shared" si="194"/>
        <v>M55</v>
      </c>
      <c r="V172" s="47" t="s">
        <v>0</v>
      </c>
      <c r="W172" s="222" t="str">
        <f t="shared" si="195"/>
        <v>M55</v>
      </c>
      <c r="X172" s="223">
        <f t="shared" si="196"/>
        <v>31</v>
      </c>
      <c r="Y172" s="47" t="s">
        <v>0</v>
      </c>
      <c r="Z172" s="52" t="str">
        <f t="shared" si="231"/>
        <v>CRO</v>
      </c>
      <c r="AA172" s="73">
        <f t="shared" si="197"/>
        <v>1</v>
      </c>
      <c r="AB172" s="31" t="str">
        <f t="shared" si="232"/>
        <v/>
      </c>
      <c r="AC172" s="66" t="str">
        <f>IF(AB172="","",MAX(AC$12:AC171)+1)</f>
        <v/>
      </c>
      <c r="AD172" s="47" t="s">
        <v>0</v>
      </c>
      <c r="AE172" s="125"/>
      <c r="AF172" s="47" t="s">
        <v>0</v>
      </c>
      <c r="AG172" s="19" t="str">
        <f t="shared" si="233"/>
        <v/>
      </c>
      <c r="AH172" s="47" t="s">
        <v>0</v>
      </c>
      <c r="AI172" s="143" t="str">
        <f t="shared" si="234"/>
        <v>CRO</v>
      </c>
      <c r="AJ172" s="47"/>
      <c r="AK172" s="52" t="str">
        <f t="shared" si="235"/>
        <v>Predrag</v>
      </c>
      <c r="AL172" s="31" t="str">
        <f t="shared" si="236"/>
        <v>Labaš</v>
      </c>
      <c r="AM172" s="73">
        <f t="shared" si="237"/>
        <v>1274</v>
      </c>
      <c r="AN172" s="73" t="str">
        <f t="shared" si="238"/>
        <v/>
      </c>
      <c r="AO172" s="31" t="str">
        <f t="shared" si="198"/>
        <v>Predrag</v>
      </c>
      <c r="AP172" s="66" t="str">
        <f t="shared" si="199"/>
        <v>Labaš</v>
      </c>
      <c r="AQ172" s="47" t="s">
        <v>0</v>
      </c>
      <c r="AR172" s="82" t="str">
        <f t="shared" si="239"/>
        <v/>
      </c>
      <c r="AS172" s="47" t="s">
        <v>0</v>
      </c>
      <c r="AT172" s="19" t="str">
        <f t="shared" si="240"/>
        <v/>
      </c>
      <c r="AU172" s="47" t="s">
        <v>0</v>
      </c>
      <c r="AV172" s="103"/>
      <c r="AW172" s="105"/>
      <c r="AX172" s="47" t="s">
        <v>0</v>
      </c>
      <c r="AY172" s="259" t="str">
        <f t="shared" si="263"/>
        <v/>
      </c>
      <c r="AZ172" s="47" t="s">
        <v>0</v>
      </c>
      <c r="BA172" s="52" t="str">
        <f t="shared" si="200"/>
        <v/>
      </c>
      <c r="BB172" s="73" t="str">
        <f>IF(AV172&amp;AW172="","",MAX(BB$12:BB171)+1)</f>
        <v/>
      </c>
      <c r="BC172" s="272" t="str">
        <f t="shared" si="201"/>
        <v/>
      </c>
      <c r="BD172" s="53" t="str">
        <f>IF(AND(AM172="NEMA",AN172="NEMA",OR(AV172&amp;AW172="",BC172="NEMA")),MAX(BD$12:BD171)+1,"")</f>
        <v/>
      </c>
      <c r="BE172" s="47" t="s">
        <v>0</v>
      </c>
      <c r="BF172" s="52" t="str">
        <f t="shared" si="241"/>
        <v>Predrag</v>
      </c>
      <c r="BG172" s="66" t="str">
        <f t="shared" si="242"/>
        <v>Labaš</v>
      </c>
      <c r="BH172" s="47" t="s">
        <v>0</v>
      </c>
      <c r="BI172" s="52" t="str">
        <f t="shared" si="202"/>
        <v>OK Varaždin</v>
      </c>
      <c r="BJ172" s="31" t="str">
        <f t="shared" si="203"/>
        <v>OK Varaždin</v>
      </c>
      <c r="BK172" s="73" t="str">
        <f t="shared" si="204"/>
        <v/>
      </c>
      <c r="BL172" s="31" t="str" cm="1">
        <f t="array" ref="BL172">IF(BK172="",""&amp;BJ172,IF(BK172="NEMA",BJ172,INDEX(regKlub_naziv,MATCH(INDEX(regKlub_alias_klubId,BK172),regKlub_id,0))))</f>
        <v>OK Varaždin</v>
      </c>
      <c r="BM172" s="31" t="str" cm="1">
        <f t="array" ref="BM172">IFERROR(""&amp;INDEX(regNatjecatelj_klub,DV172),"")</f>
        <v>OK Varaždin</v>
      </c>
      <c r="BN172" s="73" t="str">
        <f t="shared" si="243"/>
        <v/>
      </c>
      <c r="BO172" s="66" t="str">
        <f t="shared" si="244"/>
        <v>OK Varaždin</v>
      </c>
      <c r="BP172" s="47" t="s">
        <v>0</v>
      </c>
      <c r="BQ172" s="52" t="str">
        <f>IF(X172&lt;&gt;"NEMA","",IF(IFERROR(MATCH(W172,W$12:W171,0),0)&lt;&gt;0,"",W172))</f>
        <v/>
      </c>
      <c r="BR172" s="73" t="str">
        <f t="shared" si="245"/>
        <v/>
      </c>
      <c r="BS172" s="31" t="str">
        <f>IF(OR(BR172="",BR172&lt;&gt;"NEMA"),"",MAX(BS$12:BS171)+1)</f>
        <v/>
      </c>
      <c r="BT172" s="66" t="str">
        <f t="shared" si="246"/>
        <v/>
      </c>
      <c r="BU172" s="47" t="s">
        <v>0</v>
      </c>
      <c r="BV172" s="19" t="str">
        <f t="shared" si="247"/>
        <v/>
      </c>
      <c r="BW172" s="47" t="s">
        <v>0</v>
      </c>
      <c r="BX172" s="82" t="str">
        <f>IF(BK172&lt;&gt;"NEMA","",IF(IFERROR(MATCH(BJ172,BJ$12:BJ171,0),0)&lt;&gt;0,"",BJ172))</f>
        <v/>
      </c>
      <c r="BY172" s="47" t="s">
        <v>0</v>
      </c>
      <c r="BZ172" s="125"/>
      <c r="CA172" s="47" t="s">
        <v>0</v>
      </c>
      <c r="CB172" s="58" t="str">
        <f t="shared" si="248"/>
        <v/>
      </c>
      <c r="CC172" s="31" t="str">
        <f t="shared" si="249"/>
        <v/>
      </c>
      <c r="CD172" s="31" t="str">
        <f>IF(CC172="","",MAX(CD$12:CD171)+1)</f>
        <v/>
      </c>
      <c r="CE172" s="31" t="str">
        <f t="shared" si="205"/>
        <v/>
      </c>
      <c r="CF172" s="31" t="str">
        <f t="shared" si="250"/>
        <v/>
      </c>
      <c r="CG172" s="31" t="str">
        <f>IF(BZ172="","",MAX(CG$12:CG171)+1)</f>
        <v/>
      </c>
      <c r="CH172" s="31" t="str">
        <f t="shared" si="251"/>
        <v/>
      </c>
      <c r="CI172" s="66" t="str">
        <f t="shared" si="252"/>
        <v/>
      </c>
      <c r="CJ172" s="47" t="s">
        <v>0</v>
      </c>
      <c r="CK172" s="73" t="str">
        <f t="shared" si="206"/>
        <v/>
      </c>
      <c r="CL172" s="47"/>
      <c r="CM172" s="19" t="str">
        <f t="shared" si="253"/>
        <v/>
      </c>
      <c r="CN172" s="47" t="s">
        <v>0</v>
      </c>
      <c r="CO172" s="143" t="str">
        <f t="shared" si="254"/>
        <v>OK Varaždin</v>
      </c>
      <c r="CP172" s="47" t="s">
        <v>0</v>
      </c>
      <c r="CQ172" s="58" t="str">
        <f t="shared" si="270"/>
        <v>172:23</v>
      </c>
      <c r="CR172" s="73" t="str">
        <f t="shared" si="271"/>
        <v>0</v>
      </c>
      <c r="CS172" s="229" t="str">
        <f t="shared" si="207"/>
        <v/>
      </c>
      <c r="CT172" s="230">
        <f t="shared" si="192"/>
        <v>10343</v>
      </c>
      <c r="CU172" s="163">
        <f t="shared" si="208"/>
        <v>1</v>
      </c>
      <c r="CV172" s="47" t="s">
        <v>0</v>
      </c>
      <c r="CW172" s="222" t="str">
        <f t="shared" si="255"/>
        <v xml:space="preserve">
</v>
      </c>
      <c r="CX172" s="223">
        <f t="shared" si="256"/>
        <v>6</v>
      </c>
      <c r="CY172" s="47" t="s">
        <v>0</v>
      </c>
      <c r="CZ172" s="47"/>
      <c r="DA172" s="47"/>
      <c r="DB172" s="47"/>
      <c r="DC172" s="47" t="s">
        <v>0</v>
      </c>
      <c r="DD172" s="53" t="str">
        <f t="shared" si="264"/>
        <v/>
      </c>
      <c r="DE172" t="s">
        <v>0</v>
      </c>
      <c r="DF172" s="128" t="str">
        <f t="shared" si="265"/>
        <v>M</v>
      </c>
      <c r="DG172" t="s">
        <v>0</v>
      </c>
      <c r="DH172" s="52" t="str">
        <f t="shared" si="266"/>
        <v/>
      </c>
      <c r="DI172" s="66" t="str">
        <f t="shared" si="267"/>
        <v/>
      </c>
      <c r="DJ172" t="s">
        <v>0</v>
      </c>
      <c r="DK172" s="19" t="str">
        <f t="shared" si="268"/>
        <v/>
      </c>
      <c r="DL172" s="47" t="s">
        <v>0</v>
      </c>
      <c r="DM172" s="19" t="str">
        <f t="shared" si="269"/>
        <v/>
      </c>
      <c r="DN172" s="47" t="s">
        <v>0</v>
      </c>
      <c r="DO172" s="52" t="str">
        <f t="shared" si="209"/>
        <v>Predrag – Labaš – OK Varaždin – M55</v>
      </c>
      <c r="DP172" s="53">
        <f t="shared" si="210"/>
        <v>550</v>
      </c>
      <c r="DQ172" s="47" t="s">
        <v>0</v>
      </c>
      <c r="DR172" s="52" t="str">
        <f t="shared" si="211"/>
        <v>Predrag – Labaš – OK Varaždin</v>
      </c>
      <c r="DS172" s="53">
        <f t="shared" si="212"/>
        <v>550</v>
      </c>
      <c r="DT172" s="47" t="s">
        <v>0</v>
      </c>
      <c r="DU172" s="52" t="str">
        <f t="shared" si="213"/>
        <v>Predrag – Labaš</v>
      </c>
      <c r="DV172" s="53">
        <f t="shared" si="214"/>
        <v>550</v>
      </c>
      <c r="DW172" s="47" t="s">
        <v>0</v>
      </c>
      <c r="DX172" s="58">
        <f t="shared" si="257"/>
        <v>550</v>
      </c>
      <c r="DY172" s="53" cm="1">
        <f t="array" ref="DY172">IF(DX172&lt;&gt;"",INDEX(regNatjecatelj_id,DX172,0),IF(BD172&lt;&gt;"",BD172,""))</f>
        <v>1274</v>
      </c>
      <c r="DZ172" s="47" t="s">
        <v>0</v>
      </c>
      <c r="EA172" s="58" t="str">
        <f t="shared" si="215"/>
        <v>imepre</v>
      </c>
      <c r="EB172" s="73" t="str">
        <f t="shared" si="216"/>
        <v>klu</v>
      </c>
      <c r="EC172" s="73" t="str">
        <f t="shared" si="217"/>
        <v>kat</v>
      </c>
      <c r="ED172" s="73" t="str">
        <f t="shared" si="218"/>
        <v/>
      </c>
      <c r="EE172" s="66" t="str">
        <f t="shared" si="219"/>
        <v>imepre-klu-kat</v>
      </c>
      <c r="EF172" s="47" t="s">
        <v>0</v>
      </c>
      <c r="EG172" s="58">
        <f>IF(AL172="","",MAX(EG$12:EG171)+1)</f>
        <v>337</v>
      </c>
      <c r="EH172" s="73">
        <f t="shared" si="220"/>
        <v>31</v>
      </c>
      <c r="EI172" s="73">
        <f t="shared" si="258"/>
        <v>1274</v>
      </c>
      <c r="EJ172" s="73">
        <f t="shared" si="221"/>
        <v>10343</v>
      </c>
      <c r="EK172" s="73">
        <f t="shared" si="222"/>
        <v>1</v>
      </c>
      <c r="EL172" s="73">
        <f t="shared" si="259"/>
        <v>1</v>
      </c>
      <c r="EM172" s="73">
        <f t="shared" si="260"/>
        <v>1</v>
      </c>
      <c r="EN172" s="73" t="str">
        <f t="shared" si="223"/>
        <v>0</v>
      </c>
      <c r="EO172" s="73" t="str">
        <f t="shared" si="224"/>
        <v/>
      </c>
      <c r="EP172" s="73" t="str">
        <f t="shared" si="225"/>
        <v/>
      </c>
      <c r="EQ172" s="53" t="str">
        <f t="shared" si="226"/>
        <v/>
      </c>
      <c r="ER172" s="47" t="s">
        <v>0</v>
      </c>
      <c r="ES172" s="19" t="str">
        <f t="shared" si="261"/>
        <v>INSERT INTO rezultat(id,stazakategorija_id,imeprezime_id,vrijeme_sec,status_id,registracija,uparivanje_id,originalstatus_id,imeprezimealias_id,klubalias_id,kategorijaalias_id) VALUES (337,31,1274,10343,1,1,1,0,Null,Null,Null);</v>
      </c>
      <c r="ET172" s="47" t="s">
        <v>0</v>
      </c>
      <c r="EU172" s="19" t="str">
        <f t="shared" si="262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2" s="47" t="s">
        <v>0</v>
      </c>
      <c r="EW172" s="180" t="str">
        <f t="shared" si="227"/>
        <v xml:space="preserve">
INSERT INTO rezultat(id,stazakategorija_id,imeprezime_id,vrijeme_sec,status_id,registracija,uparivanje_id,originalstatus_id,imeprezimealias_id,klubalias_id,kategorijaalias_id) VALUES (337,31,1274,10343,1,1,1,0,Null,Null,Null);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2" s="47" t="s">
        <v>0</v>
      </c>
    </row>
    <row r="173" spans="1:154" x14ac:dyDescent="0.25">
      <c r="A173" t="s">
        <v>0</v>
      </c>
      <c r="B173" s="52" t="str">
        <f>IF(csv!F163="","",csv!T163)</f>
        <v>M55</v>
      </c>
      <c r="C173" s="31" t="s">
        <v>0</v>
      </c>
      <c r="D173" s="31" t="str">
        <f>IF(csv!F163="","",csv!F163)</f>
        <v>Vacant</v>
      </c>
      <c r="E173" s="31" t="str">
        <f>IF(csv!E163="","",csv!E163)</f>
        <v/>
      </c>
      <c r="F173" s="31" t="s">
        <v>0</v>
      </c>
      <c r="G173" s="73" t="str">
        <f>IF(csv!M163="","",csv!M163)</f>
        <v/>
      </c>
      <c r="H173" s="73" t="str">
        <f>IF(csv!N163="","",csv!N163)</f>
        <v>0</v>
      </c>
      <c r="I173" s="31" t="s">
        <v>0</v>
      </c>
      <c r="J173" s="31" t="str">
        <f>IF(csv!P163="","",csv!P163)</f>
        <v/>
      </c>
      <c r="K173" s="31" t="str">
        <f>IF(csv!Q163="","",csv!Q163)</f>
        <v/>
      </c>
      <c r="L173" s="31" t="s">
        <v>0</v>
      </c>
      <c r="M173" s="66" t="str">
        <f>IF(csv!R163="","",csv!R163)</f>
        <v/>
      </c>
      <c r="N173" s="47" t="s">
        <v>0</v>
      </c>
      <c r="O173" s="246" t="str">
        <f t="shared" si="228"/>
        <v/>
      </c>
      <c r="P173" s="47"/>
      <c r="Q173" s="52" t="str">
        <f t="shared" si="229"/>
        <v>M55</v>
      </c>
      <c r="R173" s="73">
        <f>IF(Q173="","",IF(COUNTIF(Q$12:Q172,Q173)=0,R172+1,R172))</f>
        <v>9</v>
      </c>
      <c r="S173" s="73">
        <f t="shared" si="230"/>
        <v>105</v>
      </c>
      <c r="T173" s="73">
        <f t="shared" si="193"/>
        <v>16</v>
      </c>
      <c r="U173" s="66" t="str">
        <f t="shared" si="194"/>
        <v>M55</v>
      </c>
      <c r="V173" s="47" t="s">
        <v>0</v>
      </c>
      <c r="W173" s="222" t="str">
        <f t="shared" si="195"/>
        <v/>
      </c>
      <c r="X173" s="223" t="str">
        <f t="shared" si="196"/>
        <v/>
      </c>
      <c r="Y173" s="47" t="s">
        <v>0</v>
      </c>
      <c r="Z173" s="52" t="str">
        <f t="shared" si="231"/>
        <v/>
      </c>
      <c r="AA173" s="73" t="str">
        <f t="shared" si="197"/>
        <v/>
      </c>
      <c r="AB173" s="31" t="str">
        <f t="shared" si="232"/>
        <v/>
      </c>
      <c r="AC173" s="66" t="str">
        <f>IF(AB173="","",MAX(AC$12:AC172)+1)</f>
        <v/>
      </c>
      <c r="AD173" s="47" t="s">
        <v>0</v>
      </c>
      <c r="AE173" s="125"/>
      <c r="AF173" s="47" t="s">
        <v>0</v>
      </c>
      <c r="AG173" s="19" t="str">
        <f t="shared" si="233"/>
        <v/>
      </c>
      <c r="AH173" s="47" t="s">
        <v>0</v>
      </c>
      <c r="AI173" s="143" t="str">
        <f t="shared" si="234"/>
        <v/>
      </c>
      <c r="AJ173" s="47"/>
      <c r="AK173" s="52" t="str">
        <f t="shared" si="235"/>
        <v/>
      </c>
      <c r="AL173" s="31" t="str">
        <f t="shared" si="236"/>
        <v/>
      </c>
      <c r="AM173" s="73" t="str">
        <f t="shared" si="237"/>
        <v/>
      </c>
      <c r="AN173" s="73" t="str">
        <f t="shared" si="238"/>
        <v/>
      </c>
      <c r="AO173" s="31" t="str">
        <f t="shared" si="198"/>
        <v/>
      </c>
      <c r="AP173" s="66" t="str">
        <f t="shared" si="199"/>
        <v/>
      </c>
      <c r="AQ173" s="47" t="s">
        <v>0</v>
      </c>
      <c r="AR173" s="82" t="str">
        <f t="shared" si="239"/>
        <v/>
      </c>
      <c r="AS173" s="47" t="s">
        <v>0</v>
      </c>
      <c r="AT173" s="19" t="str">
        <f t="shared" si="240"/>
        <v/>
      </c>
      <c r="AU173" s="47" t="s">
        <v>0</v>
      </c>
      <c r="AV173" s="103"/>
      <c r="AW173" s="105"/>
      <c r="AX173" s="47" t="s">
        <v>0</v>
      </c>
      <c r="AY173" s="259" t="str">
        <f t="shared" si="263"/>
        <v/>
      </c>
      <c r="AZ173" s="47" t="s">
        <v>0</v>
      </c>
      <c r="BA173" s="52" t="str">
        <f t="shared" si="200"/>
        <v/>
      </c>
      <c r="BB173" s="73" t="str">
        <f>IF(AV173&amp;AW173="","",MAX(BB$12:BB172)+1)</f>
        <v/>
      </c>
      <c r="BC173" s="272" t="str">
        <f t="shared" si="201"/>
        <v/>
      </c>
      <c r="BD173" s="53" t="str">
        <f>IF(AND(AM173="NEMA",AN173="NEMA",OR(AV173&amp;AW173="",BC173="NEMA")),MAX(BD$12:BD172)+1,"")</f>
        <v/>
      </c>
      <c r="BE173" s="47" t="s">
        <v>0</v>
      </c>
      <c r="BF173" s="52" t="str">
        <f t="shared" si="241"/>
        <v/>
      </c>
      <c r="BG173" s="66" t="str">
        <f t="shared" si="242"/>
        <v/>
      </c>
      <c r="BH173" s="47" t="s">
        <v>0</v>
      </c>
      <c r="BI173" s="52" t="str">
        <f t="shared" si="202"/>
        <v/>
      </c>
      <c r="BJ173" s="31" t="str">
        <f t="shared" si="203"/>
        <v/>
      </c>
      <c r="BK173" s="73" t="str">
        <f t="shared" si="204"/>
        <v/>
      </c>
      <c r="BL173" s="31" t="str" cm="1">
        <f t="array" ref="BL173">IF(BK173="",""&amp;BJ173,IF(BK173="NEMA",BJ173,INDEX(regKlub_naziv,MATCH(INDEX(regKlub_alias_klubId,BK173),regKlub_id,0))))</f>
        <v/>
      </c>
      <c r="BM173" s="31" t="str" cm="1">
        <f t="array" ref="BM173">IFERROR(""&amp;INDEX(regNatjecatelj_klub,DV173),"")</f>
        <v/>
      </c>
      <c r="BN173" s="73" t="str">
        <f t="shared" si="243"/>
        <v/>
      </c>
      <c r="BO173" s="66" t="str">
        <f t="shared" si="244"/>
        <v/>
      </c>
      <c r="BP173" s="47" t="s">
        <v>0</v>
      </c>
      <c r="BQ173" s="52" t="str">
        <f>IF(X173&lt;&gt;"NEMA","",IF(IFERROR(MATCH(W173,W$12:W172,0),0)&lt;&gt;0,"",W173))</f>
        <v/>
      </c>
      <c r="BR173" s="73" t="str">
        <f t="shared" si="245"/>
        <v/>
      </c>
      <c r="BS173" s="31" t="str">
        <f>IF(OR(BR173="",BR173&lt;&gt;"NEMA"),"",MAX(BS$12:BS172)+1)</f>
        <v/>
      </c>
      <c r="BT173" s="66" t="str">
        <f t="shared" si="246"/>
        <v/>
      </c>
      <c r="BU173" s="47" t="s">
        <v>0</v>
      </c>
      <c r="BV173" s="19" t="str">
        <f t="shared" si="247"/>
        <v/>
      </c>
      <c r="BW173" s="47" t="s">
        <v>0</v>
      </c>
      <c r="BX173" s="82" t="str">
        <f>IF(BK173&lt;&gt;"NEMA","",IF(IFERROR(MATCH(BJ173,BJ$12:BJ172,0),0)&lt;&gt;0,"",BJ173))</f>
        <v/>
      </c>
      <c r="BY173" s="47" t="s">
        <v>0</v>
      </c>
      <c r="BZ173" s="125"/>
      <c r="CA173" s="47" t="s">
        <v>0</v>
      </c>
      <c r="CB173" s="58" t="str">
        <f t="shared" si="248"/>
        <v/>
      </c>
      <c r="CC173" s="31" t="str">
        <f t="shared" si="249"/>
        <v/>
      </c>
      <c r="CD173" s="31" t="str">
        <f>IF(CC173="","",MAX(CD$12:CD172)+1)</f>
        <v/>
      </c>
      <c r="CE173" s="31" t="str">
        <f t="shared" si="205"/>
        <v/>
      </c>
      <c r="CF173" s="31" t="str">
        <f t="shared" si="250"/>
        <v/>
      </c>
      <c r="CG173" s="31" t="str">
        <f>IF(BZ173="","",MAX(CG$12:CG172)+1)</f>
        <v/>
      </c>
      <c r="CH173" s="31" t="str">
        <f t="shared" si="251"/>
        <v/>
      </c>
      <c r="CI173" s="66" t="str">
        <f t="shared" si="252"/>
        <v/>
      </c>
      <c r="CJ173" s="47" t="s">
        <v>0</v>
      </c>
      <c r="CK173" s="73" t="str">
        <f t="shared" si="206"/>
        <v/>
      </c>
      <c r="CL173" s="47"/>
      <c r="CM173" s="19" t="str">
        <f t="shared" si="253"/>
        <v/>
      </c>
      <c r="CN173" s="47" t="s">
        <v>0</v>
      </c>
      <c r="CO173" s="143" t="str">
        <f t="shared" si="254"/>
        <v/>
      </c>
      <c r="CP173" s="47" t="s">
        <v>0</v>
      </c>
      <c r="CQ173" s="58" t="str">
        <f t="shared" si="270"/>
        <v/>
      </c>
      <c r="CR173" s="73" t="str">
        <f t="shared" si="271"/>
        <v>0</v>
      </c>
      <c r="CS173" s="229" t="str">
        <f t="shared" si="207"/>
        <v/>
      </c>
      <c r="CT173" s="230" t="str">
        <f t="shared" si="192"/>
        <v/>
      </c>
      <c r="CU173" s="163" t="str">
        <f t="shared" si="208"/>
        <v/>
      </c>
      <c r="CV173" s="47" t="s">
        <v>0</v>
      </c>
      <c r="CW173" s="222" t="str">
        <f t="shared" si="255"/>
        <v xml:space="preserve">
</v>
      </c>
      <c r="CX173" s="223" t="str">
        <f t="shared" si="256"/>
        <v/>
      </c>
      <c r="CY173" s="47" t="s">
        <v>0</v>
      </c>
      <c r="CZ173" s="47"/>
      <c r="DA173" s="47"/>
      <c r="DB173" s="47"/>
      <c r="DC173" s="47" t="s">
        <v>0</v>
      </c>
      <c r="DD173" s="53" t="str">
        <f t="shared" si="264"/>
        <v/>
      </c>
      <c r="DE173" t="s">
        <v>0</v>
      </c>
      <c r="DF173" s="128" t="str">
        <f t="shared" si="265"/>
        <v>M</v>
      </c>
      <c r="DG173" t="s">
        <v>0</v>
      </c>
      <c r="DH173" s="52" t="str">
        <f t="shared" si="266"/>
        <v/>
      </c>
      <c r="DI173" s="66" t="str">
        <f t="shared" si="267"/>
        <v/>
      </c>
      <c r="DJ173" t="s">
        <v>0</v>
      </c>
      <c r="DK173" s="19" t="str">
        <f t="shared" si="268"/>
        <v/>
      </c>
      <c r="DL173" s="47" t="s">
        <v>0</v>
      </c>
      <c r="DM173" s="19" t="str">
        <f t="shared" si="269"/>
        <v/>
      </c>
      <c r="DN173" s="47" t="s">
        <v>0</v>
      </c>
      <c r="DO173" s="52" t="str">
        <f t="shared" si="209"/>
        <v/>
      </c>
      <c r="DP173" s="53" t="str">
        <f t="shared" si="210"/>
        <v/>
      </c>
      <c r="DQ173" s="47" t="s">
        <v>0</v>
      </c>
      <c r="DR173" s="52" t="str">
        <f t="shared" si="211"/>
        <v/>
      </c>
      <c r="DS173" s="53" t="str">
        <f t="shared" si="212"/>
        <v/>
      </c>
      <c r="DT173" s="47" t="s">
        <v>0</v>
      </c>
      <c r="DU173" s="52" t="str">
        <f t="shared" si="213"/>
        <v/>
      </c>
      <c r="DV173" s="53" t="str">
        <f t="shared" si="214"/>
        <v/>
      </c>
      <c r="DW173" s="47" t="s">
        <v>0</v>
      </c>
      <c r="DX173" s="58" t="str">
        <f t="shared" si="257"/>
        <v/>
      </c>
      <c r="DY173" s="53" t="str" cm="1">
        <f t="array" ref="DY173">IF(DX173&lt;&gt;"",INDEX(regNatjecatelj_id,DX173,0),IF(BD173&lt;&gt;"",BD173,""))</f>
        <v/>
      </c>
      <c r="DZ173" s="47" t="s">
        <v>0</v>
      </c>
      <c r="EA173" s="58" t="str">
        <f t="shared" si="215"/>
        <v/>
      </c>
      <c r="EB173" s="73" t="str">
        <f t="shared" si="216"/>
        <v/>
      </c>
      <c r="EC173" s="73" t="str">
        <f t="shared" si="217"/>
        <v/>
      </c>
      <c r="ED173" s="73" t="str">
        <f t="shared" si="218"/>
        <v/>
      </c>
      <c r="EE173" s="66" t="str">
        <f t="shared" si="219"/>
        <v/>
      </c>
      <c r="EF173" s="47" t="s">
        <v>0</v>
      </c>
      <c r="EG173" s="58" t="str">
        <f>IF(AL173="","",MAX(EG$12:EG172)+1)</f>
        <v/>
      </c>
      <c r="EH173" s="73" t="str">
        <f t="shared" si="220"/>
        <v/>
      </c>
      <c r="EI173" s="73" t="str">
        <f t="shared" si="258"/>
        <v/>
      </c>
      <c r="EJ173" s="73" t="str">
        <f t="shared" si="221"/>
        <v/>
      </c>
      <c r="EK173" s="73" t="str">
        <f t="shared" si="222"/>
        <v/>
      </c>
      <c r="EL173" s="73" t="str">
        <f t="shared" si="259"/>
        <v/>
      </c>
      <c r="EM173" s="73" t="str">
        <f t="shared" si="260"/>
        <v/>
      </c>
      <c r="EN173" s="73" t="str">
        <f t="shared" si="223"/>
        <v/>
      </c>
      <c r="EO173" s="73" t="str">
        <f t="shared" si="224"/>
        <v/>
      </c>
      <c r="EP173" s="73" t="str">
        <f t="shared" si="225"/>
        <v/>
      </c>
      <c r="EQ173" s="53" t="str">
        <f t="shared" si="226"/>
        <v/>
      </c>
      <c r="ER173" s="47" t="s">
        <v>0</v>
      </c>
      <c r="ES173" s="19" t="str">
        <f t="shared" si="261"/>
        <v/>
      </c>
      <c r="ET173" s="47" t="s">
        <v>0</v>
      </c>
      <c r="EU173" s="19" t="str">
        <f t="shared" si="262"/>
        <v/>
      </c>
      <c r="EV173" s="47" t="s">
        <v>0</v>
      </c>
      <c r="EW173" s="180" t="str">
        <f t="shared" si="227"/>
        <v/>
      </c>
      <c r="EX173" s="47" t="s">
        <v>0</v>
      </c>
    </row>
    <row r="174" spans="1:154" x14ac:dyDescent="0.25">
      <c r="A174" t="s">
        <v>0</v>
      </c>
      <c r="B174" s="52" t="str">
        <f>IF(csv!F164="","",csv!T164)</f>
        <v>M55</v>
      </c>
      <c r="C174" s="31" t="s">
        <v>0</v>
      </c>
      <c r="D174" s="31" t="str">
        <f>IF(csv!F164="","",csv!F164)</f>
        <v>Mile</v>
      </c>
      <c r="E174" s="31" t="str">
        <f>IF(csv!E164="","",csv!E164)</f>
        <v>Boban</v>
      </c>
      <c r="F174" s="31" t="s">
        <v>0</v>
      </c>
      <c r="G174" s="73" t="str">
        <f>IF(csv!M164="","",csv!M164)</f>
        <v/>
      </c>
      <c r="H174" s="73" t="str">
        <f>IF(csv!N164="","",csv!N164)</f>
        <v>1</v>
      </c>
      <c r="I174" s="31" t="s">
        <v>0</v>
      </c>
      <c r="J174" s="31" t="str">
        <f>IF(csv!P164="","",csv!P164)</f>
        <v>OK MERZ CRO</v>
      </c>
      <c r="K174" s="31" t="str">
        <f>IF(csv!Q164="","",csv!Q164)</f>
        <v>OK Ivan Merz</v>
      </c>
      <c r="L174" s="31" t="s">
        <v>0</v>
      </c>
      <c r="M174" s="66" t="str">
        <f>IF(csv!R164="","",csv!R164)</f>
        <v>CRO</v>
      </c>
      <c r="N174" s="47" t="s">
        <v>0</v>
      </c>
      <c r="O174" s="246" t="str">
        <f t="shared" si="228"/>
        <v>ok</v>
      </c>
      <c r="P174" s="47"/>
      <c r="Q174" s="52" t="str">
        <f t="shared" si="229"/>
        <v>M55</v>
      </c>
      <c r="R174" s="73">
        <f>IF(Q174="","",IF(COUNTIF(Q$12:Q173,Q174)=0,R173+1,R173))</f>
        <v>9</v>
      </c>
      <c r="S174" s="73">
        <f t="shared" si="230"/>
        <v>105</v>
      </c>
      <c r="T174" s="73">
        <f t="shared" si="193"/>
        <v>16</v>
      </c>
      <c r="U174" s="66" t="str">
        <f t="shared" si="194"/>
        <v>M55</v>
      </c>
      <c r="V174" s="47" t="s">
        <v>0</v>
      </c>
      <c r="W174" s="222" t="str">
        <f t="shared" si="195"/>
        <v>M55</v>
      </c>
      <c r="X174" s="223">
        <f t="shared" si="196"/>
        <v>31</v>
      </c>
      <c r="Y174" s="47" t="s">
        <v>0</v>
      </c>
      <c r="Z174" s="52" t="str">
        <f t="shared" si="231"/>
        <v>CRO</v>
      </c>
      <c r="AA174" s="73">
        <f t="shared" si="197"/>
        <v>1</v>
      </c>
      <c r="AB174" s="31" t="str">
        <f t="shared" si="232"/>
        <v/>
      </c>
      <c r="AC174" s="66" t="str">
        <f>IF(AB174="","",MAX(AC$12:AC173)+1)</f>
        <v/>
      </c>
      <c r="AD174" s="47" t="s">
        <v>0</v>
      </c>
      <c r="AE174" s="125"/>
      <c r="AF174" s="47" t="s">
        <v>0</v>
      </c>
      <c r="AG174" s="19" t="str">
        <f t="shared" si="233"/>
        <v/>
      </c>
      <c r="AH174" s="47" t="s">
        <v>0</v>
      </c>
      <c r="AI174" s="143" t="str">
        <f t="shared" si="234"/>
        <v>CRO</v>
      </c>
      <c r="AJ174" s="47"/>
      <c r="AK174" s="52" t="str">
        <f t="shared" si="235"/>
        <v>Mile</v>
      </c>
      <c r="AL174" s="31" t="str">
        <f t="shared" si="236"/>
        <v>Boban</v>
      </c>
      <c r="AM174" s="73">
        <f t="shared" si="237"/>
        <v>1427</v>
      </c>
      <c r="AN174" s="73" t="str">
        <f t="shared" si="238"/>
        <v/>
      </c>
      <c r="AO174" s="31" t="str">
        <f t="shared" si="198"/>
        <v>Mile</v>
      </c>
      <c r="AP174" s="66" t="str">
        <f t="shared" si="199"/>
        <v>Boban</v>
      </c>
      <c r="AQ174" s="47" t="s">
        <v>0</v>
      </c>
      <c r="AR174" s="82" t="str">
        <f t="shared" si="239"/>
        <v/>
      </c>
      <c r="AS174" s="47" t="s">
        <v>0</v>
      </c>
      <c r="AT174" s="19" t="str">
        <f t="shared" si="240"/>
        <v/>
      </c>
      <c r="AU174" s="47" t="s">
        <v>0</v>
      </c>
      <c r="AV174" s="103"/>
      <c r="AW174" s="105"/>
      <c r="AX174" s="47" t="s">
        <v>0</v>
      </c>
      <c r="AY174" s="259" t="str">
        <f t="shared" si="263"/>
        <v/>
      </c>
      <c r="AZ174" s="47" t="s">
        <v>0</v>
      </c>
      <c r="BA174" s="52" t="str">
        <f t="shared" si="200"/>
        <v/>
      </c>
      <c r="BB174" s="73" t="str">
        <f>IF(AV174&amp;AW174="","",MAX(BB$12:BB173)+1)</f>
        <v/>
      </c>
      <c r="BC174" s="272" t="str">
        <f t="shared" si="201"/>
        <v/>
      </c>
      <c r="BD174" s="53" t="str">
        <f>IF(AND(AM174="NEMA",AN174="NEMA",OR(AV174&amp;AW174="",BC174="NEMA")),MAX(BD$12:BD173)+1,"")</f>
        <v/>
      </c>
      <c r="BE174" s="47" t="s">
        <v>0</v>
      </c>
      <c r="BF174" s="52" t="str">
        <f t="shared" si="241"/>
        <v>Mile</v>
      </c>
      <c r="BG174" s="66" t="str">
        <f t="shared" si="242"/>
        <v>Boban</v>
      </c>
      <c r="BH174" s="47" t="s">
        <v>0</v>
      </c>
      <c r="BI174" s="52" t="str">
        <f t="shared" si="202"/>
        <v>OK MERZ CRO</v>
      </c>
      <c r="BJ174" s="31" t="str">
        <f t="shared" si="203"/>
        <v>OK Ivan Merz</v>
      </c>
      <c r="BK174" s="73" t="str">
        <f t="shared" si="204"/>
        <v/>
      </c>
      <c r="BL174" s="31" t="str" cm="1">
        <f t="array" ref="BL174">IF(BK174="",""&amp;BJ174,IF(BK174="NEMA",BJ174,INDEX(regKlub_naziv,MATCH(INDEX(regKlub_alias_klubId,BK174),regKlub_id,0))))</f>
        <v>OK Ivan Merz</v>
      </c>
      <c r="BM174" s="31" t="str" cm="1">
        <f t="array" ref="BM174">IFERROR(""&amp;INDEX(regNatjecatelj_klub,DV174),"")</f>
        <v>OK Ivan Merz</v>
      </c>
      <c r="BN174" s="73" t="str">
        <f t="shared" si="243"/>
        <v/>
      </c>
      <c r="BO174" s="66" t="str">
        <f t="shared" si="244"/>
        <v>OK Ivan Merz</v>
      </c>
      <c r="BP174" s="47" t="s">
        <v>0</v>
      </c>
      <c r="BQ174" s="52" t="str">
        <f>IF(X174&lt;&gt;"NEMA","",IF(IFERROR(MATCH(W174,W$12:W173,0),0)&lt;&gt;0,"",W174))</f>
        <v/>
      </c>
      <c r="BR174" s="73" t="str">
        <f t="shared" si="245"/>
        <v/>
      </c>
      <c r="BS174" s="31" t="str">
        <f>IF(OR(BR174="",BR174&lt;&gt;"NEMA"),"",MAX(BS$12:BS173)+1)</f>
        <v/>
      </c>
      <c r="BT174" s="66" t="str">
        <f t="shared" si="246"/>
        <v/>
      </c>
      <c r="BU174" s="47" t="s">
        <v>0</v>
      </c>
      <c r="BV174" s="19" t="str">
        <f t="shared" si="247"/>
        <v/>
      </c>
      <c r="BW174" s="47" t="s">
        <v>0</v>
      </c>
      <c r="BX174" s="82" t="str">
        <f>IF(BK174&lt;&gt;"NEMA","",IF(IFERROR(MATCH(BJ174,BJ$12:BJ173,0),0)&lt;&gt;0,"",BJ174))</f>
        <v/>
      </c>
      <c r="BY174" s="47" t="s">
        <v>0</v>
      </c>
      <c r="BZ174" s="125"/>
      <c r="CA174" s="47" t="s">
        <v>0</v>
      </c>
      <c r="CB174" s="58" t="str">
        <f t="shared" si="248"/>
        <v/>
      </c>
      <c r="CC174" s="31" t="str">
        <f t="shared" si="249"/>
        <v/>
      </c>
      <c r="CD174" s="31" t="str">
        <f>IF(CC174="","",MAX(CD$12:CD173)+1)</f>
        <v/>
      </c>
      <c r="CE174" s="31" t="str">
        <f t="shared" si="205"/>
        <v/>
      </c>
      <c r="CF174" s="31" t="str">
        <f t="shared" si="250"/>
        <v/>
      </c>
      <c r="CG174" s="31" t="str">
        <f>IF(BZ174="","",MAX(CG$12:CG173)+1)</f>
        <v/>
      </c>
      <c r="CH174" s="31" t="str">
        <f t="shared" si="251"/>
        <v/>
      </c>
      <c r="CI174" s="66" t="str">
        <f t="shared" si="252"/>
        <v/>
      </c>
      <c r="CJ174" s="47" t="s">
        <v>0</v>
      </c>
      <c r="CK174" s="73" t="str">
        <f t="shared" si="206"/>
        <v/>
      </c>
      <c r="CL174" s="47"/>
      <c r="CM174" s="19" t="str">
        <f t="shared" si="253"/>
        <v/>
      </c>
      <c r="CN174" s="47" t="s">
        <v>0</v>
      </c>
      <c r="CO174" s="143" t="str">
        <f t="shared" si="254"/>
        <v>OK Ivan Merz</v>
      </c>
      <c r="CP174" s="47" t="s">
        <v>0</v>
      </c>
      <c r="CQ174" s="58" t="str">
        <f t="shared" si="270"/>
        <v/>
      </c>
      <c r="CR174" s="73" t="str">
        <f t="shared" si="271"/>
        <v>1</v>
      </c>
      <c r="CS174" s="229" t="str">
        <f t="shared" si="207"/>
        <v/>
      </c>
      <c r="CT174" s="230" t="str">
        <f t="shared" si="192"/>
        <v/>
      </c>
      <c r="CU174" s="163">
        <f t="shared" si="208"/>
        <v>6</v>
      </c>
      <c r="CV174" s="47" t="s">
        <v>0</v>
      </c>
      <c r="CW174" s="222" t="str">
        <f t="shared" si="255"/>
        <v xml:space="preserve">
</v>
      </c>
      <c r="CX174" s="223" t="e">
        <f t="shared" si="256"/>
        <v>#N/A</v>
      </c>
      <c r="CY174" s="47" t="s">
        <v>0</v>
      </c>
      <c r="CZ174" s="47"/>
      <c r="DA174" s="47"/>
      <c r="DB174" s="47"/>
      <c r="DC174" s="47" t="s">
        <v>0</v>
      </c>
      <c r="DD174" s="53" t="str">
        <f t="shared" si="264"/>
        <v/>
      </c>
      <c r="DE174" t="s">
        <v>0</v>
      </c>
      <c r="DF174" s="128" t="str">
        <f t="shared" si="265"/>
        <v>M</v>
      </c>
      <c r="DG174" t="s">
        <v>0</v>
      </c>
      <c r="DH174" s="52" t="str">
        <f t="shared" si="266"/>
        <v/>
      </c>
      <c r="DI174" s="66" t="str">
        <f t="shared" si="267"/>
        <v/>
      </c>
      <c r="DJ174" t="s">
        <v>0</v>
      </c>
      <c r="DK174" s="19" t="str">
        <f t="shared" si="268"/>
        <v/>
      </c>
      <c r="DL174" s="47" t="s">
        <v>0</v>
      </c>
      <c r="DM174" s="19" t="str">
        <f t="shared" si="269"/>
        <v/>
      </c>
      <c r="DN174" s="47" t="s">
        <v>0</v>
      </c>
      <c r="DO174" s="52" t="str">
        <f t="shared" si="209"/>
        <v>Mile – Boban – OK Ivan Merz – M55</v>
      </c>
      <c r="DP174" s="53">
        <f t="shared" si="210"/>
        <v>36</v>
      </c>
      <c r="DQ174" s="47" t="s">
        <v>0</v>
      </c>
      <c r="DR174" s="52" t="str">
        <f t="shared" si="211"/>
        <v>Mile – Boban – OK Ivan Merz</v>
      </c>
      <c r="DS174" s="53">
        <f t="shared" si="212"/>
        <v>36</v>
      </c>
      <c r="DT174" s="47" t="s">
        <v>0</v>
      </c>
      <c r="DU174" s="52" t="str">
        <f t="shared" si="213"/>
        <v>Mile – Boban</v>
      </c>
      <c r="DV174" s="53">
        <f t="shared" si="214"/>
        <v>36</v>
      </c>
      <c r="DW174" s="47" t="s">
        <v>0</v>
      </c>
      <c r="DX174" s="58">
        <f t="shared" si="257"/>
        <v>36</v>
      </c>
      <c r="DY174" s="53" cm="1">
        <f t="array" ref="DY174">IF(DX174&lt;&gt;"",INDEX(regNatjecatelj_id,DX174,0),IF(BD174&lt;&gt;"",BD174,""))</f>
        <v>1427</v>
      </c>
      <c r="DZ174" s="47" t="s">
        <v>0</v>
      </c>
      <c r="EA174" s="58" t="str">
        <f t="shared" si="215"/>
        <v>imepre</v>
      </c>
      <c r="EB174" s="73" t="str">
        <f t="shared" si="216"/>
        <v>klu</v>
      </c>
      <c r="EC174" s="73" t="str">
        <f t="shared" si="217"/>
        <v>kat</v>
      </c>
      <c r="ED174" s="73" t="str">
        <f t="shared" si="218"/>
        <v/>
      </c>
      <c r="EE174" s="66" t="str">
        <f t="shared" si="219"/>
        <v>imepre-klu-kat</v>
      </c>
      <c r="EF174" s="47" t="s">
        <v>0</v>
      </c>
      <c r="EG174" s="58">
        <f>IF(AL174="","",MAX(EG$12:EG173)+1)</f>
        <v>338</v>
      </c>
      <c r="EH174" s="73">
        <f t="shared" si="220"/>
        <v>31</v>
      </c>
      <c r="EI174" s="73">
        <f t="shared" si="258"/>
        <v>1427</v>
      </c>
      <c r="EJ174" s="73" t="str">
        <f t="shared" si="221"/>
        <v/>
      </c>
      <c r="EK174" s="73">
        <f t="shared" si="222"/>
        <v>6</v>
      </c>
      <c r="EL174" s="73">
        <f t="shared" si="259"/>
        <v>1</v>
      </c>
      <c r="EM174" s="73">
        <f t="shared" si="260"/>
        <v>1</v>
      </c>
      <c r="EN174" s="73" t="str">
        <f t="shared" si="223"/>
        <v>1</v>
      </c>
      <c r="EO174" s="73" t="str">
        <f t="shared" si="224"/>
        <v/>
      </c>
      <c r="EP174" s="73" t="str">
        <f t="shared" si="225"/>
        <v/>
      </c>
      <c r="EQ174" s="53" t="str">
        <f t="shared" si="226"/>
        <v/>
      </c>
      <c r="ER174" s="47" t="s">
        <v>0</v>
      </c>
      <c r="ES174" s="19" t="str">
        <f t="shared" si="261"/>
        <v>INSERT INTO rezultat(id,stazakategorija_id,imeprezime_id,vrijeme_sec,status_id,registracija,uparivanje_id,originalstatus_id,imeprezimealias_id,klubalias_id,kategorijaalias_id) VALUES (338,31,1427,Null,6,1,1,1,Null,Null,Null);</v>
      </c>
      <c r="ET174" s="47" t="s">
        <v>0</v>
      </c>
      <c r="EU174" s="19" t="str">
        <f t="shared" si="262"/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4" s="47" t="s">
        <v>0</v>
      </c>
      <c r="EW174" s="180" t="str">
        <f t="shared" si="227"/>
        <v xml:space="preserve">
INSERT INTO rezultat(id,stazakategorija_id,imeprezime_id,vrijeme_sec,status_id,registracija,uparivanje_id,originalstatus_id,imeprezimealias_id,klubalias_id,kategorijaalias_id) VALUES (338,31,1427,Null,6,1,1,1,Null,Null,Null);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4" s="47" t="s">
        <v>0</v>
      </c>
    </row>
    <row r="175" spans="1:154" x14ac:dyDescent="0.25">
      <c r="A175" t="s">
        <v>0</v>
      </c>
      <c r="B175" s="52" t="str">
        <f>IF(csv!F165="","",csv!T165)</f>
        <v>M65</v>
      </c>
      <c r="C175" s="31" t="s">
        <v>0</v>
      </c>
      <c r="D175" s="31" t="str">
        <f>IF(csv!F165="","",csv!F165)</f>
        <v>Ivan</v>
      </c>
      <c r="E175" s="31" t="str">
        <f>IF(csv!E165="","",csv!E165)</f>
        <v>Pongrac</v>
      </c>
      <c r="F175" s="31" t="s">
        <v>0</v>
      </c>
      <c r="G175" s="73" t="str">
        <f>IF(csv!M165="","",csv!M165)</f>
        <v>44:33</v>
      </c>
      <c r="H175" s="73" t="str">
        <f>IF(csv!N165="","",csv!N165)</f>
        <v>0</v>
      </c>
      <c r="I175" s="31" t="s">
        <v>0</v>
      </c>
      <c r="J175" s="31" t="str">
        <f>IF(csv!P165="","",csv!P165)</f>
        <v>JAP</v>
      </c>
      <c r="K175" s="31" t="str">
        <f>IF(csv!Q165="","",csv!Q165)</f>
        <v>OK Japetic</v>
      </c>
      <c r="L175" s="31" t="s">
        <v>0</v>
      </c>
      <c r="M175" s="66" t="str">
        <f>IF(csv!R165="","",csv!R165)</f>
        <v>CRO</v>
      </c>
      <c r="N175" s="47" t="s">
        <v>0</v>
      </c>
      <c r="O175" s="246" t="str">
        <f t="shared" si="228"/>
        <v>ok</v>
      </c>
      <c r="P175" s="47"/>
      <c r="Q175" s="52" t="str">
        <f t="shared" si="229"/>
        <v>M65</v>
      </c>
      <c r="R175" s="73">
        <f>IF(Q175="","",IF(COUNTIF(Q$12:Q174,Q175)=0,R174+1,R174))</f>
        <v>10</v>
      </c>
      <c r="S175" s="73">
        <f t="shared" si="230"/>
        <v>104</v>
      </c>
      <c r="T175" s="73">
        <f t="shared" si="193"/>
        <v>15</v>
      </c>
      <c r="U175" s="66" t="str">
        <f t="shared" si="194"/>
        <v>M70 – M65</v>
      </c>
      <c r="V175" s="47" t="s">
        <v>0</v>
      </c>
      <c r="W175" s="222" t="str">
        <f t="shared" si="195"/>
        <v>M65</v>
      </c>
      <c r="X175" s="223">
        <f t="shared" si="196"/>
        <v>32</v>
      </c>
      <c r="Y175" s="47" t="s">
        <v>0</v>
      </c>
      <c r="Z175" s="52" t="str">
        <f t="shared" si="231"/>
        <v>CRO</v>
      </c>
      <c r="AA175" s="73">
        <f t="shared" si="197"/>
        <v>1</v>
      </c>
      <c r="AB175" s="31" t="str">
        <f t="shared" si="232"/>
        <v/>
      </c>
      <c r="AC175" s="66" t="str">
        <f>IF(AB175="","",MAX(AC$12:AC174)+1)</f>
        <v/>
      </c>
      <c r="AD175" s="47" t="s">
        <v>0</v>
      </c>
      <c r="AE175" s="125"/>
      <c r="AF175" s="47" t="s">
        <v>0</v>
      </c>
      <c r="AG175" s="19" t="str">
        <f t="shared" si="233"/>
        <v/>
      </c>
      <c r="AH175" s="47" t="s">
        <v>0</v>
      </c>
      <c r="AI175" s="143" t="str">
        <f t="shared" si="234"/>
        <v>CRO</v>
      </c>
      <c r="AJ175" s="47"/>
      <c r="AK175" s="52" t="str">
        <f t="shared" si="235"/>
        <v>Ivan</v>
      </c>
      <c r="AL175" s="31" t="str">
        <f t="shared" si="236"/>
        <v>Pongrac</v>
      </c>
      <c r="AM175" s="73">
        <f t="shared" si="237"/>
        <v>1484</v>
      </c>
      <c r="AN175" s="73" t="str">
        <f t="shared" si="238"/>
        <v/>
      </c>
      <c r="AO175" s="31" t="str">
        <f t="shared" si="198"/>
        <v>Ivan</v>
      </c>
      <c r="AP175" s="66" t="str">
        <f t="shared" si="199"/>
        <v>Pongrac</v>
      </c>
      <c r="AQ175" s="47" t="s">
        <v>0</v>
      </c>
      <c r="AR175" s="82" t="str">
        <f t="shared" si="239"/>
        <v/>
      </c>
      <c r="AS175" s="47" t="s">
        <v>0</v>
      </c>
      <c r="AT175" s="19" t="str">
        <f t="shared" si="240"/>
        <v/>
      </c>
      <c r="AU175" s="47" t="s">
        <v>0</v>
      </c>
      <c r="AV175" s="103"/>
      <c r="AW175" s="105"/>
      <c r="AX175" s="47" t="s">
        <v>0</v>
      </c>
      <c r="AY175" s="259" t="str">
        <f t="shared" si="263"/>
        <v/>
      </c>
      <c r="AZ175" s="47" t="s">
        <v>0</v>
      </c>
      <c r="BA175" s="52" t="str">
        <f t="shared" si="200"/>
        <v/>
      </c>
      <c r="BB175" s="73" t="str">
        <f>IF(AV175&amp;AW175="","",MAX(BB$12:BB174)+1)</f>
        <v/>
      </c>
      <c r="BC175" s="272" t="str">
        <f t="shared" si="201"/>
        <v/>
      </c>
      <c r="BD175" s="53" t="str">
        <f>IF(AND(AM175="NEMA",AN175="NEMA",OR(AV175&amp;AW175="",BC175="NEMA")),MAX(BD$12:BD174)+1,"")</f>
        <v/>
      </c>
      <c r="BE175" s="47" t="s">
        <v>0</v>
      </c>
      <c r="BF175" s="52" t="str">
        <f t="shared" si="241"/>
        <v>Ivan</v>
      </c>
      <c r="BG175" s="66" t="str">
        <f t="shared" si="242"/>
        <v>Pongrac</v>
      </c>
      <c r="BH175" s="47" t="s">
        <v>0</v>
      </c>
      <c r="BI175" s="52" t="str">
        <f t="shared" si="202"/>
        <v>JAP</v>
      </c>
      <c r="BJ175" s="31" t="str">
        <f t="shared" si="203"/>
        <v>OK Japetic</v>
      </c>
      <c r="BK175" s="73">
        <f t="shared" si="204"/>
        <v>1</v>
      </c>
      <c r="BL175" s="31" t="str" cm="1">
        <f t="array" ref="BL175">IF(BK175="",""&amp;BJ175,IF(BK175="NEMA",BJ175,INDEX(regKlub_naziv,MATCH(INDEX(regKlub_alias_klubId,BK175),regKlub_id,0))))</f>
        <v>OK Japetić</v>
      </c>
      <c r="BM175" s="31" t="str" cm="1">
        <f t="array" ref="BM175">IFERROR(""&amp;INDEX(regNatjecatelj_klub,DV175),"")</f>
        <v>OK Japetić</v>
      </c>
      <c r="BN175" s="88" t="str">
        <f t="shared" si="243"/>
        <v/>
      </c>
      <c r="BO175" s="66" t="str">
        <f t="shared" si="244"/>
        <v>OK Japetić</v>
      </c>
      <c r="BP175" s="47" t="s">
        <v>0</v>
      </c>
      <c r="BQ175" s="52" t="str">
        <f>IF(X175&lt;&gt;"NEMA","",IF(IFERROR(MATCH(W175,W$12:W174,0),0)&lt;&gt;0,"",W175))</f>
        <v/>
      </c>
      <c r="BR175" s="73" t="str">
        <f t="shared" si="245"/>
        <v/>
      </c>
      <c r="BS175" s="31" t="str">
        <f>IF(OR(BR175="",BR175&lt;&gt;"NEMA"),"",MAX(BS$12:BS174)+1)</f>
        <v/>
      </c>
      <c r="BT175" s="66" t="str">
        <f t="shared" si="246"/>
        <v/>
      </c>
      <c r="BU175" s="47" t="s">
        <v>0</v>
      </c>
      <c r="BV175" s="19" t="str">
        <f t="shared" si="247"/>
        <v/>
      </c>
      <c r="BW175" s="47" t="s">
        <v>0</v>
      </c>
      <c r="BX175" s="82" t="str">
        <f>IF(BK175&lt;&gt;"NEMA","",IF(IFERROR(MATCH(BJ175,BJ$12:BJ174,0),0)&lt;&gt;0,"",BJ175))</f>
        <v/>
      </c>
      <c r="BY175" s="47" t="s">
        <v>0</v>
      </c>
      <c r="BZ175" s="125"/>
      <c r="CA175" s="47" t="s">
        <v>0</v>
      </c>
      <c r="CB175" s="58" t="str">
        <f t="shared" si="248"/>
        <v/>
      </c>
      <c r="CC175" s="31" t="str">
        <f t="shared" si="249"/>
        <v/>
      </c>
      <c r="CD175" s="31" t="str">
        <f>IF(CC175="","",MAX(CD$12:CD174)+1)</f>
        <v/>
      </c>
      <c r="CE175" s="31" t="str">
        <f t="shared" si="205"/>
        <v/>
      </c>
      <c r="CF175" s="31" t="str">
        <f t="shared" si="250"/>
        <v/>
      </c>
      <c r="CG175" s="31" t="str">
        <f>IF(BZ175="","",MAX(CG$12:CG174)+1)</f>
        <v/>
      </c>
      <c r="CH175" s="31" t="str">
        <f t="shared" si="251"/>
        <v/>
      </c>
      <c r="CI175" s="66" t="str">
        <f t="shared" si="252"/>
        <v/>
      </c>
      <c r="CJ175" s="47" t="s">
        <v>0</v>
      </c>
      <c r="CK175" s="73" t="str">
        <f t="shared" si="206"/>
        <v/>
      </c>
      <c r="CL175" s="47"/>
      <c r="CM175" s="19" t="str">
        <f t="shared" si="253"/>
        <v/>
      </c>
      <c r="CN175" s="47" t="s">
        <v>0</v>
      </c>
      <c r="CO175" s="143" t="str">
        <f t="shared" si="254"/>
        <v>OK Japetić</v>
      </c>
      <c r="CP175" s="47" t="s">
        <v>0</v>
      </c>
      <c r="CQ175" s="58" t="str">
        <f t="shared" si="270"/>
        <v>44:33</v>
      </c>
      <c r="CR175" s="73" t="str">
        <f t="shared" si="271"/>
        <v>0</v>
      </c>
      <c r="CS175" s="229" t="str">
        <f t="shared" si="207"/>
        <v/>
      </c>
      <c r="CT175" s="230">
        <f t="shared" si="192"/>
        <v>2673</v>
      </c>
      <c r="CU175" s="163">
        <f t="shared" si="208"/>
        <v>1</v>
      </c>
      <c r="CV175" s="47" t="s">
        <v>0</v>
      </c>
      <c r="CW175" s="222" t="str">
        <f t="shared" si="255"/>
        <v xml:space="preserve">
</v>
      </c>
      <c r="CX175" s="223">
        <f t="shared" si="256"/>
        <v>6</v>
      </c>
      <c r="CY175" s="47" t="s">
        <v>0</v>
      </c>
      <c r="CZ175" s="47"/>
      <c r="DA175" s="47"/>
      <c r="DB175" s="47"/>
      <c r="DC175" s="47" t="s">
        <v>0</v>
      </c>
      <c r="DD175" s="53" t="str">
        <f t="shared" si="264"/>
        <v/>
      </c>
      <c r="DE175" t="s">
        <v>0</v>
      </c>
      <c r="DF175" s="128" t="str">
        <f t="shared" si="265"/>
        <v>M</v>
      </c>
      <c r="DG175" t="s">
        <v>0</v>
      </c>
      <c r="DH175" s="52" t="str">
        <f t="shared" si="266"/>
        <v/>
      </c>
      <c r="DI175" s="66" t="str">
        <f t="shared" si="267"/>
        <v/>
      </c>
      <c r="DJ175" t="s">
        <v>0</v>
      </c>
      <c r="DK175" s="19" t="str">
        <f t="shared" si="268"/>
        <v/>
      </c>
      <c r="DL175" s="47" t="s">
        <v>0</v>
      </c>
      <c r="DM175" s="19" t="str">
        <f t="shared" si="269"/>
        <v/>
      </c>
      <c r="DN175" s="47" t="s">
        <v>0</v>
      </c>
      <c r="DO175" s="52" t="str">
        <f t="shared" si="209"/>
        <v>Ivan – Pongrac – OK Japetić – M65</v>
      </c>
      <c r="DP175" s="53">
        <f t="shared" si="210"/>
        <v>131</v>
      </c>
      <c r="DQ175" s="47" t="s">
        <v>0</v>
      </c>
      <c r="DR175" s="52" t="str">
        <f t="shared" si="211"/>
        <v>Ivan – Pongrac – OK Japetić</v>
      </c>
      <c r="DS175" s="53">
        <f t="shared" si="212"/>
        <v>131</v>
      </c>
      <c r="DT175" s="47" t="s">
        <v>0</v>
      </c>
      <c r="DU175" s="52" t="str">
        <f t="shared" si="213"/>
        <v>Ivan – Pongrac</v>
      </c>
      <c r="DV175" s="53">
        <f t="shared" si="214"/>
        <v>131</v>
      </c>
      <c r="DW175" s="47" t="s">
        <v>0</v>
      </c>
      <c r="DX175" s="58">
        <f t="shared" si="257"/>
        <v>131</v>
      </c>
      <c r="DY175" s="53" cm="1">
        <f t="array" ref="DY175">IF(DX175&lt;&gt;"",INDEX(regNatjecatelj_id,DX175,0),IF(BD175&lt;&gt;"",BD175,""))</f>
        <v>1484</v>
      </c>
      <c r="DZ175" s="47" t="s">
        <v>0</v>
      </c>
      <c r="EA175" s="58" t="str">
        <f t="shared" si="215"/>
        <v>imepre</v>
      </c>
      <c r="EB175" s="73" t="str">
        <f t="shared" si="216"/>
        <v>klu(ali)</v>
      </c>
      <c r="EC175" s="73" t="str">
        <f t="shared" si="217"/>
        <v>kat</v>
      </c>
      <c r="ED175" s="73" t="str">
        <f t="shared" si="218"/>
        <v/>
      </c>
      <c r="EE175" s="66" t="str">
        <f t="shared" si="219"/>
        <v>imepre-klu(ali)-kat</v>
      </c>
      <c r="EF175" s="47" t="s">
        <v>0</v>
      </c>
      <c r="EG175" s="58">
        <f>IF(AL175="","",MAX(EG$12:EG174)+1)</f>
        <v>339</v>
      </c>
      <c r="EH175" s="73">
        <f t="shared" si="220"/>
        <v>32</v>
      </c>
      <c r="EI175" s="73">
        <f t="shared" si="258"/>
        <v>1484</v>
      </c>
      <c r="EJ175" s="73">
        <f t="shared" si="221"/>
        <v>2673</v>
      </c>
      <c r="EK175" s="73">
        <f t="shared" si="222"/>
        <v>1</v>
      </c>
      <c r="EL175" s="73">
        <f t="shared" si="259"/>
        <v>1</v>
      </c>
      <c r="EM175" s="73">
        <f t="shared" si="260"/>
        <v>3</v>
      </c>
      <c r="EN175" s="73" t="str">
        <f t="shared" si="223"/>
        <v>0</v>
      </c>
      <c r="EO175" s="73" t="str">
        <f t="shared" si="224"/>
        <v/>
      </c>
      <c r="EP175" s="73">
        <f t="shared" si="225"/>
        <v>1</v>
      </c>
      <c r="EQ175" s="53" t="str">
        <f t="shared" si="226"/>
        <v/>
      </c>
      <c r="ER175" s="47" t="s">
        <v>0</v>
      </c>
      <c r="ES175" s="19" t="str">
        <f t="shared" si="261"/>
        <v>INSERT INTO rezultat(id,stazakategorija_id,imeprezime_id,vrijeme_sec,status_id,registracija,uparivanje_id,originalstatus_id,imeprezimealias_id,klubalias_id,kategorijaalias_id) VALUES (339,32,1484,2673,1,1,3,0,Null,1,Null);</v>
      </c>
      <c r="ET175" s="47" t="s">
        <v>0</v>
      </c>
      <c r="EU175" s="19" t="str">
        <f t="shared" si="262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5" s="47" t="s">
        <v>0</v>
      </c>
      <c r="EW175" s="180" t="str">
        <f t="shared" si="227"/>
        <v xml:space="preserve">
INSERT INTO rezultat(id,stazakategorija_id,imeprezime_id,vrijeme_sec,status_id,registracija,uparivanje_id,originalstatus_id,imeprezimealias_id,klubalias_id,kategorijaalias_id) VALUES (339,32,1484,2673,1,1,3,0,Null,1,Null);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5" s="47" t="s">
        <v>0</v>
      </c>
    </row>
    <row r="176" spans="1:154" x14ac:dyDescent="0.25">
      <c r="A176" t="s">
        <v>0</v>
      </c>
      <c r="B176" s="52" t="str">
        <f>IF(csv!F166="","",csv!T166)</f>
        <v>M65</v>
      </c>
      <c r="C176" s="31" t="s">
        <v>0</v>
      </c>
      <c r="D176" s="31" t="str">
        <f>IF(csv!F166="","",csv!F166)</f>
        <v>Ivica</v>
      </c>
      <c r="E176" s="31" t="str">
        <f>IF(csv!E166="","",csv!E166)</f>
        <v>Mesić</v>
      </c>
      <c r="F176" s="31" t="s">
        <v>0</v>
      </c>
      <c r="G176" s="73" t="str">
        <f>IF(csv!M166="","",csv!M166)</f>
        <v>55:12</v>
      </c>
      <c r="H176" s="73" t="str">
        <f>IF(csv!N166="","",csv!N166)</f>
        <v>0</v>
      </c>
      <c r="I176" s="31" t="s">
        <v>0</v>
      </c>
      <c r="J176" s="31" t="str">
        <f>IF(csv!P166="","",csv!P166)</f>
        <v>Vihor</v>
      </c>
      <c r="K176" s="31" t="str">
        <f>IF(csv!Q166="","",csv!Q166)</f>
        <v>OK Vihor</v>
      </c>
      <c r="L176" s="31" t="s">
        <v>0</v>
      </c>
      <c r="M176" s="66" t="str">
        <f>IF(csv!R166="","",csv!R166)</f>
        <v>CRO</v>
      </c>
      <c r="N176" s="47" t="s">
        <v>0</v>
      </c>
      <c r="O176" s="246" t="str">
        <f t="shared" si="228"/>
        <v>ok</v>
      </c>
      <c r="P176" s="47"/>
      <c r="Q176" s="52" t="str">
        <f t="shared" si="229"/>
        <v>M65</v>
      </c>
      <c r="R176" s="73">
        <f>IF(Q176="","",IF(COUNTIF(Q$12:Q175,Q176)=0,R175+1,R175))</f>
        <v>10</v>
      </c>
      <c r="S176" s="73">
        <f t="shared" si="230"/>
        <v>104</v>
      </c>
      <c r="T176" s="73">
        <f t="shared" si="193"/>
        <v>15</v>
      </c>
      <c r="U176" s="66" t="str">
        <f t="shared" si="194"/>
        <v>M70 – M65</v>
      </c>
      <c r="V176" s="47" t="s">
        <v>0</v>
      </c>
      <c r="W176" s="222" t="str">
        <f t="shared" si="195"/>
        <v>M65</v>
      </c>
      <c r="X176" s="223">
        <f t="shared" si="196"/>
        <v>32</v>
      </c>
      <c r="Y176" s="47" t="s">
        <v>0</v>
      </c>
      <c r="Z176" s="52" t="str">
        <f t="shared" si="231"/>
        <v>CRO</v>
      </c>
      <c r="AA176" s="73">
        <f t="shared" si="197"/>
        <v>1</v>
      </c>
      <c r="AB176" s="31" t="str">
        <f t="shared" si="232"/>
        <v/>
      </c>
      <c r="AC176" s="66" t="str">
        <f>IF(AB176="","",MAX(AC$12:AC175)+1)</f>
        <v/>
      </c>
      <c r="AD176" s="47" t="s">
        <v>0</v>
      </c>
      <c r="AE176" s="125"/>
      <c r="AF176" s="47" t="s">
        <v>0</v>
      </c>
      <c r="AG176" s="19" t="str">
        <f t="shared" si="233"/>
        <v/>
      </c>
      <c r="AH176" s="47" t="s">
        <v>0</v>
      </c>
      <c r="AI176" s="143" t="str">
        <f t="shared" si="234"/>
        <v>CRO</v>
      </c>
      <c r="AJ176" s="47"/>
      <c r="AK176" s="52" t="str">
        <f t="shared" si="235"/>
        <v>Ivica</v>
      </c>
      <c r="AL176" s="31" t="str">
        <f t="shared" si="236"/>
        <v>Mesić</v>
      </c>
      <c r="AM176" s="73">
        <f t="shared" si="237"/>
        <v>1548</v>
      </c>
      <c r="AN176" s="73" t="str">
        <f t="shared" si="238"/>
        <v/>
      </c>
      <c r="AO176" s="31" t="str">
        <f t="shared" si="198"/>
        <v>Ivica</v>
      </c>
      <c r="AP176" s="66" t="str">
        <f t="shared" si="199"/>
        <v>Mesić</v>
      </c>
      <c r="AQ176" s="47" t="s">
        <v>0</v>
      </c>
      <c r="AR176" s="82" t="str">
        <f t="shared" si="239"/>
        <v/>
      </c>
      <c r="AS176" s="47" t="s">
        <v>0</v>
      </c>
      <c r="AT176" s="19" t="str">
        <f t="shared" si="240"/>
        <v/>
      </c>
      <c r="AU176" s="47" t="s">
        <v>0</v>
      </c>
      <c r="AV176" s="103"/>
      <c r="AW176" s="105"/>
      <c r="AX176" s="47" t="s">
        <v>0</v>
      </c>
      <c r="AY176" s="259" t="str">
        <f t="shared" si="263"/>
        <v/>
      </c>
      <c r="AZ176" s="47" t="s">
        <v>0</v>
      </c>
      <c r="BA176" s="52" t="str">
        <f t="shared" si="200"/>
        <v/>
      </c>
      <c r="BB176" s="73" t="str">
        <f>IF(AV176&amp;AW176="","",MAX(BB$12:BB175)+1)</f>
        <v/>
      </c>
      <c r="BC176" s="272" t="str">
        <f t="shared" si="201"/>
        <v/>
      </c>
      <c r="BD176" s="53" t="str">
        <f>IF(AND(AM176="NEMA",AN176="NEMA",OR(AV176&amp;AW176="",BC176="NEMA")),MAX(BD$12:BD175)+1,"")</f>
        <v/>
      </c>
      <c r="BE176" s="47" t="s">
        <v>0</v>
      </c>
      <c r="BF176" s="52" t="str">
        <f t="shared" si="241"/>
        <v>Ivica</v>
      </c>
      <c r="BG176" s="66" t="str">
        <f t="shared" si="242"/>
        <v>Mesić</v>
      </c>
      <c r="BH176" s="47" t="s">
        <v>0</v>
      </c>
      <c r="BI176" s="52" t="str">
        <f t="shared" si="202"/>
        <v>Vihor</v>
      </c>
      <c r="BJ176" s="31" t="str">
        <f t="shared" si="203"/>
        <v>OK Vihor</v>
      </c>
      <c r="BK176" s="73" t="str">
        <f t="shared" si="204"/>
        <v/>
      </c>
      <c r="BL176" s="31" t="str" cm="1">
        <f t="array" ref="BL176">IF(BK176="",""&amp;BJ176,IF(BK176="NEMA",BJ176,INDEX(regKlub_naziv,MATCH(INDEX(regKlub_alias_klubId,BK176),regKlub_id,0))))</f>
        <v>OK Vihor</v>
      </c>
      <c r="BM176" s="31" t="str" cm="1">
        <f t="array" ref="BM176">IFERROR(""&amp;INDEX(regNatjecatelj_klub,DV176),"")</f>
        <v>OK Vihor</v>
      </c>
      <c r="BN176" s="88" t="str">
        <f t="shared" si="243"/>
        <v/>
      </c>
      <c r="BO176" s="66" t="str">
        <f t="shared" si="244"/>
        <v>OK Vihor</v>
      </c>
      <c r="BP176" s="47" t="s">
        <v>0</v>
      </c>
      <c r="BQ176" s="52" t="str">
        <f>IF(X176&lt;&gt;"NEMA","",IF(IFERROR(MATCH(W176,W$12:W175,0),0)&lt;&gt;0,"",W176))</f>
        <v/>
      </c>
      <c r="BR176" s="73" t="str">
        <f t="shared" si="245"/>
        <v/>
      </c>
      <c r="BS176" s="31" t="str">
        <f>IF(OR(BR176="",BR176&lt;&gt;"NEMA"),"",MAX(BS$12:BS175)+1)</f>
        <v/>
      </c>
      <c r="BT176" s="66" t="str">
        <f t="shared" si="246"/>
        <v/>
      </c>
      <c r="BU176" s="47" t="s">
        <v>0</v>
      </c>
      <c r="BV176" s="19" t="str">
        <f t="shared" si="247"/>
        <v/>
      </c>
      <c r="BW176" s="47" t="s">
        <v>0</v>
      </c>
      <c r="BX176" s="82" t="str">
        <f>IF(BK176&lt;&gt;"NEMA","",IF(IFERROR(MATCH(BJ176,BJ$12:BJ175,0),0)&lt;&gt;0,"",BJ176))</f>
        <v/>
      </c>
      <c r="BY176" s="47" t="s">
        <v>0</v>
      </c>
      <c r="BZ176" s="125"/>
      <c r="CA176" s="47" t="s">
        <v>0</v>
      </c>
      <c r="CB176" s="58" t="str">
        <f t="shared" si="248"/>
        <v/>
      </c>
      <c r="CC176" s="31" t="str">
        <f t="shared" si="249"/>
        <v/>
      </c>
      <c r="CD176" s="31" t="str">
        <f>IF(CC176="","",MAX(CD$12:CD175)+1)</f>
        <v/>
      </c>
      <c r="CE176" s="31" t="str">
        <f t="shared" si="205"/>
        <v/>
      </c>
      <c r="CF176" s="31" t="str">
        <f t="shared" si="250"/>
        <v/>
      </c>
      <c r="CG176" s="31" t="str">
        <f>IF(BZ176="","",MAX(CG$12:CG175)+1)</f>
        <v/>
      </c>
      <c r="CH176" s="31" t="str">
        <f t="shared" si="251"/>
        <v/>
      </c>
      <c r="CI176" s="66" t="str">
        <f t="shared" si="252"/>
        <v/>
      </c>
      <c r="CJ176" s="47" t="s">
        <v>0</v>
      </c>
      <c r="CK176" s="73" t="str">
        <f t="shared" si="206"/>
        <v/>
      </c>
      <c r="CL176" s="47"/>
      <c r="CM176" s="19" t="str">
        <f t="shared" si="253"/>
        <v/>
      </c>
      <c r="CN176" s="47" t="s">
        <v>0</v>
      </c>
      <c r="CO176" s="143" t="str">
        <f t="shared" si="254"/>
        <v>OK Vihor</v>
      </c>
      <c r="CP176" s="47" t="s">
        <v>0</v>
      </c>
      <c r="CQ176" s="58" t="str">
        <f t="shared" si="270"/>
        <v>55:12</v>
      </c>
      <c r="CR176" s="73" t="str">
        <f t="shared" si="271"/>
        <v>0</v>
      </c>
      <c r="CS176" s="229" t="str">
        <f t="shared" si="207"/>
        <v/>
      </c>
      <c r="CT176" s="230">
        <f t="shared" si="192"/>
        <v>3312</v>
      </c>
      <c r="CU176" s="163">
        <f t="shared" si="208"/>
        <v>1</v>
      </c>
      <c r="CV176" s="47" t="s">
        <v>0</v>
      </c>
      <c r="CW176" s="222" t="str">
        <f t="shared" si="255"/>
        <v xml:space="preserve">
</v>
      </c>
      <c r="CX176" s="223">
        <f t="shared" si="256"/>
        <v>6</v>
      </c>
      <c r="CY176" s="47" t="s">
        <v>0</v>
      </c>
      <c r="CZ176" s="47"/>
      <c r="DA176" s="47"/>
      <c r="DB176" s="47"/>
      <c r="DC176" s="47" t="s">
        <v>0</v>
      </c>
      <c r="DD176" s="53" t="str">
        <f t="shared" si="264"/>
        <v/>
      </c>
      <c r="DE176" t="s">
        <v>0</v>
      </c>
      <c r="DF176" s="128" t="str">
        <f t="shared" si="265"/>
        <v>M</v>
      </c>
      <c r="DG176" t="s">
        <v>0</v>
      </c>
      <c r="DH176" s="52" t="str">
        <f t="shared" si="266"/>
        <v/>
      </c>
      <c r="DI176" s="66" t="str">
        <f t="shared" si="267"/>
        <v/>
      </c>
      <c r="DJ176" t="s">
        <v>0</v>
      </c>
      <c r="DK176" s="19" t="str">
        <f t="shared" si="268"/>
        <v/>
      </c>
      <c r="DL176" s="47" t="s">
        <v>0</v>
      </c>
      <c r="DM176" s="19" t="str">
        <f t="shared" si="269"/>
        <v/>
      </c>
      <c r="DN176" s="47" t="s">
        <v>0</v>
      </c>
      <c r="DO176" s="52" t="str">
        <f t="shared" si="209"/>
        <v>Ivica – Mesić – OK Vihor – M65</v>
      </c>
      <c r="DP176" s="53">
        <f t="shared" si="210"/>
        <v>802</v>
      </c>
      <c r="DQ176" s="47" t="s">
        <v>0</v>
      </c>
      <c r="DR176" s="52" t="str">
        <f t="shared" si="211"/>
        <v>Ivica – Mesić – OK Vihor</v>
      </c>
      <c r="DS176" s="53">
        <f t="shared" si="212"/>
        <v>802</v>
      </c>
      <c r="DT176" s="47" t="s">
        <v>0</v>
      </c>
      <c r="DU176" s="52" t="str">
        <f t="shared" si="213"/>
        <v>Ivica – Mesić</v>
      </c>
      <c r="DV176" s="53">
        <f t="shared" si="214"/>
        <v>802</v>
      </c>
      <c r="DW176" s="47" t="s">
        <v>0</v>
      </c>
      <c r="DX176" s="58">
        <f t="shared" si="257"/>
        <v>802</v>
      </c>
      <c r="DY176" s="53" cm="1">
        <f t="array" ref="DY176">IF(DX176&lt;&gt;"",INDEX(regNatjecatelj_id,DX176,0),IF(BD176&lt;&gt;"",BD176,""))</f>
        <v>1548</v>
      </c>
      <c r="DZ176" s="47" t="s">
        <v>0</v>
      </c>
      <c r="EA176" s="58" t="str">
        <f t="shared" si="215"/>
        <v>imepre</v>
      </c>
      <c r="EB176" s="73" t="str">
        <f t="shared" si="216"/>
        <v>klu</v>
      </c>
      <c r="EC176" s="73" t="str">
        <f t="shared" si="217"/>
        <v>kat</v>
      </c>
      <c r="ED176" s="73" t="str">
        <f t="shared" si="218"/>
        <v/>
      </c>
      <c r="EE176" s="66" t="str">
        <f t="shared" si="219"/>
        <v>imepre-klu-kat</v>
      </c>
      <c r="EF176" s="47" t="s">
        <v>0</v>
      </c>
      <c r="EG176" s="58">
        <f>IF(AL176="","",MAX(EG$12:EG175)+1)</f>
        <v>340</v>
      </c>
      <c r="EH176" s="73">
        <f t="shared" si="220"/>
        <v>32</v>
      </c>
      <c r="EI176" s="73">
        <f t="shared" si="258"/>
        <v>1548</v>
      </c>
      <c r="EJ176" s="73">
        <f t="shared" si="221"/>
        <v>3312</v>
      </c>
      <c r="EK176" s="73">
        <f t="shared" si="222"/>
        <v>1</v>
      </c>
      <c r="EL176" s="73">
        <f t="shared" si="259"/>
        <v>1</v>
      </c>
      <c r="EM176" s="73">
        <f t="shared" si="260"/>
        <v>1</v>
      </c>
      <c r="EN176" s="73" t="str">
        <f t="shared" si="223"/>
        <v>0</v>
      </c>
      <c r="EO176" s="73" t="str">
        <f t="shared" si="224"/>
        <v/>
      </c>
      <c r="EP176" s="73" t="str">
        <f t="shared" si="225"/>
        <v/>
      </c>
      <c r="EQ176" s="53" t="str">
        <f t="shared" si="226"/>
        <v/>
      </c>
      <c r="ER176" s="47" t="s">
        <v>0</v>
      </c>
      <c r="ES176" s="19" t="str">
        <f t="shared" si="261"/>
        <v>INSERT INTO rezultat(id,stazakategorija_id,imeprezime_id,vrijeme_sec,status_id,registracija,uparivanje_id,originalstatus_id,imeprezimealias_id,klubalias_id,kategorijaalias_id) VALUES (340,32,1548,3312,1,1,1,0,Null,Null,Null);</v>
      </c>
      <c r="ET176" s="47" t="s">
        <v>0</v>
      </c>
      <c r="EU176" s="19" t="str">
        <f t="shared" si="262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6" s="47" t="s">
        <v>0</v>
      </c>
      <c r="EW176" s="180" t="str">
        <f t="shared" si="227"/>
        <v xml:space="preserve">
INSERT INTO rezultat(id,stazakategorija_id,imeprezime_id,vrijeme_sec,status_id,registracija,uparivanje_id,originalstatus_id,imeprezimealias_id,klubalias_id,kategorijaalias_id) VALUES (340,32,1548,3312,1,1,1,0,Null,Null,Null);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6" s="47" t="s">
        <v>0</v>
      </c>
    </row>
    <row r="177" spans="1:154" x14ac:dyDescent="0.25">
      <c r="A177" t="s">
        <v>0</v>
      </c>
      <c r="B177" s="52" t="str">
        <f>IF(csv!F167="","",csv!T167)</f>
        <v>M65</v>
      </c>
      <c r="C177" s="31" t="s">
        <v>0</v>
      </c>
      <c r="D177" s="31" t="str">
        <f>IF(csv!F167="","",csv!F167)</f>
        <v>Tomislav</v>
      </c>
      <c r="E177" s="31" t="str">
        <f>IF(csv!E167="","",csv!E167)</f>
        <v>Pavić</v>
      </c>
      <c r="F177" s="31" t="s">
        <v>0</v>
      </c>
      <c r="G177" s="73" t="str">
        <f>IF(csv!M167="","",csv!M167)</f>
        <v>94:04</v>
      </c>
      <c r="H177" s="73" t="str">
        <f>IF(csv!N167="","",csv!N167)</f>
        <v>0</v>
      </c>
      <c r="I177" s="31" t="s">
        <v>0</v>
      </c>
      <c r="J177" s="31" t="str">
        <f>IF(csv!P167="","",csv!P167)</f>
        <v>Vihor</v>
      </c>
      <c r="K177" s="31" t="str">
        <f>IF(csv!Q167="","",csv!Q167)</f>
        <v>OK Vihor</v>
      </c>
      <c r="L177" s="31" t="s">
        <v>0</v>
      </c>
      <c r="M177" s="66" t="str">
        <f>IF(csv!R167="","",csv!R167)</f>
        <v>CRO</v>
      </c>
      <c r="N177" s="47" t="s">
        <v>0</v>
      </c>
      <c r="O177" s="246" t="str">
        <f t="shared" si="228"/>
        <v>ok</v>
      </c>
      <c r="P177" s="47"/>
      <c r="Q177" s="52" t="str">
        <f t="shared" si="229"/>
        <v>M65</v>
      </c>
      <c r="R177" s="73">
        <f>IF(Q177="","",IF(COUNTIF(Q$12:Q176,Q177)=0,R176+1,R176))</f>
        <v>10</v>
      </c>
      <c r="S177" s="73">
        <f t="shared" si="230"/>
        <v>104</v>
      </c>
      <c r="T177" s="73">
        <f t="shared" si="193"/>
        <v>15</v>
      </c>
      <c r="U177" s="66" t="str">
        <f t="shared" si="194"/>
        <v>M70 – M65</v>
      </c>
      <c r="V177" s="47" t="s">
        <v>0</v>
      </c>
      <c r="W177" s="222" t="str">
        <f t="shared" si="195"/>
        <v>M65</v>
      </c>
      <c r="X177" s="223">
        <f t="shared" si="196"/>
        <v>32</v>
      </c>
      <c r="Y177" s="47" t="s">
        <v>0</v>
      </c>
      <c r="Z177" s="52" t="str">
        <f t="shared" si="231"/>
        <v>CRO</v>
      </c>
      <c r="AA177" s="73">
        <f t="shared" si="197"/>
        <v>1</v>
      </c>
      <c r="AB177" s="31" t="str">
        <f t="shared" si="232"/>
        <v/>
      </c>
      <c r="AC177" s="66" t="str">
        <f>IF(AB177="","",MAX(AC$12:AC176)+1)</f>
        <v/>
      </c>
      <c r="AD177" s="47" t="s">
        <v>0</v>
      </c>
      <c r="AE177" s="125"/>
      <c r="AF177" s="47" t="s">
        <v>0</v>
      </c>
      <c r="AG177" s="19" t="str">
        <f t="shared" si="233"/>
        <v/>
      </c>
      <c r="AH177" s="47" t="s">
        <v>0</v>
      </c>
      <c r="AI177" s="143" t="str">
        <f t="shared" si="234"/>
        <v>CRO</v>
      </c>
      <c r="AJ177" s="47"/>
      <c r="AK177" s="52" t="str">
        <f t="shared" si="235"/>
        <v>Tomislav</v>
      </c>
      <c r="AL177" s="31" t="str">
        <f t="shared" si="236"/>
        <v>Pavić</v>
      </c>
      <c r="AM177" s="73">
        <f t="shared" si="237"/>
        <v>1145</v>
      </c>
      <c r="AN177" s="73" t="str">
        <f t="shared" si="238"/>
        <v/>
      </c>
      <c r="AO177" s="31" t="str">
        <f t="shared" si="198"/>
        <v>Tomislav</v>
      </c>
      <c r="AP177" s="66" t="str">
        <f t="shared" si="199"/>
        <v>Pavić</v>
      </c>
      <c r="AQ177" s="47" t="s">
        <v>0</v>
      </c>
      <c r="AR177" s="82" t="str">
        <f t="shared" si="239"/>
        <v/>
      </c>
      <c r="AS177" s="47" t="s">
        <v>0</v>
      </c>
      <c r="AT177" s="19" t="str">
        <f t="shared" si="240"/>
        <v/>
      </c>
      <c r="AU177" s="47" t="s">
        <v>0</v>
      </c>
      <c r="AV177" s="103"/>
      <c r="AW177" s="105"/>
      <c r="AX177" s="47" t="s">
        <v>0</v>
      </c>
      <c r="AY177" s="259" t="str">
        <f t="shared" si="263"/>
        <v/>
      </c>
      <c r="AZ177" s="47" t="s">
        <v>0</v>
      </c>
      <c r="BA177" s="52" t="str">
        <f t="shared" si="200"/>
        <v/>
      </c>
      <c r="BB177" s="73" t="str">
        <f>IF(AV177&amp;AW177="","",MAX(BB$12:BB176)+1)</f>
        <v/>
      </c>
      <c r="BC177" s="272" t="str">
        <f t="shared" si="201"/>
        <v/>
      </c>
      <c r="BD177" s="53" t="str">
        <f>IF(AND(AM177="NEMA",AN177="NEMA",OR(AV177&amp;AW177="",BC177="NEMA")),MAX(BD$12:BD176)+1,"")</f>
        <v/>
      </c>
      <c r="BE177" s="47" t="s">
        <v>0</v>
      </c>
      <c r="BF177" s="52" t="str">
        <f t="shared" si="241"/>
        <v>Tomislav</v>
      </c>
      <c r="BG177" s="66" t="str">
        <f t="shared" si="242"/>
        <v>Pavić</v>
      </c>
      <c r="BH177" s="47" t="s">
        <v>0</v>
      </c>
      <c r="BI177" s="52" t="str">
        <f t="shared" si="202"/>
        <v>Vihor</v>
      </c>
      <c r="BJ177" s="31" t="str">
        <f t="shared" si="203"/>
        <v>OK Vihor</v>
      </c>
      <c r="BK177" s="73" t="str">
        <f t="shared" si="204"/>
        <v/>
      </c>
      <c r="BL177" s="31" t="str" cm="1">
        <f t="array" ref="BL177">IF(BK177="",""&amp;BJ177,IF(BK177="NEMA",BJ177,INDEX(regKlub_naziv,MATCH(INDEX(regKlub_alias_klubId,BK177),regKlub_id,0))))</f>
        <v>OK Vihor</v>
      </c>
      <c r="BM177" s="31" t="str" cm="1">
        <f t="array" ref="BM177">IFERROR(""&amp;INDEX(regNatjecatelj_klub,DV177),"")</f>
        <v>OK Vihor</v>
      </c>
      <c r="BN177" s="88" t="str">
        <f t="shared" si="243"/>
        <v/>
      </c>
      <c r="BO177" s="66" t="str">
        <f t="shared" si="244"/>
        <v>OK Vihor</v>
      </c>
      <c r="BP177" s="47" t="s">
        <v>0</v>
      </c>
      <c r="BQ177" s="52" t="str">
        <f>IF(X177&lt;&gt;"NEMA","",IF(IFERROR(MATCH(W177,W$12:W176,0),0)&lt;&gt;0,"",W177))</f>
        <v/>
      </c>
      <c r="BR177" s="73" t="str">
        <f t="shared" si="245"/>
        <v/>
      </c>
      <c r="BS177" s="31" t="str">
        <f>IF(OR(BR177="",BR177&lt;&gt;"NEMA"),"",MAX(BS$12:BS176)+1)</f>
        <v/>
      </c>
      <c r="BT177" s="66" t="str">
        <f t="shared" si="246"/>
        <v/>
      </c>
      <c r="BU177" s="47" t="s">
        <v>0</v>
      </c>
      <c r="BV177" s="19" t="str">
        <f t="shared" si="247"/>
        <v/>
      </c>
      <c r="BW177" s="47" t="s">
        <v>0</v>
      </c>
      <c r="BX177" s="82" t="str">
        <f>IF(BK177&lt;&gt;"NEMA","",IF(IFERROR(MATCH(BJ177,BJ$12:BJ176,0),0)&lt;&gt;0,"",BJ177))</f>
        <v/>
      </c>
      <c r="BY177" s="47" t="s">
        <v>0</v>
      </c>
      <c r="BZ177" s="125"/>
      <c r="CA177" s="47" t="s">
        <v>0</v>
      </c>
      <c r="CB177" s="58" t="str">
        <f t="shared" si="248"/>
        <v/>
      </c>
      <c r="CC177" s="31" t="str">
        <f t="shared" si="249"/>
        <v/>
      </c>
      <c r="CD177" s="31" t="str">
        <f>IF(CC177="","",MAX(CD$12:CD176)+1)</f>
        <v/>
      </c>
      <c r="CE177" s="31" t="str">
        <f t="shared" si="205"/>
        <v/>
      </c>
      <c r="CF177" s="31" t="str">
        <f t="shared" si="250"/>
        <v/>
      </c>
      <c r="CG177" s="31" t="str">
        <f>IF(BZ177="","",MAX(CG$12:CG176)+1)</f>
        <v/>
      </c>
      <c r="CH177" s="31" t="str">
        <f t="shared" si="251"/>
        <v/>
      </c>
      <c r="CI177" s="66" t="str">
        <f t="shared" si="252"/>
        <v/>
      </c>
      <c r="CJ177" s="47" t="s">
        <v>0</v>
      </c>
      <c r="CK177" s="73" t="str">
        <f t="shared" si="206"/>
        <v/>
      </c>
      <c r="CL177" s="47"/>
      <c r="CM177" s="19" t="str">
        <f t="shared" si="253"/>
        <v/>
      </c>
      <c r="CN177" s="47" t="s">
        <v>0</v>
      </c>
      <c r="CO177" s="143" t="str">
        <f t="shared" si="254"/>
        <v>OK Vihor</v>
      </c>
      <c r="CP177" s="47" t="s">
        <v>0</v>
      </c>
      <c r="CQ177" s="58" t="str">
        <f t="shared" si="270"/>
        <v>94:04</v>
      </c>
      <c r="CR177" s="73" t="str">
        <f t="shared" si="271"/>
        <v>0</v>
      </c>
      <c r="CS177" s="229" t="str">
        <f t="shared" si="207"/>
        <v/>
      </c>
      <c r="CT177" s="230">
        <f t="shared" si="192"/>
        <v>5644</v>
      </c>
      <c r="CU177" s="163">
        <f t="shared" si="208"/>
        <v>1</v>
      </c>
      <c r="CV177" s="47" t="s">
        <v>0</v>
      </c>
      <c r="CW177" s="222" t="str">
        <f t="shared" si="255"/>
        <v xml:space="preserve">
</v>
      </c>
      <c r="CX177" s="223">
        <f t="shared" si="256"/>
        <v>6</v>
      </c>
      <c r="CY177" s="47" t="s">
        <v>0</v>
      </c>
      <c r="CZ177" s="47"/>
      <c r="DA177" s="47"/>
      <c r="DB177" s="47"/>
      <c r="DC177" s="47" t="s">
        <v>0</v>
      </c>
      <c r="DD177" s="53" t="str">
        <f t="shared" si="264"/>
        <v/>
      </c>
      <c r="DE177" t="s">
        <v>0</v>
      </c>
      <c r="DF177" s="128" t="str">
        <f t="shared" si="265"/>
        <v>M</v>
      </c>
      <c r="DG177" t="s">
        <v>0</v>
      </c>
      <c r="DH177" s="52" t="str">
        <f t="shared" si="266"/>
        <v/>
      </c>
      <c r="DI177" s="66" t="str">
        <f t="shared" si="267"/>
        <v/>
      </c>
      <c r="DJ177" t="s">
        <v>0</v>
      </c>
      <c r="DK177" s="19" t="str">
        <f t="shared" si="268"/>
        <v/>
      </c>
      <c r="DL177" s="47" t="s">
        <v>0</v>
      </c>
      <c r="DM177" s="19" t="str">
        <f t="shared" si="269"/>
        <v/>
      </c>
      <c r="DN177" s="47" t="s">
        <v>0</v>
      </c>
      <c r="DO177" s="52" t="str">
        <f t="shared" si="209"/>
        <v>Tomislav – Pavić – OK Vihor – M65</v>
      </c>
      <c r="DP177" s="53">
        <f t="shared" si="210"/>
        <v>840</v>
      </c>
      <c r="DQ177" s="47" t="s">
        <v>0</v>
      </c>
      <c r="DR177" s="52" t="str">
        <f t="shared" si="211"/>
        <v>Tomislav – Pavić – OK Vihor</v>
      </c>
      <c r="DS177" s="53">
        <f t="shared" si="212"/>
        <v>840</v>
      </c>
      <c r="DT177" s="47" t="s">
        <v>0</v>
      </c>
      <c r="DU177" s="52" t="str">
        <f t="shared" si="213"/>
        <v>Tomislav – Pavić</v>
      </c>
      <c r="DV177" s="53">
        <f t="shared" si="214"/>
        <v>840</v>
      </c>
      <c r="DW177" s="47" t="s">
        <v>0</v>
      </c>
      <c r="DX177" s="58">
        <f t="shared" si="257"/>
        <v>840</v>
      </c>
      <c r="DY177" s="53" cm="1">
        <f t="array" ref="DY177">IF(DX177&lt;&gt;"",INDEX(regNatjecatelj_id,DX177,0),IF(BD177&lt;&gt;"",BD177,""))</f>
        <v>1145</v>
      </c>
      <c r="DZ177" s="47" t="s">
        <v>0</v>
      </c>
      <c r="EA177" s="58" t="str">
        <f t="shared" si="215"/>
        <v>imepre</v>
      </c>
      <c r="EB177" s="73" t="str">
        <f t="shared" si="216"/>
        <v>klu</v>
      </c>
      <c r="EC177" s="73" t="str">
        <f t="shared" si="217"/>
        <v>kat</v>
      </c>
      <c r="ED177" s="73" t="str">
        <f t="shared" si="218"/>
        <v/>
      </c>
      <c r="EE177" s="66" t="str">
        <f t="shared" si="219"/>
        <v>imepre-klu-kat</v>
      </c>
      <c r="EF177" s="47" t="s">
        <v>0</v>
      </c>
      <c r="EG177" s="58">
        <f>IF(AL177="","",MAX(EG$12:EG176)+1)</f>
        <v>341</v>
      </c>
      <c r="EH177" s="73">
        <f t="shared" si="220"/>
        <v>32</v>
      </c>
      <c r="EI177" s="73">
        <f t="shared" si="258"/>
        <v>1145</v>
      </c>
      <c r="EJ177" s="73">
        <f t="shared" si="221"/>
        <v>5644</v>
      </c>
      <c r="EK177" s="73">
        <f t="shared" si="222"/>
        <v>1</v>
      </c>
      <c r="EL177" s="73">
        <f t="shared" si="259"/>
        <v>1</v>
      </c>
      <c r="EM177" s="73">
        <f t="shared" si="260"/>
        <v>1</v>
      </c>
      <c r="EN177" s="73" t="str">
        <f t="shared" si="223"/>
        <v>0</v>
      </c>
      <c r="EO177" s="73" t="str">
        <f t="shared" si="224"/>
        <v/>
      </c>
      <c r="EP177" s="73" t="str">
        <f t="shared" si="225"/>
        <v/>
      </c>
      <c r="EQ177" s="53" t="str">
        <f t="shared" si="226"/>
        <v/>
      </c>
      <c r="ER177" s="47" t="s">
        <v>0</v>
      </c>
      <c r="ES177" s="19" t="str">
        <f t="shared" si="261"/>
        <v>INSERT INTO rezultat(id,stazakategorija_id,imeprezime_id,vrijeme_sec,status_id,registracija,uparivanje_id,originalstatus_id,imeprezimealias_id,klubalias_id,kategorijaalias_id) VALUES (341,32,1145,5644,1,1,1,0,Null,Null,Null);</v>
      </c>
      <c r="ET177" s="47" t="s">
        <v>0</v>
      </c>
      <c r="EU177" s="19" t="str">
        <f t="shared" si="262"/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7" s="47" t="s">
        <v>0</v>
      </c>
      <c r="EW177" s="180" t="str">
        <f t="shared" si="227"/>
        <v xml:space="preserve">
INSERT INTO rezultat(id,stazakategorija_id,imeprezime_id,vrijeme_sec,status_id,registracija,uparivanje_id,originalstatus_id,imeprezimealias_id,klubalias_id,kategorijaalias_id) VALUES (341,32,1145,5644,1,1,1,0,Null,Null,Null);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7" s="47" t="s">
        <v>0</v>
      </c>
    </row>
    <row r="178" spans="1:154" x14ac:dyDescent="0.25">
      <c r="A178" t="s">
        <v>0</v>
      </c>
      <c r="B178" s="52" t="str">
        <f>IF(csv!F168="","",csv!T168)</f>
        <v>M65</v>
      </c>
      <c r="C178" s="31" t="s">
        <v>0</v>
      </c>
      <c r="D178" s="31" t="str">
        <f>IF(csv!F168="","",csv!F168)</f>
        <v>Vacant</v>
      </c>
      <c r="E178" s="31" t="str">
        <f>IF(csv!E168="","",csv!E168)</f>
        <v/>
      </c>
      <c r="F178" s="31" t="s">
        <v>0</v>
      </c>
      <c r="G178" s="73" t="str">
        <f>IF(csv!M168="","",csv!M168)</f>
        <v/>
      </c>
      <c r="H178" s="73" t="str">
        <f>IF(csv!N168="","",csv!N168)</f>
        <v>0</v>
      </c>
      <c r="I178" s="31" t="s">
        <v>0</v>
      </c>
      <c r="J178" s="31" t="str">
        <f>IF(csv!P168="","",csv!P168)</f>
        <v/>
      </c>
      <c r="K178" s="31" t="str">
        <f>IF(csv!Q168="","",csv!Q168)</f>
        <v/>
      </c>
      <c r="L178" s="31" t="s">
        <v>0</v>
      </c>
      <c r="M178" s="66" t="str">
        <f>IF(csv!R168="","",csv!R168)</f>
        <v/>
      </c>
      <c r="N178" s="47" t="s">
        <v>0</v>
      </c>
      <c r="O178" s="246" t="str">
        <f t="shared" si="228"/>
        <v/>
      </c>
      <c r="P178" s="47"/>
      <c r="Q178" s="52" t="str">
        <f t="shared" si="229"/>
        <v>M65</v>
      </c>
      <c r="R178" s="73">
        <f>IF(Q178="","",IF(COUNTIF(Q$12:Q177,Q178)=0,R177+1,R177))</f>
        <v>10</v>
      </c>
      <c r="S178" s="73">
        <f t="shared" si="230"/>
        <v>104</v>
      </c>
      <c r="T178" s="73">
        <f t="shared" si="193"/>
        <v>15</v>
      </c>
      <c r="U178" s="66" t="str">
        <f t="shared" si="194"/>
        <v>M70 – M65</v>
      </c>
      <c r="V178" s="47" t="s">
        <v>0</v>
      </c>
      <c r="W178" s="222" t="str">
        <f t="shared" si="195"/>
        <v/>
      </c>
      <c r="X178" s="223" t="str">
        <f t="shared" si="196"/>
        <v/>
      </c>
      <c r="Y178" s="47" t="s">
        <v>0</v>
      </c>
      <c r="Z178" s="52" t="str">
        <f t="shared" si="231"/>
        <v/>
      </c>
      <c r="AA178" s="73" t="str">
        <f t="shared" si="197"/>
        <v/>
      </c>
      <c r="AB178" s="31" t="str">
        <f t="shared" si="232"/>
        <v/>
      </c>
      <c r="AC178" s="66" t="str">
        <f>IF(AB178="","",MAX(AC$12:AC177)+1)</f>
        <v/>
      </c>
      <c r="AD178" s="47" t="s">
        <v>0</v>
      </c>
      <c r="AE178" s="125"/>
      <c r="AF178" s="47" t="s">
        <v>0</v>
      </c>
      <c r="AG178" s="19" t="str">
        <f t="shared" si="233"/>
        <v/>
      </c>
      <c r="AH178" s="47" t="s">
        <v>0</v>
      </c>
      <c r="AI178" s="143" t="str">
        <f t="shared" si="234"/>
        <v/>
      </c>
      <c r="AJ178" s="47"/>
      <c r="AK178" s="52" t="str">
        <f t="shared" si="235"/>
        <v/>
      </c>
      <c r="AL178" s="31" t="str">
        <f t="shared" si="236"/>
        <v/>
      </c>
      <c r="AM178" s="73" t="str">
        <f t="shared" si="237"/>
        <v/>
      </c>
      <c r="AN178" s="73" t="str">
        <f t="shared" si="238"/>
        <v/>
      </c>
      <c r="AO178" s="31" t="str">
        <f t="shared" si="198"/>
        <v/>
      </c>
      <c r="AP178" s="66" t="str">
        <f t="shared" si="199"/>
        <v/>
      </c>
      <c r="AQ178" s="47" t="s">
        <v>0</v>
      </c>
      <c r="AR178" s="82" t="str">
        <f t="shared" si="239"/>
        <v/>
      </c>
      <c r="AS178" s="47" t="s">
        <v>0</v>
      </c>
      <c r="AT178" s="19" t="str">
        <f t="shared" si="240"/>
        <v/>
      </c>
      <c r="AU178" s="47" t="s">
        <v>0</v>
      </c>
      <c r="AV178" s="103"/>
      <c r="AW178" s="105"/>
      <c r="AX178" s="47" t="s">
        <v>0</v>
      </c>
      <c r="AY178" s="259" t="str">
        <f t="shared" si="263"/>
        <v/>
      </c>
      <c r="AZ178" s="47" t="s">
        <v>0</v>
      </c>
      <c r="BA178" s="52" t="str">
        <f t="shared" si="200"/>
        <v/>
      </c>
      <c r="BB178" s="73" t="str">
        <f>IF(AV178&amp;AW178="","",MAX(BB$12:BB177)+1)</f>
        <v/>
      </c>
      <c r="BC178" s="272" t="str">
        <f t="shared" si="201"/>
        <v/>
      </c>
      <c r="BD178" s="53" t="str">
        <f>IF(AND(AM178="NEMA",AN178="NEMA",OR(AV178&amp;AW178="",BC178="NEMA")),MAX(BD$12:BD177)+1,"")</f>
        <v/>
      </c>
      <c r="BE178" s="47" t="s">
        <v>0</v>
      </c>
      <c r="BF178" s="52" t="str">
        <f t="shared" si="241"/>
        <v/>
      </c>
      <c r="BG178" s="66" t="str">
        <f t="shared" si="242"/>
        <v/>
      </c>
      <c r="BH178" s="47" t="s">
        <v>0</v>
      </c>
      <c r="BI178" s="52" t="str">
        <f t="shared" si="202"/>
        <v/>
      </c>
      <c r="BJ178" s="31" t="str">
        <f t="shared" si="203"/>
        <v/>
      </c>
      <c r="BK178" s="73" t="str">
        <f t="shared" si="204"/>
        <v/>
      </c>
      <c r="BL178" s="31" t="str" cm="1">
        <f t="array" ref="BL178">IF(BK178="",""&amp;BJ178,IF(BK178="NEMA",BJ178,INDEX(regKlub_naziv,MATCH(INDEX(regKlub_alias_klubId,BK178),regKlub_id,0))))</f>
        <v/>
      </c>
      <c r="BM178" s="31" t="str" cm="1">
        <f t="array" ref="BM178">IFERROR(""&amp;INDEX(regNatjecatelj_klub,DV178),"")</f>
        <v/>
      </c>
      <c r="BN178" s="88" t="str">
        <f t="shared" si="243"/>
        <v/>
      </c>
      <c r="BO178" s="66" t="str">
        <f t="shared" si="244"/>
        <v/>
      </c>
      <c r="BP178" s="47" t="s">
        <v>0</v>
      </c>
      <c r="BQ178" s="52" t="str">
        <f>IF(X178&lt;&gt;"NEMA","",IF(IFERROR(MATCH(W178,W$12:W177,0),0)&lt;&gt;0,"",W178))</f>
        <v/>
      </c>
      <c r="BR178" s="73" t="str">
        <f t="shared" si="245"/>
        <v/>
      </c>
      <c r="BS178" s="31" t="str">
        <f>IF(OR(BR178="",BR178&lt;&gt;"NEMA"),"",MAX(BS$12:BS177)+1)</f>
        <v/>
      </c>
      <c r="BT178" s="66" t="str">
        <f t="shared" si="246"/>
        <v/>
      </c>
      <c r="BU178" s="47" t="s">
        <v>0</v>
      </c>
      <c r="BV178" s="19" t="str">
        <f t="shared" si="247"/>
        <v/>
      </c>
      <c r="BW178" s="47" t="s">
        <v>0</v>
      </c>
      <c r="BX178" s="82" t="str">
        <f>IF(BK178&lt;&gt;"NEMA","",IF(IFERROR(MATCH(BJ178,BJ$12:BJ177,0),0)&lt;&gt;0,"",BJ178))</f>
        <v/>
      </c>
      <c r="BY178" s="47" t="s">
        <v>0</v>
      </c>
      <c r="BZ178" s="125"/>
      <c r="CA178" s="47" t="s">
        <v>0</v>
      </c>
      <c r="CB178" s="58" t="str">
        <f t="shared" si="248"/>
        <v/>
      </c>
      <c r="CC178" s="31" t="str">
        <f t="shared" si="249"/>
        <v/>
      </c>
      <c r="CD178" s="31" t="str">
        <f>IF(CC178="","",MAX(CD$12:CD177)+1)</f>
        <v/>
      </c>
      <c r="CE178" s="31" t="str">
        <f t="shared" si="205"/>
        <v/>
      </c>
      <c r="CF178" s="31" t="str">
        <f t="shared" si="250"/>
        <v/>
      </c>
      <c r="CG178" s="31" t="str">
        <f>IF(BZ178="","",MAX(CG$12:CG177)+1)</f>
        <v/>
      </c>
      <c r="CH178" s="31" t="str">
        <f t="shared" si="251"/>
        <v/>
      </c>
      <c r="CI178" s="66" t="str">
        <f t="shared" si="252"/>
        <v/>
      </c>
      <c r="CJ178" s="47" t="s">
        <v>0</v>
      </c>
      <c r="CK178" s="73" t="str">
        <f t="shared" si="206"/>
        <v/>
      </c>
      <c r="CL178" s="47"/>
      <c r="CM178" s="19" t="str">
        <f t="shared" si="253"/>
        <v/>
      </c>
      <c r="CN178" s="47" t="s">
        <v>0</v>
      </c>
      <c r="CO178" s="143" t="str">
        <f t="shared" si="254"/>
        <v/>
      </c>
      <c r="CP178" s="47" t="s">
        <v>0</v>
      </c>
      <c r="CQ178" s="58" t="str">
        <f t="shared" si="270"/>
        <v/>
      </c>
      <c r="CR178" s="73" t="str">
        <f t="shared" si="271"/>
        <v>0</v>
      </c>
      <c r="CS178" s="229" t="str">
        <f t="shared" si="207"/>
        <v/>
      </c>
      <c r="CT178" s="230" t="str">
        <f t="shared" si="192"/>
        <v/>
      </c>
      <c r="CU178" s="163" t="str">
        <f t="shared" si="208"/>
        <v/>
      </c>
      <c r="CV178" s="47" t="s">
        <v>0</v>
      </c>
      <c r="CW178" s="222" t="str">
        <f t="shared" si="255"/>
        <v xml:space="preserve">
</v>
      </c>
      <c r="CX178" s="223" t="str">
        <f t="shared" si="256"/>
        <v/>
      </c>
      <c r="CY178" s="47" t="s">
        <v>0</v>
      </c>
      <c r="CZ178" s="47"/>
      <c r="DA178" s="47"/>
      <c r="DB178" s="47"/>
      <c r="DC178" s="47" t="s">
        <v>0</v>
      </c>
      <c r="DD178" s="53" t="str">
        <f t="shared" si="264"/>
        <v/>
      </c>
      <c r="DE178" t="s">
        <v>0</v>
      </c>
      <c r="DF178" s="128" t="str">
        <f t="shared" si="265"/>
        <v>M</v>
      </c>
      <c r="DG178" t="s">
        <v>0</v>
      </c>
      <c r="DH178" s="52" t="str">
        <f t="shared" si="266"/>
        <v/>
      </c>
      <c r="DI178" s="66" t="str">
        <f t="shared" si="267"/>
        <v/>
      </c>
      <c r="DJ178" t="s">
        <v>0</v>
      </c>
      <c r="DK178" s="19" t="str">
        <f t="shared" si="268"/>
        <v/>
      </c>
      <c r="DL178" s="47" t="s">
        <v>0</v>
      </c>
      <c r="DM178" s="19" t="str">
        <f t="shared" si="269"/>
        <v/>
      </c>
      <c r="DN178" s="47" t="s">
        <v>0</v>
      </c>
      <c r="DO178" s="52" t="str">
        <f t="shared" si="209"/>
        <v/>
      </c>
      <c r="DP178" s="53" t="str">
        <f t="shared" si="210"/>
        <v/>
      </c>
      <c r="DQ178" s="47" t="s">
        <v>0</v>
      </c>
      <c r="DR178" s="52" t="str">
        <f t="shared" si="211"/>
        <v/>
      </c>
      <c r="DS178" s="53" t="str">
        <f t="shared" si="212"/>
        <v/>
      </c>
      <c r="DT178" s="47" t="s">
        <v>0</v>
      </c>
      <c r="DU178" s="52" t="str">
        <f t="shared" si="213"/>
        <v/>
      </c>
      <c r="DV178" s="53" t="str">
        <f t="shared" si="214"/>
        <v/>
      </c>
      <c r="DW178" s="47" t="s">
        <v>0</v>
      </c>
      <c r="DX178" s="58" t="str">
        <f t="shared" si="257"/>
        <v/>
      </c>
      <c r="DY178" s="53" t="str" cm="1">
        <f t="array" ref="DY178">IF(DX178&lt;&gt;"",INDEX(regNatjecatelj_id,DX178,0),IF(BD178&lt;&gt;"",BD178,""))</f>
        <v/>
      </c>
      <c r="DZ178" s="47" t="s">
        <v>0</v>
      </c>
      <c r="EA178" s="58" t="str">
        <f t="shared" si="215"/>
        <v/>
      </c>
      <c r="EB178" s="73" t="str">
        <f t="shared" si="216"/>
        <v/>
      </c>
      <c r="EC178" s="73" t="str">
        <f t="shared" si="217"/>
        <v/>
      </c>
      <c r="ED178" s="73" t="str">
        <f t="shared" si="218"/>
        <v/>
      </c>
      <c r="EE178" s="66" t="str">
        <f t="shared" si="219"/>
        <v/>
      </c>
      <c r="EF178" s="47" t="s">
        <v>0</v>
      </c>
      <c r="EG178" s="58" t="str">
        <f>IF(AL178="","",MAX(EG$12:EG177)+1)</f>
        <v/>
      </c>
      <c r="EH178" s="73" t="str">
        <f t="shared" si="220"/>
        <v/>
      </c>
      <c r="EI178" s="73" t="str">
        <f t="shared" si="258"/>
        <v/>
      </c>
      <c r="EJ178" s="73" t="str">
        <f t="shared" si="221"/>
        <v/>
      </c>
      <c r="EK178" s="73" t="str">
        <f t="shared" si="222"/>
        <v/>
      </c>
      <c r="EL178" s="73" t="str">
        <f t="shared" si="259"/>
        <v/>
      </c>
      <c r="EM178" s="73" t="str">
        <f t="shared" si="260"/>
        <v/>
      </c>
      <c r="EN178" s="73" t="str">
        <f t="shared" si="223"/>
        <v/>
      </c>
      <c r="EO178" s="73" t="str">
        <f t="shared" si="224"/>
        <v/>
      </c>
      <c r="EP178" s="73" t="str">
        <f t="shared" si="225"/>
        <v/>
      </c>
      <c r="EQ178" s="53" t="str">
        <f t="shared" si="226"/>
        <v/>
      </c>
      <c r="ER178" s="47" t="s">
        <v>0</v>
      </c>
      <c r="ES178" s="19" t="str">
        <f t="shared" si="261"/>
        <v/>
      </c>
      <c r="ET178" s="47" t="s">
        <v>0</v>
      </c>
      <c r="EU178" s="19" t="str">
        <f t="shared" si="262"/>
        <v/>
      </c>
      <c r="EV178" s="47" t="s">
        <v>0</v>
      </c>
      <c r="EW178" s="180" t="str">
        <f t="shared" si="227"/>
        <v/>
      </c>
      <c r="EX178" s="47" t="s">
        <v>0</v>
      </c>
    </row>
    <row r="179" spans="1:154" x14ac:dyDescent="0.25">
      <c r="A179" t="s">
        <v>0</v>
      </c>
      <c r="B179" s="52" t="str">
        <f>IF(csv!F169="","",csv!T169)</f>
        <v>M65</v>
      </c>
      <c r="C179" s="31" t="s">
        <v>0</v>
      </c>
      <c r="D179" s="31" t="str">
        <f>IF(csv!F169="","",csv!F169)</f>
        <v>Vacant</v>
      </c>
      <c r="E179" s="31" t="str">
        <f>IF(csv!E169="","",csv!E169)</f>
        <v/>
      </c>
      <c r="F179" s="31" t="s">
        <v>0</v>
      </c>
      <c r="G179" s="73" t="str">
        <f>IF(csv!M169="","",csv!M169)</f>
        <v/>
      </c>
      <c r="H179" s="73" t="str">
        <f>IF(csv!N169="","",csv!N169)</f>
        <v>0</v>
      </c>
      <c r="I179" s="31" t="s">
        <v>0</v>
      </c>
      <c r="J179" s="31" t="str">
        <f>IF(csv!P169="","",csv!P169)</f>
        <v/>
      </c>
      <c r="K179" s="31" t="str">
        <f>IF(csv!Q169="","",csv!Q169)</f>
        <v/>
      </c>
      <c r="L179" s="31" t="s">
        <v>0</v>
      </c>
      <c r="M179" s="66" t="str">
        <f>IF(csv!R169="","",csv!R169)</f>
        <v/>
      </c>
      <c r="N179" s="47" t="s">
        <v>0</v>
      </c>
      <c r="O179" s="246" t="str">
        <f t="shared" si="228"/>
        <v/>
      </c>
      <c r="P179" s="47"/>
      <c r="Q179" s="52" t="str">
        <f t="shared" si="229"/>
        <v>M65</v>
      </c>
      <c r="R179" s="73">
        <f>IF(Q179="","",IF(COUNTIF(Q$12:Q178,Q179)=0,R178+1,R178))</f>
        <v>10</v>
      </c>
      <c r="S179" s="73">
        <f t="shared" si="230"/>
        <v>104</v>
      </c>
      <c r="T179" s="73">
        <f t="shared" si="193"/>
        <v>15</v>
      </c>
      <c r="U179" s="66" t="str">
        <f t="shared" si="194"/>
        <v>M70 – M65</v>
      </c>
      <c r="V179" s="47" t="s">
        <v>0</v>
      </c>
      <c r="W179" s="222" t="str">
        <f t="shared" si="195"/>
        <v/>
      </c>
      <c r="X179" s="223" t="str">
        <f t="shared" si="196"/>
        <v/>
      </c>
      <c r="Y179" s="47" t="s">
        <v>0</v>
      </c>
      <c r="Z179" s="52" t="str">
        <f t="shared" si="231"/>
        <v/>
      </c>
      <c r="AA179" s="73" t="str">
        <f t="shared" si="197"/>
        <v/>
      </c>
      <c r="AB179" s="31" t="str">
        <f t="shared" si="232"/>
        <v/>
      </c>
      <c r="AC179" s="66" t="str">
        <f>IF(AB179="","",MAX(AC$12:AC178)+1)</f>
        <v/>
      </c>
      <c r="AD179" s="47" t="s">
        <v>0</v>
      </c>
      <c r="AE179" s="125"/>
      <c r="AF179" s="47" t="s">
        <v>0</v>
      </c>
      <c r="AG179" s="19" t="str">
        <f t="shared" si="233"/>
        <v/>
      </c>
      <c r="AH179" s="47" t="s">
        <v>0</v>
      </c>
      <c r="AI179" s="143" t="str">
        <f t="shared" si="234"/>
        <v/>
      </c>
      <c r="AJ179" s="47"/>
      <c r="AK179" s="52" t="str">
        <f t="shared" si="235"/>
        <v/>
      </c>
      <c r="AL179" s="31" t="str">
        <f t="shared" si="236"/>
        <v/>
      </c>
      <c r="AM179" s="73" t="str">
        <f t="shared" si="237"/>
        <v/>
      </c>
      <c r="AN179" s="73" t="str">
        <f t="shared" si="238"/>
        <v/>
      </c>
      <c r="AO179" s="31" t="str">
        <f t="shared" si="198"/>
        <v/>
      </c>
      <c r="AP179" s="66" t="str">
        <f t="shared" si="199"/>
        <v/>
      </c>
      <c r="AQ179" s="47" t="s">
        <v>0</v>
      </c>
      <c r="AR179" s="82" t="str">
        <f t="shared" si="239"/>
        <v/>
      </c>
      <c r="AS179" s="47" t="s">
        <v>0</v>
      </c>
      <c r="AT179" s="19" t="str">
        <f t="shared" si="240"/>
        <v/>
      </c>
      <c r="AU179" s="47" t="s">
        <v>0</v>
      </c>
      <c r="AV179" s="103"/>
      <c r="AW179" s="105"/>
      <c r="AX179" s="47" t="s">
        <v>0</v>
      </c>
      <c r="AY179" s="259" t="str">
        <f t="shared" si="263"/>
        <v/>
      </c>
      <c r="AZ179" s="47" t="s">
        <v>0</v>
      </c>
      <c r="BA179" s="52" t="str">
        <f t="shared" si="200"/>
        <v/>
      </c>
      <c r="BB179" s="73" t="str">
        <f>IF(AV179&amp;AW179="","",MAX(BB$12:BB178)+1)</f>
        <v/>
      </c>
      <c r="BC179" s="272" t="str">
        <f t="shared" si="201"/>
        <v/>
      </c>
      <c r="BD179" s="53" t="str">
        <f>IF(AND(AM179="NEMA",AN179="NEMA",OR(AV179&amp;AW179="",BC179="NEMA")),MAX(BD$12:BD178)+1,"")</f>
        <v/>
      </c>
      <c r="BE179" s="47" t="s">
        <v>0</v>
      </c>
      <c r="BF179" s="52" t="str">
        <f t="shared" si="241"/>
        <v/>
      </c>
      <c r="BG179" s="66" t="str">
        <f t="shared" si="242"/>
        <v/>
      </c>
      <c r="BH179" s="47" t="s">
        <v>0</v>
      </c>
      <c r="BI179" s="52" t="str">
        <f t="shared" si="202"/>
        <v/>
      </c>
      <c r="BJ179" s="31" t="str">
        <f t="shared" si="203"/>
        <v/>
      </c>
      <c r="BK179" s="73" t="str">
        <f t="shared" si="204"/>
        <v/>
      </c>
      <c r="BL179" s="31" t="str" cm="1">
        <f t="array" ref="BL179">IF(BK179="",""&amp;BJ179,IF(BK179="NEMA",BJ179,INDEX(regKlub_naziv,MATCH(INDEX(regKlub_alias_klubId,BK179),regKlub_id,0))))</f>
        <v/>
      </c>
      <c r="BM179" s="31" t="str" cm="1">
        <f t="array" ref="BM179">IFERROR(""&amp;INDEX(regNatjecatelj_klub,DV179),"")</f>
        <v/>
      </c>
      <c r="BN179" s="88" t="str">
        <f t="shared" si="243"/>
        <v/>
      </c>
      <c r="BO179" s="66" t="str">
        <f t="shared" si="244"/>
        <v/>
      </c>
      <c r="BP179" s="47" t="s">
        <v>0</v>
      </c>
      <c r="BQ179" s="52" t="str">
        <f>IF(X179&lt;&gt;"NEMA","",IF(IFERROR(MATCH(W179,W$12:W178,0),0)&lt;&gt;0,"",W179))</f>
        <v/>
      </c>
      <c r="BR179" s="73" t="str">
        <f t="shared" si="245"/>
        <v/>
      </c>
      <c r="BS179" s="31" t="str">
        <f>IF(OR(BR179="",BR179&lt;&gt;"NEMA"),"",MAX(BS$12:BS178)+1)</f>
        <v/>
      </c>
      <c r="BT179" s="66" t="str">
        <f t="shared" si="246"/>
        <v/>
      </c>
      <c r="BU179" s="47" t="s">
        <v>0</v>
      </c>
      <c r="BV179" s="19" t="str">
        <f t="shared" si="247"/>
        <v/>
      </c>
      <c r="BW179" s="47" t="s">
        <v>0</v>
      </c>
      <c r="BX179" s="82" t="str">
        <f>IF(BK179&lt;&gt;"NEMA","",IF(IFERROR(MATCH(BJ179,BJ$12:BJ178,0),0)&lt;&gt;0,"",BJ179))</f>
        <v/>
      </c>
      <c r="BY179" s="47" t="s">
        <v>0</v>
      </c>
      <c r="BZ179" s="125"/>
      <c r="CA179" s="47" t="s">
        <v>0</v>
      </c>
      <c r="CB179" s="58" t="str">
        <f t="shared" si="248"/>
        <v/>
      </c>
      <c r="CC179" s="31" t="str">
        <f t="shared" si="249"/>
        <v/>
      </c>
      <c r="CD179" s="31" t="str">
        <f>IF(CC179="","",MAX(CD$12:CD178)+1)</f>
        <v/>
      </c>
      <c r="CE179" s="31" t="str">
        <f t="shared" si="205"/>
        <v/>
      </c>
      <c r="CF179" s="31" t="str">
        <f t="shared" si="250"/>
        <v/>
      </c>
      <c r="CG179" s="31" t="str">
        <f>IF(BZ179="","",MAX(CG$12:CG178)+1)</f>
        <v/>
      </c>
      <c r="CH179" s="31" t="str">
        <f t="shared" si="251"/>
        <v/>
      </c>
      <c r="CI179" s="66" t="str">
        <f t="shared" si="252"/>
        <v/>
      </c>
      <c r="CJ179" s="47" t="s">
        <v>0</v>
      </c>
      <c r="CK179" s="73" t="str">
        <f t="shared" si="206"/>
        <v/>
      </c>
      <c r="CL179" s="47"/>
      <c r="CM179" s="19" t="str">
        <f t="shared" si="253"/>
        <v/>
      </c>
      <c r="CN179" s="47" t="s">
        <v>0</v>
      </c>
      <c r="CO179" s="143" t="str">
        <f t="shared" si="254"/>
        <v/>
      </c>
      <c r="CP179" s="47" t="s">
        <v>0</v>
      </c>
      <c r="CQ179" s="58" t="str">
        <f t="shared" si="270"/>
        <v/>
      </c>
      <c r="CR179" s="73" t="str">
        <f t="shared" si="271"/>
        <v>0</v>
      </c>
      <c r="CS179" s="229" t="str">
        <f t="shared" si="207"/>
        <v/>
      </c>
      <c r="CT179" s="230" t="str">
        <f t="shared" si="192"/>
        <v/>
      </c>
      <c r="CU179" s="163" t="str">
        <f t="shared" si="208"/>
        <v/>
      </c>
      <c r="CV179" s="47" t="s">
        <v>0</v>
      </c>
      <c r="CW179" s="222" t="str">
        <f t="shared" si="255"/>
        <v xml:space="preserve">
</v>
      </c>
      <c r="CX179" s="223" t="str">
        <f t="shared" si="256"/>
        <v/>
      </c>
      <c r="CY179" s="47" t="s">
        <v>0</v>
      </c>
      <c r="CZ179" s="47"/>
      <c r="DA179" s="47"/>
      <c r="DB179" s="47"/>
      <c r="DC179" s="47" t="s">
        <v>0</v>
      </c>
      <c r="DD179" s="53" t="str">
        <f t="shared" si="264"/>
        <v/>
      </c>
      <c r="DE179" t="s">
        <v>0</v>
      </c>
      <c r="DF179" s="128" t="str">
        <f t="shared" si="265"/>
        <v>M</v>
      </c>
      <c r="DG179" t="s">
        <v>0</v>
      </c>
      <c r="DH179" s="52" t="str">
        <f t="shared" si="266"/>
        <v/>
      </c>
      <c r="DI179" s="66" t="str">
        <f t="shared" si="267"/>
        <v/>
      </c>
      <c r="DJ179" t="s">
        <v>0</v>
      </c>
      <c r="DK179" s="19" t="str">
        <f t="shared" si="268"/>
        <v/>
      </c>
      <c r="DL179" s="47" t="s">
        <v>0</v>
      </c>
      <c r="DM179" s="19" t="str">
        <f t="shared" si="269"/>
        <v/>
      </c>
      <c r="DN179" s="47" t="s">
        <v>0</v>
      </c>
      <c r="DO179" s="52" t="str">
        <f t="shared" si="209"/>
        <v/>
      </c>
      <c r="DP179" s="53" t="str">
        <f t="shared" si="210"/>
        <v/>
      </c>
      <c r="DQ179" s="47" t="s">
        <v>0</v>
      </c>
      <c r="DR179" s="52" t="str">
        <f t="shared" si="211"/>
        <v/>
      </c>
      <c r="DS179" s="53" t="str">
        <f t="shared" si="212"/>
        <v/>
      </c>
      <c r="DT179" s="47" t="s">
        <v>0</v>
      </c>
      <c r="DU179" s="52" t="str">
        <f t="shared" si="213"/>
        <v/>
      </c>
      <c r="DV179" s="53" t="str">
        <f t="shared" si="214"/>
        <v/>
      </c>
      <c r="DW179" s="47" t="s">
        <v>0</v>
      </c>
      <c r="DX179" s="58" t="str">
        <f t="shared" si="257"/>
        <v/>
      </c>
      <c r="DY179" s="53" t="str" cm="1">
        <f t="array" ref="DY179">IF(DX179&lt;&gt;"",INDEX(regNatjecatelj_id,DX179,0),IF(BD179&lt;&gt;"",BD179,""))</f>
        <v/>
      </c>
      <c r="DZ179" s="47" t="s">
        <v>0</v>
      </c>
      <c r="EA179" s="58" t="str">
        <f t="shared" si="215"/>
        <v/>
      </c>
      <c r="EB179" s="73" t="str">
        <f t="shared" si="216"/>
        <v/>
      </c>
      <c r="EC179" s="73" t="str">
        <f t="shared" si="217"/>
        <v/>
      </c>
      <c r="ED179" s="73" t="str">
        <f t="shared" si="218"/>
        <v/>
      </c>
      <c r="EE179" s="66" t="str">
        <f t="shared" si="219"/>
        <v/>
      </c>
      <c r="EF179" s="47" t="s">
        <v>0</v>
      </c>
      <c r="EG179" s="58" t="str">
        <f>IF(AL179="","",MAX(EG$12:EG178)+1)</f>
        <v/>
      </c>
      <c r="EH179" s="73" t="str">
        <f t="shared" si="220"/>
        <v/>
      </c>
      <c r="EI179" s="73" t="str">
        <f t="shared" si="258"/>
        <v/>
      </c>
      <c r="EJ179" s="73" t="str">
        <f t="shared" si="221"/>
        <v/>
      </c>
      <c r="EK179" s="73" t="str">
        <f t="shared" si="222"/>
        <v/>
      </c>
      <c r="EL179" s="73" t="str">
        <f t="shared" si="259"/>
        <v/>
      </c>
      <c r="EM179" s="73" t="str">
        <f t="shared" si="260"/>
        <v/>
      </c>
      <c r="EN179" s="73" t="str">
        <f t="shared" si="223"/>
        <v/>
      </c>
      <c r="EO179" s="73" t="str">
        <f t="shared" si="224"/>
        <v/>
      </c>
      <c r="EP179" s="73" t="str">
        <f t="shared" si="225"/>
        <v/>
      </c>
      <c r="EQ179" s="53" t="str">
        <f t="shared" si="226"/>
        <v/>
      </c>
      <c r="ER179" s="47" t="s">
        <v>0</v>
      </c>
      <c r="ES179" s="19" t="str">
        <f t="shared" si="261"/>
        <v/>
      </c>
      <c r="ET179" s="47" t="s">
        <v>0</v>
      </c>
      <c r="EU179" s="19" t="str">
        <f t="shared" si="262"/>
        <v/>
      </c>
      <c r="EV179" s="47" t="s">
        <v>0</v>
      </c>
      <c r="EW179" s="180" t="str">
        <f t="shared" si="227"/>
        <v/>
      </c>
      <c r="EX179" s="47" t="s">
        <v>0</v>
      </c>
    </row>
    <row r="180" spans="1:154" x14ac:dyDescent="0.25">
      <c r="A180" t="s">
        <v>0</v>
      </c>
      <c r="B180" s="52" t="str">
        <f>IF(csv!F170="","",csv!T170)</f>
        <v>M70</v>
      </c>
      <c r="C180" s="31" t="s">
        <v>0</v>
      </c>
      <c r="D180" s="31" t="str">
        <f>IF(csv!F170="","",csv!F170)</f>
        <v>Milan</v>
      </c>
      <c r="E180" s="31" t="str">
        <f>IF(csv!E170="","",csv!E170)</f>
        <v>Turkalj</v>
      </c>
      <c r="F180" s="31" t="s">
        <v>0</v>
      </c>
      <c r="G180" s="73" t="str">
        <f>IF(csv!M170="","",csv!M170)</f>
        <v>112:33</v>
      </c>
      <c r="H180" s="73" t="str">
        <f>IF(csv!N170="","",csv!N170)</f>
        <v>0</v>
      </c>
      <c r="I180" s="31" t="s">
        <v>0</v>
      </c>
      <c r="J180" s="31" t="str">
        <f>IF(csv!P170="","",csv!P170)</f>
        <v>OK Varaždin</v>
      </c>
      <c r="K180" s="31" t="str">
        <f>IF(csv!Q170="","",csv!Q170)</f>
        <v>OK Varaždin</v>
      </c>
      <c r="L180" s="31" t="s">
        <v>0</v>
      </c>
      <c r="M180" s="66" t="str">
        <f>IF(csv!R170="","",csv!R170)</f>
        <v>CRO</v>
      </c>
      <c r="N180" s="47" t="s">
        <v>0</v>
      </c>
      <c r="O180" s="246" t="str">
        <f t="shared" si="228"/>
        <v>ok</v>
      </c>
      <c r="P180" s="47"/>
      <c r="Q180" s="52" t="str">
        <f t="shared" si="229"/>
        <v>M70</v>
      </c>
      <c r="R180" s="73">
        <f>IF(Q180="","",IF(COUNTIF(Q$12:Q179,Q180)=0,R179+1,R179))</f>
        <v>11</v>
      </c>
      <c r="S180" s="73">
        <f t="shared" si="230"/>
        <v>103</v>
      </c>
      <c r="T180" s="73">
        <f t="shared" si="193"/>
        <v>15</v>
      </c>
      <c r="U180" s="66" t="str">
        <f t="shared" si="194"/>
        <v>M70 – M65</v>
      </c>
      <c r="V180" s="47" t="s">
        <v>0</v>
      </c>
      <c r="W180" s="222" t="str">
        <f t="shared" si="195"/>
        <v>M70</v>
      </c>
      <c r="X180" s="223">
        <f t="shared" si="196"/>
        <v>33</v>
      </c>
      <c r="Y180" s="47" t="s">
        <v>0</v>
      </c>
      <c r="Z180" s="52" t="str">
        <f t="shared" si="231"/>
        <v>CRO</v>
      </c>
      <c r="AA180" s="73">
        <f t="shared" si="197"/>
        <v>1</v>
      </c>
      <c r="AB180" s="31" t="str">
        <f t="shared" si="232"/>
        <v/>
      </c>
      <c r="AC180" s="66" t="str">
        <f>IF(AB180="","",MAX(AC$12:AC179)+1)</f>
        <v/>
      </c>
      <c r="AD180" s="47" t="s">
        <v>0</v>
      </c>
      <c r="AE180" s="125"/>
      <c r="AF180" s="47" t="s">
        <v>0</v>
      </c>
      <c r="AG180" s="19" t="str">
        <f t="shared" si="233"/>
        <v/>
      </c>
      <c r="AH180" s="47" t="s">
        <v>0</v>
      </c>
      <c r="AI180" s="143" t="str">
        <f t="shared" si="234"/>
        <v>CRO</v>
      </c>
      <c r="AJ180" s="47"/>
      <c r="AK180" s="52" t="str">
        <f t="shared" si="235"/>
        <v>Milan</v>
      </c>
      <c r="AL180" s="31" t="str">
        <f t="shared" si="236"/>
        <v>Turkalj</v>
      </c>
      <c r="AM180" s="73">
        <f t="shared" si="237"/>
        <v>1568</v>
      </c>
      <c r="AN180" s="73" t="str">
        <f t="shared" si="238"/>
        <v/>
      </c>
      <c r="AO180" s="31" t="str">
        <f t="shared" si="198"/>
        <v>Milan</v>
      </c>
      <c r="AP180" s="66" t="str">
        <f t="shared" si="199"/>
        <v>Turkalj</v>
      </c>
      <c r="AQ180" s="47" t="s">
        <v>0</v>
      </c>
      <c r="AR180" s="82" t="str">
        <f t="shared" si="239"/>
        <v/>
      </c>
      <c r="AS180" s="47" t="s">
        <v>0</v>
      </c>
      <c r="AT180" s="19" t="str">
        <f t="shared" si="240"/>
        <v/>
      </c>
      <c r="AU180" s="47" t="s">
        <v>0</v>
      </c>
      <c r="AV180" s="103"/>
      <c r="AW180" s="105"/>
      <c r="AX180" s="47" t="s">
        <v>0</v>
      </c>
      <c r="AY180" s="259" t="str">
        <f t="shared" si="263"/>
        <v/>
      </c>
      <c r="AZ180" s="47" t="s">
        <v>0</v>
      </c>
      <c r="BA180" s="52" t="str">
        <f t="shared" si="200"/>
        <v/>
      </c>
      <c r="BB180" s="73" t="str">
        <f>IF(AV180&amp;AW180="","",MAX(BB$12:BB179)+1)</f>
        <v/>
      </c>
      <c r="BC180" s="272" t="str">
        <f t="shared" si="201"/>
        <v/>
      </c>
      <c r="BD180" s="53" t="str">
        <f>IF(AND(AM180="NEMA",AN180="NEMA",OR(AV180&amp;AW180="",BC180="NEMA")),MAX(BD$12:BD179)+1,"")</f>
        <v/>
      </c>
      <c r="BE180" s="47" t="s">
        <v>0</v>
      </c>
      <c r="BF180" s="52" t="str">
        <f t="shared" si="241"/>
        <v>Milan</v>
      </c>
      <c r="BG180" s="66" t="str">
        <f t="shared" si="242"/>
        <v>Turkalj</v>
      </c>
      <c r="BH180" s="47" t="s">
        <v>0</v>
      </c>
      <c r="BI180" s="52" t="str">
        <f t="shared" si="202"/>
        <v>OK Varaždin</v>
      </c>
      <c r="BJ180" s="31" t="str">
        <f t="shared" si="203"/>
        <v>OK Varaždin</v>
      </c>
      <c r="BK180" s="73" t="str">
        <f t="shared" si="204"/>
        <v/>
      </c>
      <c r="BL180" s="31" t="str" cm="1">
        <f t="array" ref="BL180">IF(BK180="",""&amp;BJ180,IF(BK180="NEMA",BJ180,INDEX(regKlub_naziv,MATCH(INDEX(regKlub_alias_klubId,BK180),regKlub_id,0))))</f>
        <v>OK Varaždin</v>
      </c>
      <c r="BM180" s="31" t="str" cm="1">
        <f t="array" ref="BM180">IFERROR(""&amp;INDEX(regNatjecatelj_klub,DV180),"")</f>
        <v>OK Varaždin</v>
      </c>
      <c r="BN180" s="88" t="str">
        <f t="shared" si="243"/>
        <v/>
      </c>
      <c r="BO180" s="66" t="str">
        <f t="shared" si="244"/>
        <v>OK Varaždin</v>
      </c>
      <c r="BP180" s="47" t="s">
        <v>0</v>
      </c>
      <c r="BQ180" s="52" t="str">
        <f>IF(X180&lt;&gt;"NEMA","",IF(IFERROR(MATCH(W180,W$12:W179,0),0)&lt;&gt;0,"",W180))</f>
        <v/>
      </c>
      <c r="BR180" s="73" t="str">
        <f t="shared" si="245"/>
        <v/>
      </c>
      <c r="BS180" s="31" t="str">
        <f>IF(OR(BR180="",BR180&lt;&gt;"NEMA"),"",MAX(BS$12:BS179)+1)</f>
        <v/>
      </c>
      <c r="BT180" s="66" t="str">
        <f t="shared" si="246"/>
        <v/>
      </c>
      <c r="BU180" s="47" t="s">
        <v>0</v>
      </c>
      <c r="BV180" s="19" t="str">
        <f t="shared" si="247"/>
        <v/>
      </c>
      <c r="BW180" s="47" t="s">
        <v>0</v>
      </c>
      <c r="BX180" s="82" t="str">
        <f>IF(BK180&lt;&gt;"NEMA","",IF(IFERROR(MATCH(BJ180,BJ$12:BJ179,0),0)&lt;&gt;0,"",BJ180))</f>
        <v/>
      </c>
      <c r="BY180" s="47" t="s">
        <v>0</v>
      </c>
      <c r="BZ180" s="125"/>
      <c r="CA180" s="47" t="s">
        <v>0</v>
      </c>
      <c r="CB180" s="58" t="str">
        <f t="shared" si="248"/>
        <v/>
      </c>
      <c r="CC180" s="31" t="str">
        <f t="shared" si="249"/>
        <v/>
      </c>
      <c r="CD180" s="31" t="str">
        <f>IF(CC180="","",MAX(CD$12:CD179)+1)</f>
        <v/>
      </c>
      <c r="CE180" s="31" t="str">
        <f t="shared" si="205"/>
        <v/>
      </c>
      <c r="CF180" s="31" t="str">
        <f t="shared" si="250"/>
        <v/>
      </c>
      <c r="CG180" s="31" t="str">
        <f>IF(BZ180="","",MAX(CG$12:CG179)+1)</f>
        <v/>
      </c>
      <c r="CH180" s="31" t="str">
        <f t="shared" si="251"/>
        <v/>
      </c>
      <c r="CI180" s="66" t="str">
        <f t="shared" si="252"/>
        <v/>
      </c>
      <c r="CJ180" s="47" t="s">
        <v>0</v>
      </c>
      <c r="CK180" s="73" t="str">
        <f t="shared" si="206"/>
        <v/>
      </c>
      <c r="CL180" s="47"/>
      <c r="CM180" s="19" t="str">
        <f t="shared" si="253"/>
        <v/>
      </c>
      <c r="CN180" s="47" t="s">
        <v>0</v>
      </c>
      <c r="CO180" s="143" t="str">
        <f t="shared" si="254"/>
        <v>OK Varaždin</v>
      </c>
      <c r="CP180" s="47" t="s">
        <v>0</v>
      </c>
      <c r="CQ180" s="58" t="str">
        <f t="shared" si="270"/>
        <v>112:33</v>
      </c>
      <c r="CR180" s="73" t="str">
        <f t="shared" si="271"/>
        <v>0</v>
      </c>
      <c r="CS180" s="229" t="str">
        <f t="shared" si="207"/>
        <v/>
      </c>
      <c r="CT180" s="230">
        <f t="shared" si="192"/>
        <v>6753</v>
      </c>
      <c r="CU180" s="163">
        <f t="shared" si="208"/>
        <v>1</v>
      </c>
      <c r="CV180" s="47" t="s">
        <v>0</v>
      </c>
      <c r="CW180" s="222" t="str">
        <f t="shared" si="255"/>
        <v xml:space="preserve">
</v>
      </c>
      <c r="CX180" s="223">
        <f t="shared" si="256"/>
        <v>6</v>
      </c>
      <c r="CY180" s="47" t="s">
        <v>0</v>
      </c>
      <c r="CZ180" s="47"/>
      <c r="DA180" s="47"/>
      <c r="DB180" s="47"/>
      <c r="DC180" s="47" t="s">
        <v>0</v>
      </c>
      <c r="DD180" s="53" t="str">
        <f t="shared" si="264"/>
        <v/>
      </c>
      <c r="DE180" t="s">
        <v>0</v>
      </c>
      <c r="DF180" s="128" t="str">
        <f t="shared" si="265"/>
        <v>M</v>
      </c>
      <c r="DG180" t="s">
        <v>0</v>
      </c>
      <c r="DH180" s="52" t="str">
        <f t="shared" si="266"/>
        <v/>
      </c>
      <c r="DI180" s="66" t="str">
        <f t="shared" si="267"/>
        <v/>
      </c>
      <c r="DJ180" t="s">
        <v>0</v>
      </c>
      <c r="DK180" s="19" t="str">
        <f t="shared" si="268"/>
        <v/>
      </c>
      <c r="DL180" s="47" t="s">
        <v>0</v>
      </c>
      <c r="DM180" s="19" t="str">
        <f t="shared" si="269"/>
        <v/>
      </c>
      <c r="DN180" s="47" t="s">
        <v>0</v>
      </c>
      <c r="DO180" s="52" t="str">
        <f t="shared" si="209"/>
        <v>Milan – Turkalj – OK Varaždin – M70</v>
      </c>
      <c r="DP180" s="53">
        <f t="shared" si="210"/>
        <v>595</v>
      </c>
      <c r="DQ180" s="47" t="s">
        <v>0</v>
      </c>
      <c r="DR180" s="52" t="str">
        <f t="shared" si="211"/>
        <v>Milan – Turkalj – OK Varaždin</v>
      </c>
      <c r="DS180" s="53">
        <f t="shared" si="212"/>
        <v>595</v>
      </c>
      <c r="DT180" s="47" t="s">
        <v>0</v>
      </c>
      <c r="DU180" s="52" t="str">
        <f t="shared" si="213"/>
        <v>Milan – Turkalj</v>
      </c>
      <c r="DV180" s="53">
        <f t="shared" si="214"/>
        <v>595</v>
      </c>
      <c r="DW180" s="47" t="s">
        <v>0</v>
      </c>
      <c r="DX180" s="58">
        <f t="shared" si="257"/>
        <v>595</v>
      </c>
      <c r="DY180" s="53" cm="1">
        <f t="array" ref="DY180">IF(DX180&lt;&gt;"",INDEX(regNatjecatelj_id,DX180,0),IF(BD180&lt;&gt;"",BD180,""))</f>
        <v>1568</v>
      </c>
      <c r="DZ180" s="47" t="s">
        <v>0</v>
      </c>
      <c r="EA180" s="58" t="str">
        <f t="shared" si="215"/>
        <v>imepre</v>
      </c>
      <c r="EB180" s="73" t="str">
        <f t="shared" si="216"/>
        <v>klu</v>
      </c>
      <c r="EC180" s="73" t="str">
        <f t="shared" si="217"/>
        <v>kat</v>
      </c>
      <c r="ED180" s="73" t="str">
        <f t="shared" si="218"/>
        <v/>
      </c>
      <c r="EE180" s="66" t="str">
        <f t="shared" si="219"/>
        <v>imepre-klu-kat</v>
      </c>
      <c r="EF180" s="47" t="s">
        <v>0</v>
      </c>
      <c r="EG180" s="58">
        <f>IF(AL180="","",MAX(EG$12:EG179)+1)</f>
        <v>342</v>
      </c>
      <c r="EH180" s="73">
        <f t="shared" si="220"/>
        <v>33</v>
      </c>
      <c r="EI180" s="73">
        <f t="shared" si="258"/>
        <v>1568</v>
      </c>
      <c r="EJ180" s="73">
        <f t="shared" si="221"/>
        <v>6753</v>
      </c>
      <c r="EK180" s="73">
        <f t="shared" si="222"/>
        <v>1</v>
      </c>
      <c r="EL180" s="73">
        <f t="shared" si="259"/>
        <v>1</v>
      </c>
      <c r="EM180" s="73">
        <f t="shared" si="260"/>
        <v>1</v>
      </c>
      <c r="EN180" s="73" t="str">
        <f t="shared" si="223"/>
        <v>0</v>
      </c>
      <c r="EO180" s="73" t="str">
        <f t="shared" si="224"/>
        <v/>
      </c>
      <c r="EP180" s="73" t="str">
        <f t="shared" si="225"/>
        <v/>
      </c>
      <c r="EQ180" s="53" t="str">
        <f t="shared" si="226"/>
        <v/>
      </c>
      <c r="ER180" s="47" t="s">
        <v>0</v>
      </c>
      <c r="ES180" s="19" t="str">
        <f t="shared" si="261"/>
        <v>INSERT INTO rezultat(id,stazakategorija_id,imeprezime_id,vrijeme_sec,status_id,registracija,uparivanje_id,originalstatus_id,imeprezimealias_id,klubalias_id,kategorijaalias_id) VALUES (342,33,1568,6753,1,1,1,0,Null,Null,Null);</v>
      </c>
      <c r="ET180" s="47" t="s">
        <v>0</v>
      </c>
      <c r="EU180" s="19" t="str">
        <f t="shared" si="262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0" s="47" t="s">
        <v>0</v>
      </c>
      <c r="EW180" s="180" t="str">
        <f t="shared" si="227"/>
        <v xml:space="preserve">
INSERT INTO rezultat(id,stazakategorija_id,imeprezime_id,vrijeme_sec,status_id,registracija,uparivanje_id,originalstatus_id,imeprezimealias_id,klubalias_id,kategorijaalias_id) VALUES (342,33,1568,6753,1,1,1,0,Null,Null,Null);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0" s="47" t="s">
        <v>0</v>
      </c>
    </row>
    <row r="181" spans="1:154" x14ac:dyDescent="0.25">
      <c r="A181" t="s">
        <v>0</v>
      </c>
      <c r="B181" s="52" t="str">
        <f>IF(csv!F171="","",csv!T171)</f>
        <v>M70</v>
      </c>
      <c r="C181" s="31" t="s">
        <v>0</v>
      </c>
      <c r="D181" s="31" t="str">
        <f>IF(csv!F171="","",csv!F171)</f>
        <v>Radovan</v>
      </c>
      <c r="E181" s="31" t="str">
        <f>IF(csv!E171="","",csv!E171)</f>
        <v>Čepelak</v>
      </c>
      <c r="F181" s="31" t="s">
        <v>0</v>
      </c>
      <c r="G181" s="73" t="str">
        <f>IF(csv!M171="","",csv!M171)</f>
        <v>120:30</v>
      </c>
      <c r="H181" s="73" t="str">
        <f>IF(csv!N171="","",csv!N171)</f>
        <v>0</v>
      </c>
      <c r="I181" s="31" t="s">
        <v>0</v>
      </c>
      <c r="J181" s="31" t="str">
        <f>IF(csv!P171="","",csv!P171)</f>
        <v>Maksimir</v>
      </c>
      <c r="K181" s="31" t="str">
        <f>IF(csv!Q171="","",csv!Q171)</f>
        <v>OK Maksimir</v>
      </c>
      <c r="L181" s="31" t="s">
        <v>0</v>
      </c>
      <c r="M181" s="66" t="str">
        <f>IF(csv!R171="","",csv!R171)</f>
        <v>CRO</v>
      </c>
      <c r="N181" s="47" t="s">
        <v>0</v>
      </c>
      <c r="O181" s="246" t="str">
        <f t="shared" si="228"/>
        <v>ok</v>
      </c>
      <c r="P181" s="47"/>
      <c r="Q181" s="52" t="str">
        <f t="shared" si="229"/>
        <v>M70</v>
      </c>
      <c r="R181" s="73">
        <f>IF(Q181="","",IF(COUNTIF(Q$12:Q180,Q181)=0,R180+1,R180))</f>
        <v>11</v>
      </c>
      <c r="S181" s="73">
        <f t="shared" si="230"/>
        <v>103</v>
      </c>
      <c r="T181" s="73">
        <f t="shared" si="193"/>
        <v>15</v>
      </c>
      <c r="U181" s="66" t="str">
        <f t="shared" si="194"/>
        <v>M70 – M65</v>
      </c>
      <c r="V181" s="47" t="s">
        <v>0</v>
      </c>
      <c r="W181" s="222" t="str">
        <f t="shared" si="195"/>
        <v>M70</v>
      </c>
      <c r="X181" s="223">
        <f t="shared" si="196"/>
        <v>33</v>
      </c>
      <c r="Y181" s="47" t="s">
        <v>0</v>
      </c>
      <c r="Z181" s="52" t="str">
        <f t="shared" si="231"/>
        <v>CRO</v>
      </c>
      <c r="AA181" s="73">
        <f t="shared" si="197"/>
        <v>1</v>
      </c>
      <c r="AB181" s="31" t="str">
        <f t="shared" si="232"/>
        <v/>
      </c>
      <c r="AC181" s="66" t="str">
        <f>IF(AB181="","",MAX(AC$12:AC180)+1)</f>
        <v/>
      </c>
      <c r="AD181" s="47" t="s">
        <v>0</v>
      </c>
      <c r="AE181" s="125"/>
      <c r="AF181" s="47" t="s">
        <v>0</v>
      </c>
      <c r="AG181" s="19" t="str">
        <f t="shared" si="233"/>
        <v/>
      </c>
      <c r="AH181" s="47" t="s">
        <v>0</v>
      </c>
      <c r="AI181" s="143" t="str">
        <f t="shared" si="234"/>
        <v>CRO</v>
      </c>
      <c r="AJ181" s="47"/>
      <c r="AK181" s="52" t="str">
        <f t="shared" si="235"/>
        <v>Radovan</v>
      </c>
      <c r="AL181" s="31" t="str">
        <f t="shared" si="236"/>
        <v>Čepelak</v>
      </c>
      <c r="AM181" s="73">
        <f t="shared" si="237"/>
        <v>1060</v>
      </c>
      <c r="AN181" s="73" t="str">
        <f t="shared" si="238"/>
        <v/>
      </c>
      <c r="AO181" s="31" t="str">
        <f t="shared" si="198"/>
        <v>Radovan</v>
      </c>
      <c r="AP181" s="66" t="str">
        <f t="shared" si="199"/>
        <v>Čepelak</v>
      </c>
      <c r="AQ181" s="47" t="s">
        <v>0</v>
      </c>
      <c r="AR181" s="82" t="str">
        <f t="shared" si="239"/>
        <v/>
      </c>
      <c r="AS181" s="47" t="s">
        <v>0</v>
      </c>
      <c r="AT181" s="19" t="str">
        <f t="shared" si="240"/>
        <v/>
      </c>
      <c r="AU181" s="47" t="s">
        <v>0</v>
      </c>
      <c r="AV181" s="103"/>
      <c r="AW181" s="105"/>
      <c r="AX181" s="47" t="s">
        <v>0</v>
      </c>
      <c r="AY181" s="259" t="str">
        <f t="shared" si="263"/>
        <v/>
      </c>
      <c r="AZ181" s="47" t="s">
        <v>0</v>
      </c>
      <c r="BA181" s="52" t="str">
        <f t="shared" si="200"/>
        <v/>
      </c>
      <c r="BB181" s="73" t="str">
        <f>IF(AV181&amp;AW181="","",MAX(BB$12:BB180)+1)</f>
        <v/>
      </c>
      <c r="BC181" s="272" t="str">
        <f t="shared" si="201"/>
        <v/>
      </c>
      <c r="BD181" s="53" t="str">
        <f>IF(AND(AM181="NEMA",AN181="NEMA",OR(AV181&amp;AW181="",BC181="NEMA")),MAX(BD$12:BD180)+1,"")</f>
        <v/>
      </c>
      <c r="BE181" s="47" t="s">
        <v>0</v>
      </c>
      <c r="BF181" s="52" t="str">
        <f t="shared" si="241"/>
        <v>Radovan</v>
      </c>
      <c r="BG181" s="66" t="str">
        <f t="shared" si="242"/>
        <v>Čepelak</v>
      </c>
      <c r="BH181" s="47" t="s">
        <v>0</v>
      </c>
      <c r="BI181" s="52" t="str">
        <f t="shared" si="202"/>
        <v>Maksimir</v>
      </c>
      <c r="BJ181" s="31" t="str">
        <f t="shared" si="203"/>
        <v>OK Maksimir</v>
      </c>
      <c r="BK181" s="73" t="str">
        <f t="shared" si="204"/>
        <v/>
      </c>
      <c r="BL181" s="31" t="str" cm="1">
        <f t="array" ref="BL181">IF(BK181="",""&amp;BJ181,IF(BK181="NEMA",BJ181,INDEX(regKlub_naziv,MATCH(INDEX(regKlub_alias_klubId,BK181),regKlub_id,0))))</f>
        <v>OK Maksimir</v>
      </c>
      <c r="BM181" s="31" t="str" cm="1">
        <f t="array" ref="BM181">IFERROR(""&amp;INDEX(regNatjecatelj_klub,DV181),"")</f>
        <v>OK Maksimir</v>
      </c>
      <c r="BN181" s="88" t="str">
        <f t="shared" si="243"/>
        <v/>
      </c>
      <c r="BO181" s="66" t="str">
        <f t="shared" si="244"/>
        <v>OK Maksimir</v>
      </c>
      <c r="BP181" s="47" t="s">
        <v>0</v>
      </c>
      <c r="BQ181" s="52" t="str">
        <f>IF(X181&lt;&gt;"NEMA","",IF(IFERROR(MATCH(W181,W$12:W180,0),0)&lt;&gt;0,"",W181))</f>
        <v/>
      </c>
      <c r="BR181" s="73" t="str">
        <f t="shared" si="245"/>
        <v/>
      </c>
      <c r="BS181" s="31" t="str">
        <f>IF(OR(BR181="",BR181&lt;&gt;"NEMA"),"",MAX(BS$12:BS180)+1)</f>
        <v/>
      </c>
      <c r="BT181" s="66" t="str">
        <f t="shared" si="246"/>
        <v/>
      </c>
      <c r="BU181" s="47" t="s">
        <v>0</v>
      </c>
      <c r="BV181" s="19" t="str">
        <f t="shared" si="247"/>
        <v/>
      </c>
      <c r="BW181" s="47" t="s">
        <v>0</v>
      </c>
      <c r="BX181" s="82" t="str">
        <f>IF(BK181&lt;&gt;"NEMA","",IF(IFERROR(MATCH(BJ181,BJ$12:BJ180,0),0)&lt;&gt;0,"",BJ181))</f>
        <v/>
      </c>
      <c r="BY181" s="47" t="s">
        <v>0</v>
      </c>
      <c r="BZ181" s="125"/>
      <c r="CA181" s="47" t="s">
        <v>0</v>
      </c>
      <c r="CB181" s="58" t="str">
        <f t="shared" si="248"/>
        <v/>
      </c>
      <c r="CC181" s="31" t="str">
        <f t="shared" si="249"/>
        <v/>
      </c>
      <c r="CD181" s="31" t="str">
        <f>IF(CC181="","",MAX(CD$12:CD180)+1)</f>
        <v/>
      </c>
      <c r="CE181" s="31" t="str">
        <f t="shared" si="205"/>
        <v/>
      </c>
      <c r="CF181" s="31" t="str">
        <f t="shared" si="250"/>
        <v/>
      </c>
      <c r="CG181" s="31" t="str">
        <f>IF(BZ181="","",MAX(CG$12:CG180)+1)</f>
        <v/>
      </c>
      <c r="CH181" s="31" t="str">
        <f t="shared" si="251"/>
        <v/>
      </c>
      <c r="CI181" s="66" t="str">
        <f t="shared" si="252"/>
        <v/>
      </c>
      <c r="CJ181" s="47" t="s">
        <v>0</v>
      </c>
      <c r="CK181" s="73" t="str">
        <f t="shared" si="206"/>
        <v/>
      </c>
      <c r="CL181" s="47"/>
      <c r="CM181" s="19" t="str">
        <f t="shared" si="253"/>
        <v/>
      </c>
      <c r="CN181" s="47" t="s">
        <v>0</v>
      </c>
      <c r="CO181" s="143" t="str">
        <f t="shared" si="254"/>
        <v>OK Maksimir</v>
      </c>
      <c r="CP181" s="47" t="s">
        <v>0</v>
      </c>
      <c r="CQ181" s="58" t="str">
        <f t="shared" si="270"/>
        <v>120:30</v>
      </c>
      <c r="CR181" s="73" t="str">
        <f t="shared" si="271"/>
        <v>0</v>
      </c>
      <c r="CS181" s="229" t="str">
        <f t="shared" si="207"/>
        <v/>
      </c>
      <c r="CT181" s="230">
        <f t="shared" si="192"/>
        <v>7230</v>
      </c>
      <c r="CU181" s="163">
        <f t="shared" si="208"/>
        <v>1</v>
      </c>
      <c r="CV181" s="47" t="s">
        <v>0</v>
      </c>
      <c r="CW181" s="222" t="str">
        <f t="shared" si="255"/>
        <v xml:space="preserve">
</v>
      </c>
      <c r="CX181" s="223">
        <f t="shared" si="256"/>
        <v>6</v>
      </c>
      <c r="CY181" s="47" t="s">
        <v>0</v>
      </c>
      <c r="CZ181" s="47"/>
      <c r="DA181" s="47"/>
      <c r="DB181" s="47"/>
      <c r="DC181" s="47" t="s">
        <v>0</v>
      </c>
      <c r="DD181" s="53" t="str">
        <f t="shared" si="264"/>
        <v/>
      </c>
      <c r="DE181" t="s">
        <v>0</v>
      </c>
      <c r="DF181" s="128" t="str">
        <f t="shared" si="265"/>
        <v>M</v>
      </c>
      <c r="DG181" t="s">
        <v>0</v>
      </c>
      <c r="DH181" s="52" t="str">
        <f t="shared" si="266"/>
        <v/>
      </c>
      <c r="DI181" s="66" t="str">
        <f t="shared" si="267"/>
        <v/>
      </c>
      <c r="DJ181" t="s">
        <v>0</v>
      </c>
      <c r="DK181" s="19" t="str">
        <f t="shared" si="268"/>
        <v/>
      </c>
      <c r="DL181" s="47" t="s">
        <v>0</v>
      </c>
      <c r="DM181" s="19" t="str">
        <f t="shared" si="269"/>
        <v/>
      </c>
      <c r="DN181" s="47" t="s">
        <v>0</v>
      </c>
      <c r="DO181" s="52" t="str">
        <f t="shared" si="209"/>
        <v>Radovan – Čepelak – OK Maksimir – M70</v>
      </c>
      <c r="DP181" s="53">
        <f t="shared" si="210"/>
        <v>339</v>
      </c>
      <c r="DQ181" s="47" t="s">
        <v>0</v>
      </c>
      <c r="DR181" s="52" t="str">
        <f t="shared" si="211"/>
        <v>Radovan – Čepelak – OK Maksimir</v>
      </c>
      <c r="DS181" s="53">
        <f t="shared" si="212"/>
        <v>339</v>
      </c>
      <c r="DT181" s="47" t="s">
        <v>0</v>
      </c>
      <c r="DU181" s="52" t="str">
        <f t="shared" si="213"/>
        <v>Radovan – Čepelak</v>
      </c>
      <c r="DV181" s="53">
        <f t="shared" si="214"/>
        <v>339</v>
      </c>
      <c r="DW181" s="47" t="s">
        <v>0</v>
      </c>
      <c r="DX181" s="58">
        <f t="shared" si="257"/>
        <v>339</v>
      </c>
      <c r="DY181" s="53" cm="1">
        <f t="array" ref="DY181">IF(DX181&lt;&gt;"",INDEX(regNatjecatelj_id,DX181,0),IF(BD181&lt;&gt;"",BD181,""))</f>
        <v>1060</v>
      </c>
      <c r="DZ181" s="47" t="s">
        <v>0</v>
      </c>
      <c r="EA181" s="58" t="str">
        <f t="shared" si="215"/>
        <v>imepre</v>
      </c>
      <c r="EB181" s="73" t="str">
        <f t="shared" si="216"/>
        <v>klu</v>
      </c>
      <c r="EC181" s="73" t="str">
        <f t="shared" si="217"/>
        <v>kat</v>
      </c>
      <c r="ED181" s="73" t="str">
        <f t="shared" si="218"/>
        <v/>
      </c>
      <c r="EE181" s="66" t="str">
        <f t="shared" si="219"/>
        <v>imepre-klu-kat</v>
      </c>
      <c r="EF181" s="47" t="s">
        <v>0</v>
      </c>
      <c r="EG181" s="58">
        <f>IF(AL181="","",MAX(EG$12:EG180)+1)</f>
        <v>343</v>
      </c>
      <c r="EH181" s="73">
        <f t="shared" si="220"/>
        <v>33</v>
      </c>
      <c r="EI181" s="73">
        <f t="shared" si="258"/>
        <v>1060</v>
      </c>
      <c r="EJ181" s="73">
        <f t="shared" si="221"/>
        <v>7230</v>
      </c>
      <c r="EK181" s="73">
        <f t="shared" si="222"/>
        <v>1</v>
      </c>
      <c r="EL181" s="73">
        <f t="shared" si="259"/>
        <v>1</v>
      </c>
      <c r="EM181" s="73">
        <f t="shared" si="260"/>
        <v>1</v>
      </c>
      <c r="EN181" s="73" t="str">
        <f t="shared" si="223"/>
        <v>0</v>
      </c>
      <c r="EO181" s="73" t="str">
        <f t="shared" si="224"/>
        <v/>
      </c>
      <c r="EP181" s="73" t="str">
        <f t="shared" si="225"/>
        <v/>
      </c>
      <c r="EQ181" s="53" t="str">
        <f t="shared" si="226"/>
        <v/>
      </c>
      <c r="ER181" s="47" t="s">
        <v>0</v>
      </c>
      <c r="ES181" s="19" t="str">
        <f t="shared" si="261"/>
        <v>INSERT INTO rezultat(id,stazakategorija_id,imeprezime_id,vrijeme_sec,status_id,registracija,uparivanje_id,originalstatus_id,imeprezimealias_id,klubalias_id,kategorijaalias_id) VALUES (343,33,1060,7230,1,1,1,0,Null,Null,Null);</v>
      </c>
      <c r="ET181" s="47" t="s">
        <v>0</v>
      </c>
      <c r="EU181" s="19" t="str">
        <f t="shared" si="262"/>
        <v>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1" s="47" t="s">
        <v>0</v>
      </c>
      <c r="EW181" s="180" t="str">
        <f t="shared" si="227"/>
        <v xml:space="preserve">
INSERT INTO rezultat(id,stazakategorija_id,imeprezime_id,vrijeme_sec,status_id,registracija,uparivanje_id,originalstatus_id,imeprezimealias_id,klubalias_id,kategorijaalias_id) VALUES (343,33,1060,7230,1,1,1,0,Null,Null,Null);
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1" s="47" t="s">
        <v>0</v>
      </c>
    </row>
    <row r="182" spans="1:154" x14ac:dyDescent="0.25">
      <c r="A182" t="s">
        <v>0</v>
      </c>
      <c r="B182" s="52" t="str">
        <f>IF(csv!F172="","",csv!T172)</f>
        <v>M70</v>
      </c>
      <c r="C182" s="31" t="s">
        <v>0</v>
      </c>
      <c r="D182" s="31" t="str">
        <f>IF(csv!F172="","",csv!F172)</f>
        <v>Vacant</v>
      </c>
      <c r="E182" s="31" t="str">
        <f>IF(csv!E172="","",csv!E172)</f>
        <v/>
      </c>
      <c r="F182" s="31" t="s">
        <v>0</v>
      </c>
      <c r="G182" s="73" t="str">
        <f>IF(csv!M172="","",csv!M172)</f>
        <v/>
      </c>
      <c r="H182" s="73" t="str">
        <f>IF(csv!N172="","",csv!N172)</f>
        <v>0</v>
      </c>
      <c r="I182" s="31" t="s">
        <v>0</v>
      </c>
      <c r="J182" s="31" t="str">
        <f>IF(csv!P172="","",csv!P172)</f>
        <v/>
      </c>
      <c r="K182" s="31" t="str">
        <f>IF(csv!Q172="","",csv!Q172)</f>
        <v/>
      </c>
      <c r="L182" s="31" t="s">
        <v>0</v>
      </c>
      <c r="M182" s="66" t="str">
        <f>IF(csv!R172="","",csv!R172)</f>
        <v/>
      </c>
      <c r="N182" s="47" t="s">
        <v>0</v>
      </c>
      <c r="O182" s="246" t="str">
        <f t="shared" si="228"/>
        <v/>
      </c>
      <c r="P182" s="47"/>
      <c r="Q182" s="52" t="str">
        <f t="shared" si="229"/>
        <v>M70</v>
      </c>
      <c r="R182" s="73">
        <f>IF(Q182="","",IF(COUNTIF(Q$12:Q181,Q182)=0,R181+1,R181))</f>
        <v>11</v>
      </c>
      <c r="S182" s="73">
        <f t="shared" si="230"/>
        <v>103</v>
      </c>
      <c r="T182" s="73">
        <f t="shared" si="193"/>
        <v>15</v>
      </c>
      <c r="U182" s="66" t="str">
        <f t="shared" si="194"/>
        <v>M70 – M65</v>
      </c>
      <c r="V182" s="47" t="s">
        <v>0</v>
      </c>
      <c r="W182" s="222" t="str">
        <f t="shared" si="195"/>
        <v/>
      </c>
      <c r="X182" s="223" t="str">
        <f t="shared" si="196"/>
        <v/>
      </c>
      <c r="Y182" s="47" t="s">
        <v>0</v>
      </c>
      <c r="Z182" s="52" t="str">
        <f t="shared" si="231"/>
        <v/>
      </c>
      <c r="AA182" s="73" t="str">
        <f t="shared" si="197"/>
        <v/>
      </c>
      <c r="AB182" s="31" t="str">
        <f t="shared" si="232"/>
        <v/>
      </c>
      <c r="AC182" s="66" t="str">
        <f>IF(AB182="","",MAX(AC$12:AC181)+1)</f>
        <v/>
      </c>
      <c r="AD182" s="47" t="s">
        <v>0</v>
      </c>
      <c r="AE182" s="125"/>
      <c r="AF182" s="47" t="s">
        <v>0</v>
      </c>
      <c r="AG182" s="19" t="str">
        <f t="shared" si="233"/>
        <v/>
      </c>
      <c r="AH182" s="47" t="s">
        <v>0</v>
      </c>
      <c r="AI182" s="143" t="str">
        <f t="shared" si="234"/>
        <v/>
      </c>
      <c r="AJ182" s="47"/>
      <c r="AK182" s="52" t="str">
        <f t="shared" si="235"/>
        <v/>
      </c>
      <c r="AL182" s="31" t="str">
        <f t="shared" si="236"/>
        <v/>
      </c>
      <c r="AM182" s="73" t="str">
        <f t="shared" si="237"/>
        <v/>
      </c>
      <c r="AN182" s="73" t="str">
        <f t="shared" si="238"/>
        <v/>
      </c>
      <c r="AO182" s="31" t="str">
        <f t="shared" si="198"/>
        <v/>
      </c>
      <c r="AP182" s="66" t="str">
        <f t="shared" si="199"/>
        <v/>
      </c>
      <c r="AQ182" s="47" t="s">
        <v>0</v>
      </c>
      <c r="AR182" s="82" t="str">
        <f t="shared" si="239"/>
        <v/>
      </c>
      <c r="AS182" s="47" t="s">
        <v>0</v>
      </c>
      <c r="AT182" s="19" t="str">
        <f t="shared" si="240"/>
        <v/>
      </c>
      <c r="AU182" s="47" t="s">
        <v>0</v>
      </c>
      <c r="AV182" s="103"/>
      <c r="AW182" s="105"/>
      <c r="AX182" s="47" t="s">
        <v>0</v>
      </c>
      <c r="AY182" s="259" t="str">
        <f t="shared" si="263"/>
        <v/>
      </c>
      <c r="AZ182" s="47" t="s">
        <v>0</v>
      </c>
      <c r="BA182" s="52" t="str">
        <f t="shared" si="200"/>
        <v/>
      </c>
      <c r="BB182" s="73" t="str">
        <f>IF(AV182&amp;AW182="","",MAX(BB$12:BB181)+1)</f>
        <v/>
      </c>
      <c r="BC182" s="272" t="str">
        <f t="shared" si="201"/>
        <v/>
      </c>
      <c r="BD182" s="53" t="str">
        <f>IF(AND(AM182="NEMA",AN182="NEMA",OR(AV182&amp;AW182="",BC182="NEMA")),MAX(BD$12:BD181)+1,"")</f>
        <v/>
      </c>
      <c r="BE182" s="47" t="s">
        <v>0</v>
      </c>
      <c r="BF182" s="52" t="str">
        <f t="shared" si="241"/>
        <v/>
      </c>
      <c r="BG182" s="66" t="str">
        <f t="shared" si="242"/>
        <v/>
      </c>
      <c r="BH182" s="47" t="s">
        <v>0</v>
      </c>
      <c r="BI182" s="52" t="str">
        <f t="shared" si="202"/>
        <v/>
      </c>
      <c r="BJ182" s="31" t="str">
        <f t="shared" si="203"/>
        <v/>
      </c>
      <c r="BK182" s="73" t="str">
        <f t="shared" si="204"/>
        <v/>
      </c>
      <c r="BL182" s="31" t="str" cm="1">
        <f t="array" ref="BL182">IF(BK182="",""&amp;BJ182,IF(BK182="NEMA",BJ182,INDEX(regKlub_naziv,MATCH(INDEX(regKlub_alias_klubId,BK182),regKlub_id,0))))</f>
        <v/>
      </c>
      <c r="BM182" s="31" t="str" cm="1">
        <f t="array" ref="BM182">IFERROR(""&amp;INDEX(regNatjecatelj_klub,DV182),"")</f>
        <v/>
      </c>
      <c r="BN182" s="88" t="str">
        <f t="shared" si="243"/>
        <v/>
      </c>
      <c r="BO182" s="66" t="str">
        <f t="shared" si="244"/>
        <v/>
      </c>
      <c r="BP182" s="47" t="s">
        <v>0</v>
      </c>
      <c r="BQ182" s="52" t="str">
        <f>IF(X182&lt;&gt;"NEMA","",IF(IFERROR(MATCH(W182,W$12:W181,0),0)&lt;&gt;0,"",W182))</f>
        <v/>
      </c>
      <c r="BR182" s="73" t="str">
        <f t="shared" si="245"/>
        <v/>
      </c>
      <c r="BS182" s="31" t="str">
        <f>IF(OR(BR182="",BR182&lt;&gt;"NEMA"),"",MAX(BS$12:BS181)+1)</f>
        <v/>
      </c>
      <c r="BT182" s="66" t="str">
        <f t="shared" si="246"/>
        <v/>
      </c>
      <c r="BU182" s="47" t="s">
        <v>0</v>
      </c>
      <c r="BV182" s="19" t="str">
        <f t="shared" si="247"/>
        <v/>
      </c>
      <c r="BW182" s="47" t="s">
        <v>0</v>
      </c>
      <c r="BX182" s="82" t="str">
        <f>IF(BK182&lt;&gt;"NEMA","",IF(IFERROR(MATCH(BJ182,BJ$12:BJ181,0),0)&lt;&gt;0,"",BJ182))</f>
        <v/>
      </c>
      <c r="BY182" s="47" t="s">
        <v>0</v>
      </c>
      <c r="BZ182" s="125"/>
      <c r="CA182" s="47" t="s">
        <v>0</v>
      </c>
      <c r="CB182" s="58" t="str">
        <f t="shared" si="248"/>
        <v/>
      </c>
      <c r="CC182" s="31" t="str">
        <f t="shared" si="249"/>
        <v/>
      </c>
      <c r="CD182" s="31" t="str">
        <f>IF(CC182="","",MAX(CD$12:CD181)+1)</f>
        <v/>
      </c>
      <c r="CE182" s="31" t="str">
        <f t="shared" si="205"/>
        <v/>
      </c>
      <c r="CF182" s="31" t="str">
        <f t="shared" si="250"/>
        <v/>
      </c>
      <c r="CG182" s="31" t="str">
        <f>IF(BZ182="","",MAX(CG$12:CG181)+1)</f>
        <v/>
      </c>
      <c r="CH182" s="31" t="str">
        <f t="shared" si="251"/>
        <v/>
      </c>
      <c r="CI182" s="66" t="str">
        <f t="shared" si="252"/>
        <v/>
      </c>
      <c r="CJ182" s="47" t="s">
        <v>0</v>
      </c>
      <c r="CK182" s="73" t="str">
        <f t="shared" si="206"/>
        <v/>
      </c>
      <c r="CL182" s="47"/>
      <c r="CM182" s="19" t="str">
        <f t="shared" si="253"/>
        <v/>
      </c>
      <c r="CN182" s="47" t="s">
        <v>0</v>
      </c>
      <c r="CO182" s="143" t="str">
        <f t="shared" si="254"/>
        <v/>
      </c>
      <c r="CP182" s="47" t="s">
        <v>0</v>
      </c>
      <c r="CQ182" s="58" t="str">
        <f t="shared" si="270"/>
        <v/>
      </c>
      <c r="CR182" s="73" t="str">
        <f t="shared" si="271"/>
        <v>0</v>
      </c>
      <c r="CS182" s="229" t="str">
        <f t="shared" si="207"/>
        <v/>
      </c>
      <c r="CT182" s="230" t="str">
        <f t="shared" si="192"/>
        <v/>
      </c>
      <c r="CU182" s="163" t="str">
        <f t="shared" si="208"/>
        <v/>
      </c>
      <c r="CV182" s="47" t="s">
        <v>0</v>
      </c>
      <c r="CW182" s="222" t="str">
        <f t="shared" si="255"/>
        <v xml:space="preserve">
</v>
      </c>
      <c r="CX182" s="223" t="str">
        <f t="shared" si="256"/>
        <v/>
      </c>
      <c r="CY182" s="47" t="s">
        <v>0</v>
      </c>
      <c r="CZ182" s="47"/>
      <c r="DA182" s="47"/>
      <c r="DB182" s="47"/>
      <c r="DC182" s="47" t="s">
        <v>0</v>
      </c>
      <c r="DD182" s="53" t="str">
        <f t="shared" si="264"/>
        <v/>
      </c>
      <c r="DE182" t="s">
        <v>0</v>
      </c>
      <c r="DF182" s="128" t="str">
        <f t="shared" si="265"/>
        <v>M</v>
      </c>
      <c r="DG182" t="s">
        <v>0</v>
      </c>
      <c r="DH182" s="52" t="str">
        <f t="shared" si="266"/>
        <v/>
      </c>
      <c r="DI182" s="66" t="str">
        <f t="shared" si="267"/>
        <v/>
      </c>
      <c r="DJ182" t="s">
        <v>0</v>
      </c>
      <c r="DK182" s="19" t="str">
        <f t="shared" si="268"/>
        <v/>
      </c>
      <c r="DL182" s="47" t="s">
        <v>0</v>
      </c>
      <c r="DM182" s="19" t="str">
        <f t="shared" si="269"/>
        <v/>
      </c>
      <c r="DN182" s="47" t="s">
        <v>0</v>
      </c>
      <c r="DO182" s="52" t="str">
        <f t="shared" si="209"/>
        <v/>
      </c>
      <c r="DP182" s="53" t="str">
        <f t="shared" si="210"/>
        <v/>
      </c>
      <c r="DQ182" s="47" t="s">
        <v>0</v>
      </c>
      <c r="DR182" s="52" t="str">
        <f t="shared" si="211"/>
        <v/>
      </c>
      <c r="DS182" s="53" t="str">
        <f t="shared" si="212"/>
        <v/>
      </c>
      <c r="DT182" s="47" t="s">
        <v>0</v>
      </c>
      <c r="DU182" s="52" t="str">
        <f t="shared" si="213"/>
        <v/>
      </c>
      <c r="DV182" s="53" t="str">
        <f t="shared" si="214"/>
        <v/>
      </c>
      <c r="DW182" s="47" t="s">
        <v>0</v>
      </c>
      <c r="DX182" s="58" t="str">
        <f t="shared" si="257"/>
        <v/>
      </c>
      <c r="DY182" s="53" t="str" cm="1">
        <f t="array" ref="DY182">IF(DX182&lt;&gt;"",INDEX(regNatjecatelj_id,DX182,0),IF(BD182&lt;&gt;"",BD182,""))</f>
        <v/>
      </c>
      <c r="DZ182" s="47" t="s">
        <v>0</v>
      </c>
      <c r="EA182" s="58" t="str">
        <f t="shared" si="215"/>
        <v/>
      </c>
      <c r="EB182" s="73" t="str">
        <f t="shared" si="216"/>
        <v/>
      </c>
      <c r="EC182" s="73" t="str">
        <f t="shared" si="217"/>
        <v/>
      </c>
      <c r="ED182" s="73" t="str">
        <f t="shared" si="218"/>
        <v/>
      </c>
      <c r="EE182" s="66" t="str">
        <f t="shared" si="219"/>
        <v/>
      </c>
      <c r="EF182" s="47" t="s">
        <v>0</v>
      </c>
      <c r="EG182" s="58" t="str">
        <f>IF(AL182="","",MAX(EG$12:EG181)+1)</f>
        <v/>
      </c>
      <c r="EH182" s="73" t="str">
        <f t="shared" si="220"/>
        <v/>
      </c>
      <c r="EI182" s="73" t="str">
        <f t="shared" si="258"/>
        <v/>
      </c>
      <c r="EJ182" s="73" t="str">
        <f t="shared" si="221"/>
        <v/>
      </c>
      <c r="EK182" s="73" t="str">
        <f t="shared" si="222"/>
        <v/>
      </c>
      <c r="EL182" s="73" t="str">
        <f t="shared" si="259"/>
        <v/>
      </c>
      <c r="EM182" s="73" t="str">
        <f t="shared" si="260"/>
        <v/>
      </c>
      <c r="EN182" s="73" t="str">
        <f t="shared" si="223"/>
        <v/>
      </c>
      <c r="EO182" s="73" t="str">
        <f t="shared" si="224"/>
        <v/>
      </c>
      <c r="EP182" s="73" t="str">
        <f t="shared" si="225"/>
        <v/>
      </c>
      <c r="EQ182" s="53" t="str">
        <f t="shared" si="226"/>
        <v/>
      </c>
      <c r="ER182" s="47" t="s">
        <v>0</v>
      </c>
      <c r="ES182" s="19" t="str">
        <f t="shared" si="261"/>
        <v/>
      </c>
      <c r="ET182" s="47" t="s">
        <v>0</v>
      </c>
      <c r="EU182" s="19" t="str">
        <f t="shared" si="262"/>
        <v/>
      </c>
      <c r="EV182" s="47" t="s">
        <v>0</v>
      </c>
      <c r="EW182" s="180" t="str">
        <f t="shared" si="227"/>
        <v/>
      </c>
      <c r="EX182" s="47" t="s">
        <v>0</v>
      </c>
    </row>
    <row r="183" spans="1:154" x14ac:dyDescent="0.25">
      <c r="A183" t="s">
        <v>0</v>
      </c>
      <c r="B183" s="52" t="str">
        <f>IF(csv!F173="","",csv!T173)</f>
        <v>M70</v>
      </c>
      <c r="C183" s="31" t="s">
        <v>0</v>
      </c>
      <c r="D183" s="31" t="str">
        <f>IF(csv!F173="","",csv!F173)</f>
        <v>Vacant</v>
      </c>
      <c r="E183" s="31" t="str">
        <f>IF(csv!E173="","",csv!E173)</f>
        <v/>
      </c>
      <c r="F183" s="31" t="s">
        <v>0</v>
      </c>
      <c r="G183" s="73" t="str">
        <f>IF(csv!M173="","",csv!M173)</f>
        <v/>
      </c>
      <c r="H183" s="73" t="str">
        <f>IF(csv!N173="","",csv!N173)</f>
        <v>0</v>
      </c>
      <c r="I183" s="31" t="s">
        <v>0</v>
      </c>
      <c r="J183" s="31" t="str">
        <f>IF(csv!P173="","",csv!P173)</f>
        <v/>
      </c>
      <c r="K183" s="31" t="str">
        <f>IF(csv!Q173="","",csv!Q173)</f>
        <v/>
      </c>
      <c r="L183" s="31" t="s">
        <v>0</v>
      </c>
      <c r="M183" s="66" t="str">
        <f>IF(csv!R173="","",csv!R173)</f>
        <v/>
      </c>
      <c r="N183" s="47" t="s">
        <v>0</v>
      </c>
      <c r="O183" s="246" t="str">
        <f t="shared" si="228"/>
        <v/>
      </c>
      <c r="P183" s="47"/>
      <c r="Q183" s="52" t="str">
        <f t="shared" si="229"/>
        <v>M70</v>
      </c>
      <c r="R183" s="73">
        <f>IF(Q183="","",IF(COUNTIF(Q$12:Q182,Q183)=0,R182+1,R182))</f>
        <v>11</v>
      </c>
      <c r="S183" s="73">
        <f t="shared" si="230"/>
        <v>103</v>
      </c>
      <c r="T183" s="73">
        <f t="shared" si="193"/>
        <v>15</v>
      </c>
      <c r="U183" s="66" t="str">
        <f t="shared" si="194"/>
        <v>M70 – M65</v>
      </c>
      <c r="V183" s="47" t="s">
        <v>0</v>
      </c>
      <c r="W183" s="222" t="str">
        <f t="shared" si="195"/>
        <v/>
      </c>
      <c r="X183" s="223" t="str">
        <f t="shared" si="196"/>
        <v/>
      </c>
      <c r="Y183" s="47" t="s">
        <v>0</v>
      </c>
      <c r="Z183" s="52" t="str">
        <f t="shared" si="231"/>
        <v/>
      </c>
      <c r="AA183" s="73" t="str">
        <f t="shared" si="197"/>
        <v/>
      </c>
      <c r="AB183" s="31" t="str">
        <f t="shared" si="232"/>
        <v/>
      </c>
      <c r="AC183" s="66" t="str">
        <f>IF(AB183="","",MAX(AC$12:AC182)+1)</f>
        <v/>
      </c>
      <c r="AD183" s="47" t="s">
        <v>0</v>
      </c>
      <c r="AE183" s="125"/>
      <c r="AF183" s="47" t="s">
        <v>0</v>
      </c>
      <c r="AG183" s="19" t="str">
        <f t="shared" si="233"/>
        <v/>
      </c>
      <c r="AH183" s="47" t="s">
        <v>0</v>
      </c>
      <c r="AI183" s="143" t="str">
        <f t="shared" si="234"/>
        <v/>
      </c>
      <c r="AJ183" s="47"/>
      <c r="AK183" s="52" t="str">
        <f t="shared" si="235"/>
        <v/>
      </c>
      <c r="AL183" s="31" t="str">
        <f t="shared" si="236"/>
        <v/>
      </c>
      <c r="AM183" s="73" t="str">
        <f t="shared" si="237"/>
        <v/>
      </c>
      <c r="AN183" s="73" t="str">
        <f t="shared" si="238"/>
        <v/>
      </c>
      <c r="AO183" s="31" t="str">
        <f t="shared" si="198"/>
        <v/>
      </c>
      <c r="AP183" s="66" t="str">
        <f t="shared" si="199"/>
        <v/>
      </c>
      <c r="AQ183" s="47" t="s">
        <v>0</v>
      </c>
      <c r="AR183" s="82" t="str">
        <f t="shared" si="239"/>
        <v/>
      </c>
      <c r="AS183" s="47" t="s">
        <v>0</v>
      </c>
      <c r="AT183" s="19" t="str">
        <f t="shared" si="240"/>
        <v/>
      </c>
      <c r="AU183" s="47" t="s">
        <v>0</v>
      </c>
      <c r="AV183" s="103"/>
      <c r="AW183" s="105"/>
      <c r="AX183" s="47" t="s">
        <v>0</v>
      </c>
      <c r="AY183" s="259" t="str">
        <f t="shared" si="263"/>
        <v/>
      </c>
      <c r="AZ183" s="47" t="s">
        <v>0</v>
      </c>
      <c r="BA183" s="52" t="str">
        <f t="shared" si="200"/>
        <v/>
      </c>
      <c r="BB183" s="73" t="str">
        <f>IF(AV183&amp;AW183="","",MAX(BB$12:BB182)+1)</f>
        <v/>
      </c>
      <c r="BC183" s="272" t="str">
        <f t="shared" si="201"/>
        <v/>
      </c>
      <c r="BD183" s="53" t="str">
        <f>IF(AND(AM183="NEMA",AN183="NEMA",OR(AV183&amp;AW183="",BC183="NEMA")),MAX(BD$12:BD182)+1,"")</f>
        <v/>
      </c>
      <c r="BE183" s="47" t="s">
        <v>0</v>
      </c>
      <c r="BF183" s="52" t="str">
        <f t="shared" si="241"/>
        <v/>
      </c>
      <c r="BG183" s="66" t="str">
        <f t="shared" si="242"/>
        <v/>
      </c>
      <c r="BH183" s="47" t="s">
        <v>0</v>
      </c>
      <c r="BI183" s="52" t="str">
        <f t="shared" si="202"/>
        <v/>
      </c>
      <c r="BJ183" s="31" t="str">
        <f t="shared" si="203"/>
        <v/>
      </c>
      <c r="BK183" s="73" t="str">
        <f t="shared" si="204"/>
        <v/>
      </c>
      <c r="BL183" s="31" t="str" cm="1">
        <f t="array" ref="BL183">IF(BK183="",""&amp;BJ183,IF(BK183="NEMA",BJ183,INDEX(regKlub_naziv,MATCH(INDEX(regKlub_alias_klubId,BK183),regKlub_id,0))))</f>
        <v/>
      </c>
      <c r="BM183" s="31" t="str" cm="1">
        <f t="array" ref="BM183">IFERROR(""&amp;INDEX(regNatjecatelj_klub,DV183),"")</f>
        <v/>
      </c>
      <c r="BN183" s="88" t="str">
        <f t="shared" si="243"/>
        <v/>
      </c>
      <c r="BO183" s="66" t="str">
        <f t="shared" si="244"/>
        <v/>
      </c>
      <c r="BP183" s="47" t="s">
        <v>0</v>
      </c>
      <c r="BQ183" s="52" t="str">
        <f>IF(X183&lt;&gt;"NEMA","",IF(IFERROR(MATCH(W183,W$12:W182,0),0)&lt;&gt;0,"",W183))</f>
        <v/>
      </c>
      <c r="BR183" s="73" t="str">
        <f t="shared" si="245"/>
        <v/>
      </c>
      <c r="BS183" s="31" t="str">
        <f>IF(OR(BR183="",BR183&lt;&gt;"NEMA"),"",MAX(BS$12:BS182)+1)</f>
        <v/>
      </c>
      <c r="BT183" s="66" t="str">
        <f t="shared" si="246"/>
        <v/>
      </c>
      <c r="BU183" s="47" t="s">
        <v>0</v>
      </c>
      <c r="BV183" s="19" t="str">
        <f t="shared" si="247"/>
        <v/>
      </c>
      <c r="BW183" s="47" t="s">
        <v>0</v>
      </c>
      <c r="BX183" s="82" t="str">
        <f>IF(BK183&lt;&gt;"NEMA","",IF(IFERROR(MATCH(BJ183,BJ$12:BJ182,0),0)&lt;&gt;0,"",BJ183))</f>
        <v/>
      </c>
      <c r="BY183" s="47" t="s">
        <v>0</v>
      </c>
      <c r="BZ183" s="125"/>
      <c r="CA183" s="47" t="s">
        <v>0</v>
      </c>
      <c r="CB183" s="58" t="str">
        <f t="shared" si="248"/>
        <v/>
      </c>
      <c r="CC183" s="31" t="str">
        <f t="shared" si="249"/>
        <v/>
      </c>
      <c r="CD183" s="31" t="str">
        <f>IF(CC183="","",MAX(CD$12:CD182)+1)</f>
        <v/>
      </c>
      <c r="CE183" s="31" t="str">
        <f t="shared" si="205"/>
        <v/>
      </c>
      <c r="CF183" s="31" t="str">
        <f t="shared" si="250"/>
        <v/>
      </c>
      <c r="CG183" s="31" t="str">
        <f>IF(BZ183="","",MAX(CG$12:CG182)+1)</f>
        <v/>
      </c>
      <c r="CH183" s="31" t="str">
        <f t="shared" si="251"/>
        <v/>
      </c>
      <c r="CI183" s="66" t="str">
        <f t="shared" si="252"/>
        <v/>
      </c>
      <c r="CJ183" s="47" t="s">
        <v>0</v>
      </c>
      <c r="CK183" s="73" t="str">
        <f t="shared" si="206"/>
        <v/>
      </c>
      <c r="CL183" s="47"/>
      <c r="CM183" s="19" t="str">
        <f t="shared" si="253"/>
        <v/>
      </c>
      <c r="CN183" s="47" t="s">
        <v>0</v>
      </c>
      <c r="CO183" s="143" t="str">
        <f t="shared" si="254"/>
        <v/>
      </c>
      <c r="CP183" s="47" t="s">
        <v>0</v>
      </c>
      <c r="CQ183" s="58" t="str">
        <f t="shared" si="270"/>
        <v/>
      </c>
      <c r="CR183" s="73" t="str">
        <f t="shared" si="271"/>
        <v>0</v>
      </c>
      <c r="CS183" s="229" t="str">
        <f t="shared" si="207"/>
        <v/>
      </c>
      <c r="CT183" s="230" t="str">
        <f t="shared" si="192"/>
        <v/>
      </c>
      <c r="CU183" s="163" t="str">
        <f t="shared" si="208"/>
        <v/>
      </c>
      <c r="CV183" s="47" t="s">
        <v>0</v>
      </c>
      <c r="CW183" s="222" t="str">
        <f t="shared" si="255"/>
        <v xml:space="preserve">
</v>
      </c>
      <c r="CX183" s="223" t="str">
        <f t="shared" si="256"/>
        <v/>
      </c>
      <c r="CY183" s="47" t="s">
        <v>0</v>
      </c>
      <c r="CZ183" s="47"/>
      <c r="DA183" s="47"/>
      <c r="DB183" s="47"/>
      <c r="DC183" s="47" t="s">
        <v>0</v>
      </c>
      <c r="DD183" s="53" t="str">
        <f t="shared" si="264"/>
        <v/>
      </c>
      <c r="DE183" t="s">
        <v>0</v>
      </c>
      <c r="DF183" s="128" t="str">
        <f t="shared" si="265"/>
        <v>M</v>
      </c>
      <c r="DG183" t="s">
        <v>0</v>
      </c>
      <c r="DH183" s="52" t="str">
        <f t="shared" si="266"/>
        <v/>
      </c>
      <c r="DI183" s="66" t="str">
        <f t="shared" si="267"/>
        <v/>
      </c>
      <c r="DJ183" t="s">
        <v>0</v>
      </c>
      <c r="DK183" s="19" t="str">
        <f t="shared" si="268"/>
        <v/>
      </c>
      <c r="DL183" s="47" t="s">
        <v>0</v>
      </c>
      <c r="DM183" s="19" t="str">
        <f t="shared" si="269"/>
        <v/>
      </c>
      <c r="DN183" s="47" t="s">
        <v>0</v>
      </c>
      <c r="DO183" s="52" t="str">
        <f t="shared" si="209"/>
        <v/>
      </c>
      <c r="DP183" s="53" t="str">
        <f t="shared" si="210"/>
        <v/>
      </c>
      <c r="DQ183" s="47" t="s">
        <v>0</v>
      </c>
      <c r="DR183" s="52" t="str">
        <f t="shared" si="211"/>
        <v/>
      </c>
      <c r="DS183" s="53" t="str">
        <f t="shared" si="212"/>
        <v/>
      </c>
      <c r="DT183" s="47" t="s">
        <v>0</v>
      </c>
      <c r="DU183" s="52" t="str">
        <f t="shared" si="213"/>
        <v/>
      </c>
      <c r="DV183" s="53" t="str">
        <f t="shared" si="214"/>
        <v/>
      </c>
      <c r="DW183" s="47" t="s">
        <v>0</v>
      </c>
      <c r="DX183" s="58" t="str">
        <f t="shared" si="257"/>
        <v/>
      </c>
      <c r="DY183" s="53" t="str" cm="1">
        <f t="array" ref="DY183">IF(DX183&lt;&gt;"",INDEX(regNatjecatelj_id,DX183,0),IF(BD183&lt;&gt;"",BD183,""))</f>
        <v/>
      </c>
      <c r="DZ183" s="47" t="s">
        <v>0</v>
      </c>
      <c r="EA183" s="58" t="str">
        <f t="shared" si="215"/>
        <v/>
      </c>
      <c r="EB183" s="73" t="str">
        <f t="shared" si="216"/>
        <v/>
      </c>
      <c r="EC183" s="73" t="str">
        <f t="shared" si="217"/>
        <v/>
      </c>
      <c r="ED183" s="73" t="str">
        <f t="shared" si="218"/>
        <v/>
      </c>
      <c r="EE183" s="66" t="str">
        <f t="shared" si="219"/>
        <v/>
      </c>
      <c r="EF183" s="47" t="s">
        <v>0</v>
      </c>
      <c r="EG183" s="58" t="str">
        <f>IF(AL183="","",MAX(EG$12:EG182)+1)</f>
        <v/>
      </c>
      <c r="EH183" s="73" t="str">
        <f t="shared" si="220"/>
        <v/>
      </c>
      <c r="EI183" s="73" t="str">
        <f t="shared" si="258"/>
        <v/>
      </c>
      <c r="EJ183" s="73" t="str">
        <f t="shared" si="221"/>
        <v/>
      </c>
      <c r="EK183" s="73" t="str">
        <f t="shared" si="222"/>
        <v/>
      </c>
      <c r="EL183" s="73" t="str">
        <f t="shared" si="259"/>
        <v/>
      </c>
      <c r="EM183" s="73" t="str">
        <f t="shared" si="260"/>
        <v/>
      </c>
      <c r="EN183" s="73" t="str">
        <f t="shared" si="223"/>
        <v/>
      </c>
      <c r="EO183" s="73" t="str">
        <f t="shared" si="224"/>
        <v/>
      </c>
      <c r="EP183" s="73" t="str">
        <f t="shared" si="225"/>
        <v/>
      </c>
      <c r="EQ183" s="53" t="str">
        <f t="shared" si="226"/>
        <v/>
      </c>
      <c r="ER183" s="47" t="s">
        <v>0</v>
      </c>
      <c r="ES183" s="19" t="str">
        <f t="shared" si="261"/>
        <v/>
      </c>
      <c r="ET183" s="47" t="s">
        <v>0</v>
      </c>
      <c r="EU183" s="19" t="str">
        <f t="shared" si="262"/>
        <v/>
      </c>
      <c r="EV183" s="47" t="s">
        <v>0</v>
      </c>
      <c r="EW183" s="180" t="str">
        <f t="shared" si="227"/>
        <v/>
      </c>
      <c r="EX183" s="47" t="s">
        <v>0</v>
      </c>
    </row>
    <row r="184" spans="1:154" x14ac:dyDescent="0.25">
      <c r="A184" t="s">
        <v>0</v>
      </c>
      <c r="B184" s="52" t="str">
        <f>IF(csv!F174="","",csv!T174)</f>
        <v>OPEN</v>
      </c>
      <c r="C184" s="31" t="s">
        <v>0</v>
      </c>
      <c r="D184" s="31" t="str">
        <f>IF(csv!F174="","",csv!F174)</f>
        <v>Barbara</v>
      </c>
      <c r="E184" s="31" t="str">
        <f>IF(csv!E174="","",csv!E174)</f>
        <v>Arbanas</v>
      </c>
      <c r="F184" s="31" t="s">
        <v>0</v>
      </c>
      <c r="G184" s="73" t="str">
        <f>IF(csv!M174="","",csv!M174)</f>
        <v>53:23</v>
      </c>
      <c r="H184" s="73" t="str">
        <f>IF(csv!N174="","",csv!N174)</f>
        <v>0</v>
      </c>
      <c r="I184" s="31" t="s">
        <v>0</v>
      </c>
      <c r="J184" s="31" t="str">
        <f>IF(csv!P174="","",csv!P174)</f>
        <v>KAP</v>
      </c>
      <c r="K184" s="31" t="str">
        <f>IF(csv!Q174="","",csv!Q174)</f>
        <v>OK Kapela</v>
      </c>
      <c r="L184" s="31" t="s">
        <v>0</v>
      </c>
      <c r="M184" s="66" t="str">
        <f>IF(csv!R174="","",csv!R174)</f>
        <v>CRO</v>
      </c>
      <c r="N184" s="47" t="s">
        <v>0</v>
      </c>
      <c r="O184" s="246" t="str">
        <f t="shared" si="228"/>
        <v>ok</v>
      </c>
      <c r="P184" s="47"/>
      <c r="Q184" s="52" t="str">
        <f t="shared" si="229"/>
        <v>OPEN</v>
      </c>
      <c r="R184" s="73">
        <f>IF(Q184="","",IF(COUNTIF(Q$12:Q183,Q184)=0,R183+1,R183))</f>
        <v>12</v>
      </c>
      <c r="S184" s="73">
        <f t="shared" si="230"/>
        <v>291</v>
      </c>
      <c r="T184" s="73">
        <f t="shared" si="193"/>
        <v>29</v>
      </c>
      <c r="U184" s="66" t="str">
        <f t="shared" si="194"/>
        <v>Otvorena</v>
      </c>
      <c r="V184" s="47" t="s">
        <v>0</v>
      </c>
      <c r="W184" s="222" t="str">
        <f t="shared" si="195"/>
        <v>Otvorena</v>
      </c>
      <c r="X184" s="223">
        <f t="shared" si="196"/>
        <v>34</v>
      </c>
      <c r="Y184" s="47" t="s">
        <v>0</v>
      </c>
      <c r="Z184" s="52" t="str">
        <f t="shared" si="231"/>
        <v>CRO</v>
      </c>
      <c r="AA184" s="73">
        <f t="shared" si="197"/>
        <v>1</v>
      </c>
      <c r="AB184" s="31" t="str">
        <f t="shared" si="232"/>
        <v/>
      </c>
      <c r="AC184" s="66" t="str">
        <f>IF(AB184="","",MAX(AC$12:AC183)+1)</f>
        <v/>
      </c>
      <c r="AD184" s="47" t="s">
        <v>0</v>
      </c>
      <c r="AE184" s="125"/>
      <c r="AF184" s="47" t="s">
        <v>0</v>
      </c>
      <c r="AG184" s="19" t="str">
        <f t="shared" si="233"/>
        <v/>
      </c>
      <c r="AH184" s="47" t="s">
        <v>0</v>
      </c>
      <c r="AI184" s="143" t="str">
        <f t="shared" si="234"/>
        <v>CRO</v>
      </c>
      <c r="AJ184" s="47"/>
      <c r="AK184" s="52" t="str">
        <f t="shared" si="235"/>
        <v>Barbara</v>
      </c>
      <c r="AL184" s="31" t="str">
        <f t="shared" si="236"/>
        <v>Arbanas</v>
      </c>
      <c r="AM184" s="73">
        <f t="shared" si="237"/>
        <v>1113</v>
      </c>
      <c r="AN184" s="73" t="str">
        <f t="shared" si="238"/>
        <v/>
      </c>
      <c r="AO184" s="31" t="str">
        <f t="shared" si="198"/>
        <v>Barbara</v>
      </c>
      <c r="AP184" s="66" t="str">
        <f t="shared" si="199"/>
        <v>Arbanas</v>
      </c>
      <c r="AQ184" s="47" t="s">
        <v>0</v>
      </c>
      <c r="AR184" s="82" t="str">
        <f t="shared" si="239"/>
        <v/>
      </c>
      <c r="AS184" s="47" t="s">
        <v>0</v>
      </c>
      <c r="AT184" s="19" t="str">
        <f t="shared" si="240"/>
        <v/>
      </c>
      <c r="AU184" s="47" t="s">
        <v>0</v>
      </c>
      <c r="AV184" s="103"/>
      <c r="AW184" s="105"/>
      <c r="AX184" s="47" t="s">
        <v>0</v>
      </c>
      <c r="AY184" s="259" t="str">
        <f t="shared" si="263"/>
        <v/>
      </c>
      <c r="AZ184" s="47" t="s">
        <v>0</v>
      </c>
      <c r="BA184" s="52" t="str">
        <f t="shared" si="200"/>
        <v/>
      </c>
      <c r="BB184" s="73" t="str">
        <f>IF(AV184&amp;AW184="","",MAX(BB$12:BB183)+1)</f>
        <v/>
      </c>
      <c r="BC184" s="272" t="str">
        <f t="shared" si="201"/>
        <v/>
      </c>
      <c r="BD184" s="53" t="str">
        <f>IF(AND(AM184="NEMA",AN184="NEMA",OR(AV184&amp;AW184="",BC184="NEMA")),MAX(BD$12:BD183)+1,"")</f>
        <v/>
      </c>
      <c r="BE184" s="47" t="s">
        <v>0</v>
      </c>
      <c r="BF184" s="52" t="str">
        <f t="shared" si="241"/>
        <v>Barbara</v>
      </c>
      <c r="BG184" s="66" t="str">
        <f t="shared" si="242"/>
        <v>Arbanas</v>
      </c>
      <c r="BH184" s="47" t="s">
        <v>0</v>
      </c>
      <c r="BI184" s="52" t="str">
        <f t="shared" si="202"/>
        <v>KAP</v>
      </c>
      <c r="BJ184" s="31" t="str">
        <f t="shared" si="203"/>
        <v>OK Kapela</v>
      </c>
      <c r="BK184" s="73" t="str">
        <f t="shared" si="204"/>
        <v/>
      </c>
      <c r="BL184" s="31" t="str" cm="1">
        <f t="array" ref="BL184">IF(BK184="",""&amp;BJ184,IF(BK184="NEMA",BJ184,INDEX(regKlub_naziv,MATCH(INDEX(regKlub_alias_klubId,BK184),regKlub_id,0))))</f>
        <v>OK Kapela</v>
      </c>
      <c r="BM184" s="31" t="str" cm="1">
        <f t="array" ref="BM184">IFERROR(""&amp;INDEX(regNatjecatelj_klub,DV184),"")</f>
        <v>OK Vihor</v>
      </c>
      <c r="BN184" s="88">
        <f t="shared" si="243"/>
        <v>1</v>
      </c>
      <c r="BO184" s="66" t="str">
        <f t="shared" si="244"/>
        <v>OK Vihor</v>
      </c>
      <c r="BP184" s="47" t="s">
        <v>0</v>
      </c>
      <c r="BQ184" s="52" t="str">
        <f>IF(X184&lt;&gt;"NEMA","",IF(IFERROR(MATCH(W184,W$12:W183,0),0)&lt;&gt;0,"",W184))</f>
        <v/>
      </c>
      <c r="BR184" s="73" t="str">
        <f t="shared" si="245"/>
        <v/>
      </c>
      <c r="BS184" s="31" t="str">
        <f>IF(OR(BR184="",BR184&lt;&gt;"NEMA"),"",MAX(BS$12:BS183)+1)</f>
        <v/>
      </c>
      <c r="BT184" s="66" t="str">
        <f t="shared" si="246"/>
        <v/>
      </c>
      <c r="BU184" s="47" t="s">
        <v>0</v>
      </c>
      <c r="BV184" s="19" t="str">
        <f t="shared" si="247"/>
        <v/>
      </c>
      <c r="BW184" s="47" t="s">
        <v>0</v>
      </c>
      <c r="BX184" s="82" t="str">
        <f>IF(BK184&lt;&gt;"NEMA","",IF(IFERROR(MATCH(BJ184,BJ$12:BJ183,0),0)&lt;&gt;0,"",BJ184))</f>
        <v/>
      </c>
      <c r="BY184" s="47" t="s">
        <v>0</v>
      </c>
      <c r="BZ184" s="125"/>
      <c r="CA184" s="47" t="s">
        <v>0</v>
      </c>
      <c r="CB184" s="58" t="str">
        <f t="shared" si="248"/>
        <v/>
      </c>
      <c r="CC184" s="31" t="str">
        <f t="shared" si="249"/>
        <v/>
      </c>
      <c r="CD184" s="31" t="str">
        <f>IF(CC184="","",MAX(CD$12:CD183)+1)</f>
        <v/>
      </c>
      <c r="CE184" s="31" t="str">
        <f t="shared" si="205"/>
        <v/>
      </c>
      <c r="CF184" s="31" t="str">
        <f t="shared" si="250"/>
        <v/>
      </c>
      <c r="CG184" s="31" t="str">
        <f>IF(BZ184="","",MAX(CG$12:CG183)+1)</f>
        <v/>
      </c>
      <c r="CH184" s="31" t="str">
        <f t="shared" si="251"/>
        <v/>
      </c>
      <c r="CI184" s="66" t="str">
        <f t="shared" si="252"/>
        <v/>
      </c>
      <c r="CJ184" s="47" t="s">
        <v>0</v>
      </c>
      <c r="CK184" s="73" t="str">
        <f t="shared" si="206"/>
        <v/>
      </c>
      <c r="CL184" s="47"/>
      <c r="CM184" s="19" t="str">
        <f t="shared" si="253"/>
        <v/>
      </c>
      <c r="CN184" s="47" t="s">
        <v>0</v>
      </c>
      <c r="CO184" s="143" t="str">
        <f t="shared" si="254"/>
        <v>OK Vihor</v>
      </c>
      <c r="CP184" s="47" t="s">
        <v>0</v>
      </c>
      <c r="CQ184" s="58" t="str">
        <f t="shared" si="270"/>
        <v>53:23</v>
      </c>
      <c r="CR184" s="73" t="str">
        <f t="shared" si="271"/>
        <v>0</v>
      </c>
      <c r="CS184" s="229" t="str">
        <f t="shared" si="207"/>
        <v/>
      </c>
      <c r="CT184" s="230">
        <f t="shared" si="192"/>
        <v>3203</v>
      </c>
      <c r="CU184" s="163">
        <f t="shared" si="208"/>
        <v>1</v>
      </c>
      <c r="CV184" s="47" t="s">
        <v>0</v>
      </c>
      <c r="CW184" s="222" t="str">
        <f t="shared" si="255"/>
        <v xml:space="preserve">
</v>
      </c>
      <c r="CX184" s="223">
        <f t="shared" si="256"/>
        <v>6</v>
      </c>
      <c r="CY184" s="47" t="s">
        <v>0</v>
      </c>
      <c r="CZ184" s="47"/>
      <c r="DA184" s="47"/>
      <c r="DB184" s="47"/>
      <c r="DC184" s="47" t="s">
        <v>0</v>
      </c>
      <c r="DD184" s="53" t="str">
        <f t="shared" si="264"/>
        <v/>
      </c>
      <c r="DE184" t="s">
        <v>0</v>
      </c>
      <c r="DF184" s="128" t="str">
        <f t="shared" si="265"/>
        <v>O</v>
      </c>
      <c r="DG184" t="s">
        <v>0</v>
      </c>
      <c r="DH184" s="52" t="str">
        <f t="shared" si="266"/>
        <v/>
      </c>
      <c r="DI184" s="66" t="str">
        <f t="shared" si="267"/>
        <v/>
      </c>
      <c r="DJ184" t="s">
        <v>0</v>
      </c>
      <c r="DK184" s="19" t="str">
        <f t="shared" si="268"/>
        <v/>
      </c>
      <c r="DL184" s="47" t="s">
        <v>0</v>
      </c>
      <c r="DM184" s="19" t="str">
        <f t="shared" si="269"/>
        <v/>
      </c>
      <c r="DN184" s="47" t="s">
        <v>0</v>
      </c>
      <c r="DO184" s="52" t="str">
        <f t="shared" si="209"/>
        <v>Barbara – Arbanas – OK Vihor – OPEN</v>
      </c>
      <c r="DP184" s="53" t="str">
        <f t="shared" si="210"/>
        <v>NEMA</v>
      </c>
      <c r="DQ184" s="47" t="s">
        <v>0</v>
      </c>
      <c r="DR184" s="52" t="str">
        <f t="shared" si="211"/>
        <v>Barbara – Arbanas – OK Vihor</v>
      </c>
      <c r="DS184" s="53">
        <f t="shared" si="212"/>
        <v>611</v>
      </c>
      <c r="DT184" s="47" t="s">
        <v>0</v>
      </c>
      <c r="DU184" s="52" t="str">
        <f t="shared" si="213"/>
        <v>Barbara – Arbanas</v>
      </c>
      <c r="DV184" s="53">
        <f t="shared" si="214"/>
        <v>611</v>
      </c>
      <c r="DW184" s="47" t="s">
        <v>0</v>
      </c>
      <c r="DX184" s="58">
        <f t="shared" si="257"/>
        <v>611</v>
      </c>
      <c r="DY184" s="53" cm="1">
        <f t="array" ref="DY184">IF(DX184&lt;&gt;"",INDEX(regNatjecatelj_id,DX184,0),IF(BD184&lt;&gt;"",BD184,""))</f>
        <v>1113</v>
      </c>
      <c r="DZ184" s="47" t="s">
        <v>0</v>
      </c>
      <c r="EA184" s="58" t="str">
        <f t="shared" si="215"/>
        <v>imepre</v>
      </c>
      <c r="EB184" s="73" t="str">
        <f t="shared" si="216"/>
        <v>(raz-klu)</v>
      </c>
      <c r="EC184" s="73" t="str">
        <f t="shared" si="217"/>
        <v>kat</v>
      </c>
      <c r="ED184" s="73" t="str">
        <f t="shared" si="218"/>
        <v/>
      </c>
      <c r="EE184" s="66" t="str">
        <f t="shared" si="219"/>
        <v>imepre-(raz-klu)-kat</v>
      </c>
      <c r="EF184" s="47" t="s">
        <v>0</v>
      </c>
      <c r="EG184" s="58">
        <f>IF(AL184="","",MAX(EG$12:EG183)+1)</f>
        <v>344</v>
      </c>
      <c r="EH184" s="73">
        <f t="shared" si="220"/>
        <v>34</v>
      </c>
      <c r="EI184" s="73">
        <f t="shared" si="258"/>
        <v>1113</v>
      </c>
      <c r="EJ184" s="73">
        <f t="shared" si="221"/>
        <v>3203</v>
      </c>
      <c r="EK184" s="73">
        <f t="shared" si="222"/>
        <v>1</v>
      </c>
      <c r="EL184" s="73">
        <f t="shared" si="259"/>
        <v>0</v>
      </c>
      <c r="EM184" s="73">
        <f t="shared" si="260"/>
        <v>5</v>
      </c>
      <c r="EN184" s="73" t="str">
        <f t="shared" si="223"/>
        <v>0</v>
      </c>
      <c r="EO184" s="73" t="str">
        <f t="shared" si="224"/>
        <v/>
      </c>
      <c r="EP184" s="73" t="str">
        <f t="shared" si="225"/>
        <v/>
      </c>
      <c r="EQ184" s="53" t="str">
        <f t="shared" si="226"/>
        <v/>
      </c>
      <c r="ER184" s="47" t="s">
        <v>0</v>
      </c>
      <c r="ES184" s="19" t="str">
        <f t="shared" si="261"/>
        <v>INSERT INTO rezultat(id,stazakategorija_id,imeprezime_id,vrijeme_sec,status_id,registracija,uparivanje_id,originalstatus_id,imeprezimealias_id,klubalias_id,kategorijaalias_id) VALUES (344,34,1113,3203,1,0,5,0,Null,Null,Null);</v>
      </c>
      <c r="ET184" s="47" t="s">
        <v>0</v>
      </c>
      <c r="EU184" s="19" t="str">
        <f t="shared" si="262"/>
        <v/>
      </c>
      <c r="EV184" s="47" t="s">
        <v>0</v>
      </c>
      <c r="EW184" s="180" t="str">
        <f t="shared" si="227"/>
        <v xml:space="preserve">
INSERT INTO rezultat(id,stazakategorija_id,imeprezime_id,vrijeme_sec,status_id,registracija,uparivanje_id,originalstatus_id,imeprezimealias_id,klubalias_id,kategorijaalias_id) VALUES (344,34,1113,3203,1,0,5,0,Null,Null,Null);</v>
      </c>
      <c r="EX184" s="47" t="s">
        <v>0</v>
      </c>
    </row>
    <row r="185" spans="1:154" x14ac:dyDescent="0.25">
      <c r="A185" t="s">
        <v>0</v>
      </c>
      <c r="B185" s="52" t="str">
        <f>IF(csv!F175="","",csv!T175)</f>
        <v>OPEN</v>
      </c>
      <c r="C185" s="31" t="s">
        <v>0</v>
      </c>
      <c r="D185" s="31" t="str">
        <f>IF(csv!F175="","",csv!F175)</f>
        <v>Ana</v>
      </c>
      <c r="E185" s="31" t="str">
        <f>IF(csv!E175="","",csv!E175)</f>
        <v>Šiprak Stastny</v>
      </c>
      <c r="F185" s="31" t="s">
        <v>0</v>
      </c>
      <c r="G185" s="73" t="str">
        <f>IF(csv!M175="","",csv!M175)</f>
        <v>79:35</v>
      </c>
      <c r="H185" s="73" t="str">
        <f>IF(csv!N175="","",csv!N175)</f>
        <v>0</v>
      </c>
      <c r="I185" s="31" t="s">
        <v>0</v>
      </c>
      <c r="J185" s="31" t="str">
        <f>IF(csv!P175="","",csv!P175)</f>
        <v>KAP</v>
      </c>
      <c r="K185" s="31" t="str">
        <f>IF(csv!Q175="","",csv!Q175)</f>
        <v>OK Kapela</v>
      </c>
      <c r="L185" s="31" t="s">
        <v>0</v>
      </c>
      <c r="M185" s="66" t="str">
        <f>IF(csv!R175="","",csv!R175)</f>
        <v>CRO</v>
      </c>
      <c r="N185" s="47" t="s">
        <v>0</v>
      </c>
      <c r="O185" s="246" t="str">
        <f t="shared" si="228"/>
        <v>ok</v>
      </c>
      <c r="P185" s="47"/>
      <c r="Q185" s="52" t="str">
        <f t="shared" si="229"/>
        <v>OPEN</v>
      </c>
      <c r="R185" s="73">
        <f>IF(Q185="","",IF(COUNTIF(Q$12:Q184,Q185)=0,R184+1,R184))</f>
        <v>12</v>
      </c>
      <c r="S185" s="73">
        <f t="shared" si="230"/>
        <v>291</v>
      </c>
      <c r="T185" s="73">
        <f t="shared" si="193"/>
        <v>29</v>
      </c>
      <c r="U185" s="66" t="str">
        <f t="shared" si="194"/>
        <v>Otvorena</v>
      </c>
      <c r="V185" s="47" t="s">
        <v>0</v>
      </c>
      <c r="W185" s="222" t="str">
        <f t="shared" si="195"/>
        <v>Otvorena</v>
      </c>
      <c r="X185" s="223">
        <f t="shared" si="196"/>
        <v>34</v>
      </c>
      <c r="Y185" s="47" t="s">
        <v>0</v>
      </c>
      <c r="Z185" s="52" t="str">
        <f t="shared" si="231"/>
        <v>CRO</v>
      </c>
      <c r="AA185" s="73">
        <f t="shared" si="197"/>
        <v>1</v>
      </c>
      <c r="AB185" s="31" t="str">
        <f t="shared" si="232"/>
        <v/>
      </c>
      <c r="AC185" s="66" t="str">
        <f>IF(AB185="","",MAX(AC$12:AC184)+1)</f>
        <v/>
      </c>
      <c r="AD185" s="47" t="s">
        <v>0</v>
      </c>
      <c r="AE185" s="125"/>
      <c r="AF185" s="47" t="s">
        <v>0</v>
      </c>
      <c r="AG185" s="19" t="str">
        <f t="shared" si="233"/>
        <v/>
      </c>
      <c r="AH185" s="47" t="s">
        <v>0</v>
      </c>
      <c r="AI185" s="143" t="str">
        <f t="shared" si="234"/>
        <v>CRO</v>
      </c>
      <c r="AJ185" s="47"/>
      <c r="AK185" s="52" t="str">
        <f t="shared" si="235"/>
        <v>Ana</v>
      </c>
      <c r="AL185" s="31" t="str">
        <f t="shared" si="236"/>
        <v>Šiprak Stastny</v>
      </c>
      <c r="AM185" s="73">
        <f t="shared" si="237"/>
        <v>1963</v>
      </c>
      <c r="AN185" s="73" t="str">
        <f t="shared" si="238"/>
        <v/>
      </c>
      <c r="AO185" s="31" t="str">
        <f t="shared" si="198"/>
        <v>Ana</v>
      </c>
      <c r="AP185" s="66" t="str">
        <f t="shared" si="199"/>
        <v>Šiprak Stastny</v>
      </c>
      <c r="AQ185" s="47" t="s">
        <v>0</v>
      </c>
      <c r="AR185" s="82" t="str">
        <f t="shared" si="239"/>
        <v/>
      </c>
      <c r="AS185" s="47" t="s">
        <v>0</v>
      </c>
      <c r="AT185" s="19" t="str">
        <f t="shared" si="240"/>
        <v/>
      </c>
      <c r="AU185" s="47" t="s">
        <v>0</v>
      </c>
      <c r="AV185" s="103"/>
      <c r="AW185" s="105"/>
      <c r="AX185" s="47" t="s">
        <v>0</v>
      </c>
      <c r="AY185" s="259" t="str">
        <f t="shared" si="263"/>
        <v/>
      </c>
      <c r="AZ185" s="47" t="s">
        <v>0</v>
      </c>
      <c r="BA185" s="52" t="str">
        <f t="shared" si="200"/>
        <v/>
      </c>
      <c r="BB185" s="73" t="str">
        <f>IF(AV185&amp;AW185="","",MAX(BB$12:BB184)+1)</f>
        <v/>
      </c>
      <c r="BC185" s="272" t="str">
        <f t="shared" si="201"/>
        <v/>
      </c>
      <c r="BD185" s="53" t="str">
        <f>IF(AND(AM185="NEMA",AN185="NEMA",OR(AV185&amp;AW185="",BC185="NEMA")),MAX(BD$12:BD184)+1,"")</f>
        <v/>
      </c>
      <c r="BE185" s="47" t="s">
        <v>0</v>
      </c>
      <c r="BF185" s="52" t="str">
        <f t="shared" si="241"/>
        <v>Ana</v>
      </c>
      <c r="BG185" s="66" t="str">
        <f t="shared" si="242"/>
        <v>Šiprak Stastny</v>
      </c>
      <c r="BH185" s="47" t="s">
        <v>0</v>
      </c>
      <c r="BI185" s="52" t="str">
        <f t="shared" si="202"/>
        <v>KAP</v>
      </c>
      <c r="BJ185" s="31" t="str">
        <f t="shared" si="203"/>
        <v>OK Kapela</v>
      </c>
      <c r="BK185" s="73" t="str">
        <f t="shared" si="204"/>
        <v/>
      </c>
      <c r="BL185" s="31" t="str" cm="1">
        <f t="array" ref="BL185">IF(BK185="",""&amp;BJ185,IF(BK185="NEMA",BJ185,INDEX(regKlub_naziv,MATCH(INDEX(regKlub_alias_klubId,BK185),regKlub_id,0))))</f>
        <v>OK Kapela</v>
      </c>
      <c r="BM185" s="31" t="str" cm="1">
        <f t="array" ref="BM185">IFERROR(""&amp;INDEX(regNatjecatelj_klub,DV185),"")</f>
        <v>OK Kapela</v>
      </c>
      <c r="BN185" s="88" t="str">
        <f t="shared" si="243"/>
        <v/>
      </c>
      <c r="BO185" s="66" t="str">
        <f t="shared" si="244"/>
        <v>OK Kapela</v>
      </c>
      <c r="BP185" s="47" t="s">
        <v>0</v>
      </c>
      <c r="BQ185" s="52" t="str">
        <f>IF(X185&lt;&gt;"NEMA","",IF(IFERROR(MATCH(W185,W$12:W184,0),0)&lt;&gt;0,"",W185))</f>
        <v/>
      </c>
      <c r="BR185" s="73" t="str">
        <f t="shared" si="245"/>
        <v/>
      </c>
      <c r="BS185" s="31" t="str">
        <f>IF(OR(BR185="",BR185&lt;&gt;"NEMA"),"",MAX(BS$12:BS184)+1)</f>
        <v/>
      </c>
      <c r="BT185" s="66" t="str">
        <f t="shared" si="246"/>
        <v/>
      </c>
      <c r="BU185" s="47" t="s">
        <v>0</v>
      </c>
      <c r="BV185" s="19" t="str">
        <f t="shared" si="247"/>
        <v/>
      </c>
      <c r="BW185" s="47" t="s">
        <v>0</v>
      </c>
      <c r="BX185" s="82" t="str">
        <f>IF(BK185&lt;&gt;"NEMA","",IF(IFERROR(MATCH(BJ185,BJ$12:BJ184,0),0)&lt;&gt;0,"",BJ185))</f>
        <v/>
      </c>
      <c r="BY185" s="47" t="s">
        <v>0</v>
      </c>
      <c r="BZ185" s="125"/>
      <c r="CA185" s="47" t="s">
        <v>0</v>
      </c>
      <c r="CB185" s="58" t="str">
        <f t="shared" si="248"/>
        <v/>
      </c>
      <c r="CC185" s="31" t="str">
        <f t="shared" si="249"/>
        <v/>
      </c>
      <c r="CD185" s="31" t="str">
        <f>IF(CC185="","",MAX(CD$12:CD184)+1)</f>
        <v/>
      </c>
      <c r="CE185" s="31" t="str">
        <f t="shared" si="205"/>
        <v/>
      </c>
      <c r="CF185" s="31" t="str">
        <f t="shared" si="250"/>
        <v/>
      </c>
      <c r="CG185" s="31" t="str">
        <f>IF(BZ185="","",MAX(CG$12:CG184)+1)</f>
        <v/>
      </c>
      <c r="CH185" s="31" t="str">
        <f t="shared" si="251"/>
        <v/>
      </c>
      <c r="CI185" s="66" t="str">
        <f t="shared" si="252"/>
        <v/>
      </c>
      <c r="CJ185" s="47" t="s">
        <v>0</v>
      </c>
      <c r="CK185" s="73" t="str">
        <f t="shared" si="206"/>
        <v/>
      </c>
      <c r="CL185" s="47"/>
      <c r="CM185" s="19" t="str">
        <f t="shared" si="253"/>
        <v/>
      </c>
      <c r="CN185" s="47" t="s">
        <v>0</v>
      </c>
      <c r="CO185" s="143" t="str">
        <f t="shared" si="254"/>
        <v>OK Kapela</v>
      </c>
      <c r="CP185" s="47" t="s">
        <v>0</v>
      </c>
      <c r="CQ185" s="58" t="str">
        <f t="shared" si="270"/>
        <v>79:35</v>
      </c>
      <c r="CR185" s="73" t="str">
        <f t="shared" si="271"/>
        <v>0</v>
      </c>
      <c r="CS185" s="229" t="str">
        <f t="shared" si="207"/>
        <v/>
      </c>
      <c r="CT185" s="230">
        <f t="shared" si="192"/>
        <v>4775</v>
      </c>
      <c r="CU185" s="163">
        <f t="shared" si="208"/>
        <v>1</v>
      </c>
      <c r="CV185" s="47" t="s">
        <v>0</v>
      </c>
      <c r="CW185" s="222" t="str">
        <f t="shared" si="255"/>
        <v xml:space="preserve">
</v>
      </c>
      <c r="CX185" s="223">
        <f t="shared" si="256"/>
        <v>6</v>
      </c>
      <c r="CY185" s="47" t="s">
        <v>0</v>
      </c>
      <c r="CZ185" s="47"/>
      <c r="DA185" s="47"/>
      <c r="DB185" s="47"/>
      <c r="DC185" s="47" t="s">
        <v>0</v>
      </c>
      <c r="DD185" s="53" t="str">
        <f t="shared" si="264"/>
        <v/>
      </c>
      <c r="DE185" t="s">
        <v>0</v>
      </c>
      <c r="DF185" s="128" t="str">
        <f t="shared" si="265"/>
        <v>O</v>
      </c>
      <c r="DG185" t="s">
        <v>0</v>
      </c>
      <c r="DH185" s="52" t="str">
        <f t="shared" si="266"/>
        <v/>
      </c>
      <c r="DI185" s="66" t="str">
        <f t="shared" si="267"/>
        <v/>
      </c>
      <c r="DJ185" t="s">
        <v>0</v>
      </c>
      <c r="DK185" s="19" t="str">
        <f t="shared" si="268"/>
        <v/>
      </c>
      <c r="DL185" s="47" t="s">
        <v>0</v>
      </c>
      <c r="DM185" s="19" t="str">
        <f t="shared" si="269"/>
        <v/>
      </c>
      <c r="DN185" s="47" t="s">
        <v>0</v>
      </c>
      <c r="DO185" s="52" t="str">
        <f t="shared" si="209"/>
        <v>Ana – Šiprak Stastny – OK Kapela – OPEN</v>
      </c>
      <c r="DP185" s="53" t="str">
        <f t="shared" si="210"/>
        <v>NEMA</v>
      </c>
      <c r="DQ185" s="47" t="s">
        <v>0</v>
      </c>
      <c r="DR185" s="52" t="str">
        <f t="shared" si="211"/>
        <v>Ana – Šiprak Stastny – OK Kapela</v>
      </c>
      <c r="DS185" s="53">
        <f t="shared" si="212"/>
        <v>309</v>
      </c>
      <c r="DT185" s="47" t="s">
        <v>0</v>
      </c>
      <c r="DU185" s="52" t="str">
        <f t="shared" si="213"/>
        <v>Ana – Šiprak Stastny</v>
      </c>
      <c r="DV185" s="53">
        <f t="shared" si="214"/>
        <v>309</v>
      </c>
      <c r="DW185" s="47" t="s">
        <v>0</v>
      </c>
      <c r="DX185" s="58">
        <f t="shared" si="257"/>
        <v>309</v>
      </c>
      <c r="DY185" s="53" cm="1">
        <f t="array" ref="DY185">IF(DX185&lt;&gt;"",INDEX(regNatjecatelj_id,DX185,0),IF(BD185&lt;&gt;"",BD185,""))</f>
        <v>1963</v>
      </c>
      <c r="DZ185" s="47" t="s">
        <v>0</v>
      </c>
      <c r="EA185" s="58" t="str">
        <f t="shared" si="215"/>
        <v>imepre</v>
      </c>
      <c r="EB185" s="73" t="str">
        <f t="shared" si="216"/>
        <v>klu</v>
      </c>
      <c r="EC185" s="73" t="str">
        <f t="shared" si="217"/>
        <v>kat</v>
      </c>
      <c r="ED185" s="73" t="str">
        <f t="shared" si="218"/>
        <v/>
      </c>
      <c r="EE185" s="66" t="str">
        <f t="shared" si="219"/>
        <v>imepre-klu-kat</v>
      </c>
      <c r="EF185" s="47" t="s">
        <v>0</v>
      </c>
      <c r="EG185" s="58">
        <f>IF(AL185="","",MAX(EG$12:EG184)+1)</f>
        <v>345</v>
      </c>
      <c r="EH185" s="73">
        <f t="shared" si="220"/>
        <v>34</v>
      </c>
      <c r="EI185" s="73">
        <f t="shared" si="258"/>
        <v>1963</v>
      </c>
      <c r="EJ185" s="73">
        <f t="shared" si="221"/>
        <v>4775</v>
      </c>
      <c r="EK185" s="73">
        <f t="shared" si="222"/>
        <v>1</v>
      </c>
      <c r="EL185" s="73">
        <f t="shared" si="259"/>
        <v>0</v>
      </c>
      <c r="EM185" s="73">
        <f t="shared" si="260"/>
        <v>1</v>
      </c>
      <c r="EN185" s="73" t="str">
        <f t="shared" si="223"/>
        <v>0</v>
      </c>
      <c r="EO185" s="73" t="str">
        <f t="shared" si="224"/>
        <v/>
      </c>
      <c r="EP185" s="73" t="str">
        <f t="shared" si="225"/>
        <v/>
      </c>
      <c r="EQ185" s="53" t="str">
        <f t="shared" si="226"/>
        <v/>
      </c>
      <c r="ER185" s="47" t="s">
        <v>0</v>
      </c>
      <c r="ES185" s="19" t="str">
        <f t="shared" si="261"/>
        <v>INSERT INTO rezultat(id,stazakategorija_id,imeprezime_id,vrijeme_sec,status_id,registracija,uparivanje_id,originalstatus_id,imeprezimealias_id,klubalias_id,kategorijaalias_id) VALUES (345,34,1963,4775,1,0,1,0,Null,Null,Null);</v>
      </c>
      <c r="ET185" s="47" t="s">
        <v>0</v>
      </c>
      <c r="EU185" s="19" t="str">
        <f t="shared" si="262"/>
        <v/>
      </c>
      <c r="EV185" s="47" t="s">
        <v>0</v>
      </c>
      <c r="EW185" s="180" t="str">
        <f t="shared" si="227"/>
        <v xml:space="preserve">
INSERT INTO rezultat(id,stazakategorija_id,imeprezime_id,vrijeme_sec,status_id,registracija,uparivanje_id,originalstatus_id,imeprezimealias_id,klubalias_id,kategorijaalias_id) VALUES (345,34,1963,4775,1,0,1,0,Null,Null,Null);</v>
      </c>
      <c r="EX185" s="47" t="s">
        <v>0</v>
      </c>
    </row>
    <row r="186" spans="1:154" x14ac:dyDescent="0.25">
      <c r="A186" t="s">
        <v>0</v>
      </c>
      <c r="B186" s="52" t="str">
        <f>IF(csv!F176="","",csv!T176)</f>
        <v>OPEN</v>
      </c>
      <c r="C186" s="31" t="s">
        <v>0</v>
      </c>
      <c r="D186" s="31" t="str">
        <f>IF(csv!F176="","",csv!F176)</f>
        <v>Ivana</v>
      </c>
      <c r="E186" s="31" t="str">
        <f>IF(csv!E176="","",csv!E176)</f>
        <v>Žitnik</v>
      </c>
      <c r="F186" s="31" t="s">
        <v>0</v>
      </c>
      <c r="G186" s="73" t="str">
        <f>IF(csv!M176="","",csv!M176)</f>
        <v>80:29</v>
      </c>
      <c r="H186" s="73" t="str">
        <f>IF(csv!N176="","",csv!N176)</f>
        <v>0</v>
      </c>
      <c r="I186" s="31" t="s">
        <v>0</v>
      </c>
      <c r="J186" s="31" t="str">
        <f>IF(csv!P176="","",csv!P176)</f>
        <v>KAP</v>
      </c>
      <c r="K186" s="31" t="str">
        <f>IF(csv!Q176="","",csv!Q176)</f>
        <v>OK Kapela</v>
      </c>
      <c r="L186" s="31" t="s">
        <v>0</v>
      </c>
      <c r="M186" s="66" t="str">
        <f>IF(csv!R176="","",csv!R176)</f>
        <v>CRO</v>
      </c>
      <c r="N186" s="47" t="s">
        <v>0</v>
      </c>
      <c r="O186" s="246" t="str">
        <f t="shared" si="228"/>
        <v>ok</v>
      </c>
      <c r="P186" s="47"/>
      <c r="Q186" s="52" t="str">
        <f t="shared" si="229"/>
        <v>OPEN</v>
      </c>
      <c r="R186" s="73">
        <f>IF(Q186="","",IF(COUNTIF(Q$12:Q185,Q186)=0,R185+1,R185))</f>
        <v>12</v>
      </c>
      <c r="S186" s="73">
        <f t="shared" si="230"/>
        <v>291</v>
      </c>
      <c r="T186" s="73">
        <f t="shared" si="193"/>
        <v>29</v>
      </c>
      <c r="U186" s="66" t="str">
        <f t="shared" si="194"/>
        <v>Otvorena</v>
      </c>
      <c r="V186" s="47" t="s">
        <v>0</v>
      </c>
      <c r="W186" s="222" t="str">
        <f t="shared" si="195"/>
        <v>Otvorena</v>
      </c>
      <c r="X186" s="223">
        <f t="shared" si="196"/>
        <v>34</v>
      </c>
      <c r="Y186" s="47" t="s">
        <v>0</v>
      </c>
      <c r="Z186" s="52" t="str">
        <f t="shared" si="231"/>
        <v>CRO</v>
      </c>
      <c r="AA186" s="73">
        <f t="shared" si="197"/>
        <v>1</v>
      </c>
      <c r="AB186" s="31" t="str">
        <f t="shared" si="232"/>
        <v/>
      </c>
      <c r="AC186" s="66" t="str">
        <f>IF(AB186="","",MAX(AC$12:AC185)+1)</f>
        <v/>
      </c>
      <c r="AD186" s="47" t="s">
        <v>0</v>
      </c>
      <c r="AE186" s="125"/>
      <c r="AF186" s="47" t="s">
        <v>0</v>
      </c>
      <c r="AG186" s="19" t="str">
        <f t="shared" si="233"/>
        <v/>
      </c>
      <c r="AH186" s="47" t="s">
        <v>0</v>
      </c>
      <c r="AI186" s="143" t="str">
        <f t="shared" si="234"/>
        <v>CRO</v>
      </c>
      <c r="AJ186" s="47"/>
      <c r="AK186" s="52" t="str">
        <f t="shared" si="235"/>
        <v>Ivana</v>
      </c>
      <c r="AL186" s="31" t="str">
        <f t="shared" si="236"/>
        <v>Žitnik</v>
      </c>
      <c r="AM186" s="73">
        <f t="shared" si="237"/>
        <v>1950</v>
      </c>
      <c r="AN186" s="73" t="str">
        <f t="shared" si="238"/>
        <v/>
      </c>
      <c r="AO186" s="31" t="str">
        <f t="shared" si="198"/>
        <v>Ivana</v>
      </c>
      <c r="AP186" s="66" t="str">
        <f t="shared" si="199"/>
        <v>Žitnik</v>
      </c>
      <c r="AQ186" s="47" t="s">
        <v>0</v>
      </c>
      <c r="AR186" s="82" t="str">
        <f t="shared" si="239"/>
        <v/>
      </c>
      <c r="AS186" s="47" t="s">
        <v>0</v>
      </c>
      <c r="AT186" s="19" t="str">
        <f t="shared" si="240"/>
        <v/>
      </c>
      <c r="AU186" s="47" t="s">
        <v>0</v>
      </c>
      <c r="AV186" s="103"/>
      <c r="AW186" s="105"/>
      <c r="AX186" s="47" t="s">
        <v>0</v>
      </c>
      <c r="AY186" s="259" t="str">
        <f t="shared" si="263"/>
        <v/>
      </c>
      <c r="AZ186" s="47" t="s">
        <v>0</v>
      </c>
      <c r="BA186" s="52" t="str">
        <f t="shared" si="200"/>
        <v/>
      </c>
      <c r="BB186" s="73" t="str">
        <f>IF(AV186&amp;AW186="","",MAX(BB$12:BB185)+1)</f>
        <v/>
      </c>
      <c r="BC186" s="272" t="str">
        <f t="shared" si="201"/>
        <v/>
      </c>
      <c r="BD186" s="53" t="str">
        <f>IF(AND(AM186="NEMA",AN186="NEMA",OR(AV186&amp;AW186="",BC186="NEMA")),MAX(BD$12:BD185)+1,"")</f>
        <v/>
      </c>
      <c r="BE186" s="47" t="s">
        <v>0</v>
      </c>
      <c r="BF186" s="52" t="str">
        <f t="shared" si="241"/>
        <v>Ivana</v>
      </c>
      <c r="BG186" s="66" t="str">
        <f t="shared" si="242"/>
        <v>Žitnik</v>
      </c>
      <c r="BH186" s="47" t="s">
        <v>0</v>
      </c>
      <c r="BI186" s="52" t="str">
        <f t="shared" si="202"/>
        <v>KAP</v>
      </c>
      <c r="BJ186" s="31" t="str">
        <f t="shared" si="203"/>
        <v>OK Kapela</v>
      </c>
      <c r="BK186" s="73" t="str">
        <f t="shared" si="204"/>
        <v/>
      </c>
      <c r="BL186" s="31" t="str" cm="1">
        <f t="array" ref="BL186">IF(BK186="",""&amp;BJ186,IF(BK186="NEMA",BJ186,INDEX(regKlub_naziv,MATCH(INDEX(regKlub_alias_klubId,BK186),regKlub_id,0))))</f>
        <v>OK Kapela</v>
      </c>
      <c r="BM186" s="31" t="str" cm="1">
        <f t="array" ref="BM186">IFERROR(""&amp;INDEX(regNatjecatelj_klub,DV186),"")</f>
        <v>OK Kapela</v>
      </c>
      <c r="BN186" s="88" t="str">
        <f t="shared" si="243"/>
        <v/>
      </c>
      <c r="BO186" s="66" t="str">
        <f t="shared" si="244"/>
        <v>OK Kapela</v>
      </c>
      <c r="BP186" s="47" t="s">
        <v>0</v>
      </c>
      <c r="BQ186" s="52" t="str">
        <f>IF(X186&lt;&gt;"NEMA","",IF(IFERROR(MATCH(W186,W$12:W185,0),0)&lt;&gt;0,"",W186))</f>
        <v/>
      </c>
      <c r="BR186" s="73" t="str">
        <f t="shared" si="245"/>
        <v/>
      </c>
      <c r="BS186" s="31" t="str">
        <f>IF(OR(BR186="",BR186&lt;&gt;"NEMA"),"",MAX(BS$12:BS185)+1)</f>
        <v/>
      </c>
      <c r="BT186" s="66" t="str">
        <f t="shared" si="246"/>
        <v/>
      </c>
      <c r="BU186" s="47" t="s">
        <v>0</v>
      </c>
      <c r="BV186" s="19" t="str">
        <f t="shared" si="247"/>
        <v/>
      </c>
      <c r="BW186" s="47" t="s">
        <v>0</v>
      </c>
      <c r="BX186" s="82" t="str">
        <f>IF(BK186&lt;&gt;"NEMA","",IF(IFERROR(MATCH(BJ186,BJ$12:BJ185,0),0)&lt;&gt;0,"",BJ186))</f>
        <v/>
      </c>
      <c r="BY186" s="47" t="s">
        <v>0</v>
      </c>
      <c r="BZ186" s="125"/>
      <c r="CA186" s="47" t="s">
        <v>0</v>
      </c>
      <c r="CB186" s="58" t="str">
        <f t="shared" si="248"/>
        <v/>
      </c>
      <c r="CC186" s="31" t="str">
        <f t="shared" si="249"/>
        <v/>
      </c>
      <c r="CD186" s="31" t="str">
        <f>IF(CC186="","",MAX(CD$12:CD185)+1)</f>
        <v/>
      </c>
      <c r="CE186" s="31" t="str">
        <f t="shared" si="205"/>
        <v/>
      </c>
      <c r="CF186" s="31" t="str">
        <f t="shared" si="250"/>
        <v/>
      </c>
      <c r="CG186" s="31" t="str">
        <f>IF(BZ186="","",MAX(CG$12:CG185)+1)</f>
        <v/>
      </c>
      <c r="CH186" s="31" t="str">
        <f t="shared" si="251"/>
        <v/>
      </c>
      <c r="CI186" s="66" t="str">
        <f t="shared" si="252"/>
        <v/>
      </c>
      <c r="CJ186" s="47" t="s">
        <v>0</v>
      </c>
      <c r="CK186" s="73" t="str">
        <f t="shared" si="206"/>
        <v/>
      </c>
      <c r="CL186" s="47"/>
      <c r="CM186" s="19" t="str">
        <f t="shared" si="253"/>
        <v/>
      </c>
      <c r="CN186" s="47" t="s">
        <v>0</v>
      </c>
      <c r="CO186" s="143" t="str">
        <f t="shared" si="254"/>
        <v>OK Kapela</v>
      </c>
      <c r="CP186" s="47" t="s">
        <v>0</v>
      </c>
      <c r="CQ186" s="58" t="str">
        <f t="shared" si="270"/>
        <v>80:29</v>
      </c>
      <c r="CR186" s="73" t="str">
        <f t="shared" si="271"/>
        <v>0</v>
      </c>
      <c r="CS186" s="229" t="str">
        <f t="shared" si="207"/>
        <v/>
      </c>
      <c r="CT186" s="230">
        <f t="shared" si="192"/>
        <v>4829</v>
      </c>
      <c r="CU186" s="163">
        <f t="shared" si="208"/>
        <v>1</v>
      </c>
      <c r="CV186" s="47" t="s">
        <v>0</v>
      </c>
      <c r="CW186" s="222" t="str">
        <f t="shared" si="255"/>
        <v xml:space="preserve">
</v>
      </c>
      <c r="CX186" s="223">
        <f t="shared" si="256"/>
        <v>6</v>
      </c>
      <c r="CY186" s="47" t="s">
        <v>0</v>
      </c>
      <c r="CZ186" s="47"/>
      <c r="DA186" s="47"/>
      <c r="DB186" s="47"/>
      <c r="DC186" s="47" t="s">
        <v>0</v>
      </c>
      <c r="DD186" s="53" t="str">
        <f t="shared" si="264"/>
        <v/>
      </c>
      <c r="DE186" t="s">
        <v>0</v>
      </c>
      <c r="DF186" s="128" t="str">
        <f t="shared" si="265"/>
        <v>O</v>
      </c>
      <c r="DG186" t="s">
        <v>0</v>
      </c>
      <c r="DH186" s="52" t="str">
        <f t="shared" si="266"/>
        <v/>
      </c>
      <c r="DI186" s="66" t="str">
        <f t="shared" si="267"/>
        <v/>
      </c>
      <c r="DJ186" t="s">
        <v>0</v>
      </c>
      <c r="DK186" s="19" t="str">
        <f t="shared" si="268"/>
        <v/>
      </c>
      <c r="DL186" s="47" t="s">
        <v>0</v>
      </c>
      <c r="DM186" s="19" t="str">
        <f t="shared" si="269"/>
        <v/>
      </c>
      <c r="DN186" s="47" t="s">
        <v>0</v>
      </c>
      <c r="DO186" s="52" t="str">
        <f t="shared" si="209"/>
        <v>Ivana – Žitnik – OK Kapela – OPEN</v>
      </c>
      <c r="DP186" s="53" t="str">
        <f t="shared" si="210"/>
        <v>NEMA</v>
      </c>
      <c r="DQ186" s="47" t="s">
        <v>0</v>
      </c>
      <c r="DR186" s="52" t="str">
        <f t="shared" si="211"/>
        <v>Ivana – Žitnik – OK Kapela</v>
      </c>
      <c r="DS186" s="53">
        <f t="shared" si="212"/>
        <v>337</v>
      </c>
      <c r="DT186" s="47" t="s">
        <v>0</v>
      </c>
      <c r="DU186" s="52" t="str">
        <f t="shared" si="213"/>
        <v>Ivana – Žitnik</v>
      </c>
      <c r="DV186" s="53">
        <f t="shared" si="214"/>
        <v>337</v>
      </c>
      <c r="DW186" s="47" t="s">
        <v>0</v>
      </c>
      <c r="DX186" s="58">
        <f t="shared" si="257"/>
        <v>337</v>
      </c>
      <c r="DY186" s="53" cm="1">
        <f t="array" ref="DY186">IF(DX186&lt;&gt;"",INDEX(regNatjecatelj_id,DX186,0),IF(BD186&lt;&gt;"",BD186,""))</f>
        <v>1950</v>
      </c>
      <c r="DZ186" s="47" t="s">
        <v>0</v>
      </c>
      <c r="EA186" s="58" t="str">
        <f t="shared" si="215"/>
        <v>imepre</v>
      </c>
      <c r="EB186" s="73" t="str">
        <f t="shared" si="216"/>
        <v>klu</v>
      </c>
      <c r="EC186" s="73" t="str">
        <f t="shared" si="217"/>
        <v>kat</v>
      </c>
      <c r="ED186" s="73" t="str">
        <f t="shared" si="218"/>
        <v/>
      </c>
      <c r="EE186" s="66" t="str">
        <f t="shared" si="219"/>
        <v>imepre-klu-kat</v>
      </c>
      <c r="EF186" s="47" t="s">
        <v>0</v>
      </c>
      <c r="EG186" s="58">
        <f>IF(AL186="","",MAX(EG$12:EG185)+1)</f>
        <v>346</v>
      </c>
      <c r="EH186" s="73">
        <f t="shared" si="220"/>
        <v>34</v>
      </c>
      <c r="EI186" s="73">
        <f t="shared" si="258"/>
        <v>1950</v>
      </c>
      <c r="EJ186" s="73">
        <f t="shared" si="221"/>
        <v>4829</v>
      </c>
      <c r="EK186" s="73">
        <f t="shared" si="222"/>
        <v>1</v>
      </c>
      <c r="EL186" s="73">
        <f t="shared" si="259"/>
        <v>0</v>
      </c>
      <c r="EM186" s="73">
        <f t="shared" si="260"/>
        <v>1</v>
      </c>
      <c r="EN186" s="73" t="str">
        <f t="shared" si="223"/>
        <v>0</v>
      </c>
      <c r="EO186" s="73" t="str">
        <f t="shared" si="224"/>
        <v/>
      </c>
      <c r="EP186" s="73" t="str">
        <f t="shared" si="225"/>
        <v/>
      </c>
      <c r="EQ186" s="53" t="str">
        <f t="shared" si="226"/>
        <v/>
      </c>
      <c r="ER186" s="47" t="s">
        <v>0</v>
      </c>
      <c r="ES186" s="19" t="str">
        <f t="shared" si="261"/>
        <v>INSERT INTO rezultat(id,stazakategorija_id,imeprezime_id,vrijeme_sec,status_id,registracija,uparivanje_id,originalstatus_id,imeprezimealias_id,klubalias_id,kategorijaalias_id) VALUES (346,34,1950,4829,1,0,1,0,Null,Null,Null);</v>
      </c>
      <c r="ET186" s="47" t="s">
        <v>0</v>
      </c>
      <c r="EU186" s="19" t="str">
        <f t="shared" si="262"/>
        <v/>
      </c>
      <c r="EV186" s="47" t="s">
        <v>0</v>
      </c>
      <c r="EW186" s="180" t="str">
        <f t="shared" si="227"/>
        <v xml:space="preserve">
INSERT INTO rezultat(id,stazakategorija_id,imeprezime_id,vrijeme_sec,status_id,registracija,uparivanje_id,originalstatus_id,imeprezimealias_id,klubalias_id,kategorijaalias_id) VALUES (346,34,1950,4829,1,0,1,0,Null,Null,Null);</v>
      </c>
      <c r="EX186" s="47" t="s">
        <v>0</v>
      </c>
    </row>
    <row r="187" spans="1:154" x14ac:dyDescent="0.25">
      <c r="A187" t="s">
        <v>0</v>
      </c>
      <c r="B187" s="52" t="str">
        <f>IF(csv!F177="","",csv!T177)</f>
        <v>OPEN</v>
      </c>
      <c r="C187" s="31" t="s">
        <v>0</v>
      </c>
      <c r="D187" s="31" t="str">
        <f>IF(csv!F177="","",csv!F177)</f>
        <v>Dario</v>
      </c>
      <c r="E187" s="31" t="str">
        <f>IF(csv!E177="","",csv!E177)</f>
        <v>Šimatić</v>
      </c>
      <c r="F187" s="31" t="s">
        <v>0</v>
      </c>
      <c r="G187" s="73" t="str">
        <f>IF(csv!M177="","",csv!M177)</f>
        <v>84:10</v>
      </c>
      <c r="H187" s="73" t="str">
        <f>IF(csv!N177="","",csv!N177)</f>
        <v>0</v>
      </c>
      <c r="I187" s="31" t="s">
        <v>0</v>
      </c>
      <c r="J187" s="31" t="str">
        <f>IF(csv!P177="","",csv!P177)</f>
        <v>Maksimir</v>
      </c>
      <c r="K187" s="31" t="str">
        <f>IF(csv!Q177="","",csv!Q177)</f>
        <v>OK Maksimir</v>
      </c>
      <c r="L187" s="31" t="s">
        <v>0</v>
      </c>
      <c r="M187" s="66" t="str">
        <f>IF(csv!R177="","",csv!R177)</f>
        <v>CRO</v>
      </c>
      <c r="N187" s="47" t="s">
        <v>0</v>
      </c>
      <c r="O187" s="246" t="str">
        <f t="shared" si="228"/>
        <v>ok</v>
      </c>
      <c r="P187" s="47"/>
      <c r="Q187" s="52" t="str">
        <f t="shared" si="229"/>
        <v>OPEN</v>
      </c>
      <c r="R187" s="73">
        <f>IF(Q187="","",IF(COUNTIF(Q$12:Q186,Q187)=0,R186+1,R186))</f>
        <v>12</v>
      </c>
      <c r="S187" s="73">
        <f t="shared" si="230"/>
        <v>291</v>
      </c>
      <c r="T187" s="73">
        <f t="shared" si="193"/>
        <v>29</v>
      </c>
      <c r="U187" s="66" t="str">
        <f t="shared" si="194"/>
        <v>Otvorena</v>
      </c>
      <c r="V187" s="47" t="s">
        <v>0</v>
      </c>
      <c r="W187" s="222" t="str">
        <f t="shared" si="195"/>
        <v>Otvorena</v>
      </c>
      <c r="X187" s="223">
        <f t="shared" si="196"/>
        <v>34</v>
      </c>
      <c r="Y187" s="47" t="s">
        <v>0</v>
      </c>
      <c r="Z187" s="52" t="str">
        <f t="shared" si="231"/>
        <v>CRO</v>
      </c>
      <c r="AA187" s="73">
        <f t="shared" si="197"/>
        <v>1</v>
      </c>
      <c r="AB187" s="31" t="str">
        <f t="shared" si="232"/>
        <v/>
      </c>
      <c r="AC187" s="66" t="str">
        <f>IF(AB187="","",MAX(AC$12:AC186)+1)</f>
        <v/>
      </c>
      <c r="AD187" s="47" t="s">
        <v>0</v>
      </c>
      <c r="AE187" s="125"/>
      <c r="AF187" s="47" t="s">
        <v>0</v>
      </c>
      <c r="AG187" s="19" t="str">
        <f t="shared" si="233"/>
        <v/>
      </c>
      <c r="AH187" s="47" t="s">
        <v>0</v>
      </c>
      <c r="AI187" s="143" t="str">
        <f t="shared" si="234"/>
        <v>CRO</v>
      </c>
      <c r="AJ187" s="47"/>
      <c r="AK187" s="52" t="str">
        <f t="shared" si="235"/>
        <v>Dario</v>
      </c>
      <c r="AL187" s="31" t="str">
        <f t="shared" si="236"/>
        <v>Šimatić</v>
      </c>
      <c r="AM187" s="73">
        <f t="shared" si="237"/>
        <v>1937</v>
      </c>
      <c r="AN187" s="73" t="str">
        <f t="shared" si="238"/>
        <v/>
      </c>
      <c r="AO187" s="31" t="str">
        <f t="shared" si="198"/>
        <v>Dario</v>
      </c>
      <c r="AP187" s="66" t="str">
        <f t="shared" si="199"/>
        <v>Šimatić</v>
      </c>
      <c r="AQ187" s="47" t="s">
        <v>0</v>
      </c>
      <c r="AR187" s="82" t="str">
        <f t="shared" si="239"/>
        <v/>
      </c>
      <c r="AS187" s="47" t="s">
        <v>0</v>
      </c>
      <c r="AT187" s="19" t="str">
        <f t="shared" si="240"/>
        <v/>
      </c>
      <c r="AU187" s="47" t="s">
        <v>0</v>
      </c>
      <c r="AV187" s="103"/>
      <c r="AW187" s="105"/>
      <c r="AX187" s="47" t="s">
        <v>0</v>
      </c>
      <c r="AY187" s="259" t="str">
        <f t="shared" si="263"/>
        <v/>
      </c>
      <c r="AZ187" s="47" t="s">
        <v>0</v>
      </c>
      <c r="BA187" s="52" t="str">
        <f t="shared" si="200"/>
        <v/>
      </c>
      <c r="BB187" s="73" t="str">
        <f>IF(AV187&amp;AW187="","",MAX(BB$12:BB186)+1)</f>
        <v/>
      </c>
      <c r="BC187" s="272" t="str">
        <f t="shared" si="201"/>
        <v/>
      </c>
      <c r="BD187" s="53" t="str">
        <f>IF(AND(AM187="NEMA",AN187="NEMA",OR(AV187&amp;AW187="",BC187="NEMA")),MAX(BD$12:BD186)+1,"")</f>
        <v/>
      </c>
      <c r="BE187" s="47" t="s">
        <v>0</v>
      </c>
      <c r="BF187" s="52" t="str">
        <f t="shared" si="241"/>
        <v>Dario</v>
      </c>
      <c r="BG187" s="66" t="str">
        <f t="shared" si="242"/>
        <v>Šimatić</v>
      </c>
      <c r="BH187" s="47" t="s">
        <v>0</v>
      </c>
      <c r="BI187" s="52" t="str">
        <f t="shared" si="202"/>
        <v>Maksimir</v>
      </c>
      <c r="BJ187" s="31" t="str">
        <f t="shared" si="203"/>
        <v>OK Maksimir</v>
      </c>
      <c r="BK187" s="73" t="str">
        <f t="shared" si="204"/>
        <v/>
      </c>
      <c r="BL187" s="31" t="str" cm="1">
        <f t="array" ref="BL187">IF(BK187="",""&amp;BJ187,IF(BK187="NEMA",BJ187,INDEX(regKlub_naziv,MATCH(INDEX(regKlub_alias_klubId,BK187),regKlub_id,0))))</f>
        <v>OK Maksimir</v>
      </c>
      <c r="BM187" s="31" t="str" cm="1">
        <f t="array" ref="BM187">IFERROR(""&amp;INDEX(regNatjecatelj_klub,DV187),"")</f>
        <v>OK Maksimir</v>
      </c>
      <c r="BN187" s="88" t="str">
        <f t="shared" si="243"/>
        <v/>
      </c>
      <c r="BO187" s="66" t="str">
        <f t="shared" si="244"/>
        <v>OK Maksimir</v>
      </c>
      <c r="BP187" s="47" t="s">
        <v>0</v>
      </c>
      <c r="BQ187" s="52" t="str">
        <f>IF(X187&lt;&gt;"NEMA","",IF(IFERROR(MATCH(W187,W$12:W186,0),0)&lt;&gt;0,"",W187))</f>
        <v/>
      </c>
      <c r="BR187" s="73" t="str">
        <f t="shared" si="245"/>
        <v/>
      </c>
      <c r="BS187" s="31" t="str">
        <f>IF(OR(BR187="",BR187&lt;&gt;"NEMA"),"",MAX(BS$12:BS186)+1)</f>
        <v/>
      </c>
      <c r="BT187" s="66" t="str">
        <f t="shared" si="246"/>
        <v/>
      </c>
      <c r="BU187" s="47" t="s">
        <v>0</v>
      </c>
      <c r="BV187" s="19" t="str">
        <f t="shared" si="247"/>
        <v/>
      </c>
      <c r="BW187" s="47" t="s">
        <v>0</v>
      </c>
      <c r="BX187" s="82" t="str">
        <f>IF(BK187&lt;&gt;"NEMA","",IF(IFERROR(MATCH(BJ187,BJ$12:BJ186,0),0)&lt;&gt;0,"",BJ187))</f>
        <v/>
      </c>
      <c r="BY187" s="47" t="s">
        <v>0</v>
      </c>
      <c r="BZ187" s="125"/>
      <c r="CA187" s="47" t="s">
        <v>0</v>
      </c>
      <c r="CB187" s="58" t="str">
        <f t="shared" si="248"/>
        <v/>
      </c>
      <c r="CC187" s="31" t="str">
        <f t="shared" si="249"/>
        <v/>
      </c>
      <c r="CD187" s="31" t="str">
        <f>IF(CC187="","",MAX(CD$12:CD186)+1)</f>
        <v/>
      </c>
      <c r="CE187" s="31" t="str">
        <f t="shared" si="205"/>
        <v/>
      </c>
      <c r="CF187" s="31" t="str">
        <f t="shared" si="250"/>
        <v/>
      </c>
      <c r="CG187" s="31" t="str">
        <f>IF(BZ187="","",MAX(CG$12:CG186)+1)</f>
        <v/>
      </c>
      <c r="CH187" s="31" t="str">
        <f t="shared" si="251"/>
        <v/>
      </c>
      <c r="CI187" s="66" t="str">
        <f t="shared" si="252"/>
        <v/>
      </c>
      <c r="CJ187" s="47" t="s">
        <v>0</v>
      </c>
      <c r="CK187" s="73" t="str">
        <f t="shared" si="206"/>
        <v/>
      </c>
      <c r="CL187" s="47"/>
      <c r="CM187" s="19" t="str">
        <f t="shared" si="253"/>
        <v/>
      </c>
      <c r="CN187" s="47" t="s">
        <v>0</v>
      </c>
      <c r="CO187" s="143" t="str">
        <f t="shared" si="254"/>
        <v>OK Maksimir</v>
      </c>
      <c r="CP187" s="47" t="s">
        <v>0</v>
      </c>
      <c r="CQ187" s="58" t="str">
        <f t="shared" si="270"/>
        <v>84:10</v>
      </c>
      <c r="CR187" s="73" t="str">
        <f t="shared" si="271"/>
        <v>0</v>
      </c>
      <c r="CS187" s="229" t="str">
        <f t="shared" si="207"/>
        <v/>
      </c>
      <c r="CT187" s="230">
        <f t="shared" si="192"/>
        <v>5050</v>
      </c>
      <c r="CU187" s="163">
        <f t="shared" si="208"/>
        <v>1</v>
      </c>
      <c r="CV187" s="47" t="s">
        <v>0</v>
      </c>
      <c r="CW187" s="222" t="str">
        <f t="shared" si="255"/>
        <v xml:space="preserve">
</v>
      </c>
      <c r="CX187" s="223">
        <f t="shared" si="256"/>
        <v>6</v>
      </c>
      <c r="CY187" s="47" t="s">
        <v>0</v>
      </c>
      <c r="CZ187" s="47"/>
      <c r="DA187" s="47"/>
      <c r="DB187" s="47"/>
      <c r="DC187" s="47" t="s">
        <v>0</v>
      </c>
      <c r="DD187" s="53" t="str">
        <f t="shared" si="264"/>
        <v/>
      </c>
      <c r="DE187" t="s">
        <v>0</v>
      </c>
      <c r="DF187" s="128" t="str">
        <f t="shared" si="265"/>
        <v>O</v>
      </c>
      <c r="DG187" t="s">
        <v>0</v>
      </c>
      <c r="DH187" s="52" t="str">
        <f t="shared" si="266"/>
        <v/>
      </c>
      <c r="DI187" s="66" t="str">
        <f t="shared" si="267"/>
        <v/>
      </c>
      <c r="DJ187" t="s">
        <v>0</v>
      </c>
      <c r="DK187" s="19" t="str">
        <f t="shared" si="268"/>
        <v/>
      </c>
      <c r="DL187" s="47" t="s">
        <v>0</v>
      </c>
      <c r="DM187" s="19" t="str">
        <f t="shared" si="269"/>
        <v/>
      </c>
      <c r="DN187" s="47" t="s">
        <v>0</v>
      </c>
      <c r="DO187" s="52" t="str">
        <f t="shared" si="209"/>
        <v>Dario – Šimatić – OK Maksimir – OPEN</v>
      </c>
      <c r="DP187" s="53" t="str">
        <f t="shared" si="210"/>
        <v>NEMA</v>
      </c>
      <c r="DQ187" s="47" t="s">
        <v>0</v>
      </c>
      <c r="DR187" s="52" t="str">
        <f t="shared" si="211"/>
        <v>Dario – Šimatić – OK Maksimir</v>
      </c>
      <c r="DS187" s="53">
        <f t="shared" si="212"/>
        <v>378</v>
      </c>
      <c r="DT187" s="47" t="s">
        <v>0</v>
      </c>
      <c r="DU187" s="52" t="str">
        <f t="shared" si="213"/>
        <v>Dario – Šimatić</v>
      </c>
      <c r="DV187" s="53">
        <f t="shared" si="214"/>
        <v>378</v>
      </c>
      <c r="DW187" s="47" t="s">
        <v>0</v>
      </c>
      <c r="DX187" s="58">
        <f t="shared" si="257"/>
        <v>378</v>
      </c>
      <c r="DY187" s="53" cm="1">
        <f t="array" ref="DY187">IF(DX187&lt;&gt;"",INDEX(regNatjecatelj_id,DX187,0),IF(BD187&lt;&gt;"",BD187,""))</f>
        <v>1937</v>
      </c>
      <c r="DZ187" s="47" t="s">
        <v>0</v>
      </c>
      <c r="EA187" s="58" t="str">
        <f t="shared" si="215"/>
        <v>imepre</v>
      </c>
      <c r="EB187" s="73" t="str">
        <f t="shared" si="216"/>
        <v>klu</v>
      </c>
      <c r="EC187" s="73" t="str">
        <f t="shared" si="217"/>
        <v>kat</v>
      </c>
      <c r="ED187" s="73" t="str">
        <f t="shared" si="218"/>
        <v/>
      </c>
      <c r="EE187" s="66" t="str">
        <f t="shared" si="219"/>
        <v>imepre-klu-kat</v>
      </c>
      <c r="EF187" s="47" t="s">
        <v>0</v>
      </c>
      <c r="EG187" s="58">
        <f>IF(AL187="","",MAX(EG$12:EG186)+1)</f>
        <v>347</v>
      </c>
      <c r="EH187" s="73">
        <f t="shared" si="220"/>
        <v>34</v>
      </c>
      <c r="EI187" s="73">
        <f t="shared" si="258"/>
        <v>1937</v>
      </c>
      <c r="EJ187" s="73">
        <f t="shared" si="221"/>
        <v>5050</v>
      </c>
      <c r="EK187" s="73">
        <f t="shared" si="222"/>
        <v>1</v>
      </c>
      <c r="EL187" s="73">
        <f t="shared" si="259"/>
        <v>0</v>
      </c>
      <c r="EM187" s="73">
        <f t="shared" si="260"/>
        <v>1</v>
      </c>
      <c r="EN187" s="73" t="str">
        <f t="shared" si="223"/>
        <v>0</v>
      </c>
      <c r="EO187" s="73" t="str">
        <f t="shared" si="224"/>
        <v/>
      </c>
      <c r="EP187" s="73" t="str">
        <f t="shared" si="225"/>
        <v/>
      </c>
      <c r="EQ187" s="53" t="str">
        <f t="shared" si="226"/>
        <v/>
      </c>
      <c r="ER187" s="47" t="s">
        <v>0</v>
      </c>
      <c r="ES187" s="19" t="str">
        <f t="shared" si="261"/>
        <v>INSERT INTO rezultat(id,stazakategorija_id,imeprezime_id,vrijeme_sec,status_id,registracija,uparivanje_id,originalstatus_id,imeprezimealias_id,klubalias_id,kategorijaalias_id) VALUES (347,34,1937,5050,1,0,1,0,Null,Null,Null);</v>
      </c>
      <c r="ET187" s="47" t="s">
        <v>0</v>
      </c>
      <c r="EU187" s="19" t="str">
        <f t="shared" si="262"/>
        <v/>
      </c>
      <c r="EV187" s="47" t="s">
        <v>0</v>
      </c>
      <c r="EW187" s="180" t="str">
        <f t="shared" si="227"/>
        <v xml:space="preserve">
INSERT INTO rezultat(id,stazakategorija_id,imeprezime_id,vrijeme_sec,status_id,registracija,uparivanje_id,originalstatus_id,imeprezimealias_id,klubalias_id,kategorijaalias_id) VALUES (347,34,1937,5050,1,0,1,0,Null,Null,Null);</v>
      </c>
      <c r="EX187" s="47" t="s">
        <v>0</v>
      </c>
    </row>
    <row r="188" spans="1:154" x14ac:dyDescent="0.25">
      <c r="A188" t="s">
        <v>0</v>
      </c>
      <c r="B188" s="52" t="str">
        <f>IF(csv!F178="","",csv!T178)</f>
        <v>OPEN</v>
      </c>
      <c r="C188" s="31" t="s">
        <v>0</v>
      </c>
      <c r="D188" s="31" t="str">
        <f>IF(csv!F178="","",csv!F178)</f>
        <v>Karmela</v>
      </c>
      <c r="E188" s="31" t="str">
        <f>IF(csv!E178="","",csv!E178)</f>
        <v>Crvenković</v>
      </c>
      <c r="F188" s="31" t="s">
        <v>0</v>
      </c>
      <c r="G188" s="73" t="str">
        <f>IF(csv!M178="","",csv!M178)</f>
        <v>85:29</v>
      </c>
      <c r="H188" s="73" t="str">
        <f>IF(csv!N178="","",csv!N178)</f>
        <v>0</v>
      </c>
      <c r="I188" s="31" t="s">
        <v>0</v>
      </c>
      <c r="J188" s="31" t="str">
        <f>IF(csv!P178="","",csv!P178)</f>
        <v>KAP</v>
      </c>
      <c r="K188" s="31" t="str">
        <f>IF(csv!Q178="","",csv!Q178)</f>
        <v>OK Kapela</v>
      </c>
      <c r="L188" s="31" t="s">
        <v>0</v>
      </c>
      <c r="M188" s="66" t="str">
        <f>IF(csv!R178="","",csv!R178)</f>
        <v>CRO</v>
      </c>
      <c r="N188" s="47" t="s">
        <v>0</v>
      </c>
      <c r="O188" s="246" t="str">
        <f t="shared" si="228"/>
        <v>ok</v>
      </c>
      <c r="P188" s="47"/>
      <c r="Q188" s="52" t="str">
        <f t="shared" si="229"/>
        <v>OPEN</v>
      </c>
      <c r="R188" s="73">
        <f>IF(Q188="","",IF(COUNTIF(Q$12:Q187,Q188)=0,R187+1,R187))</f>
        <v>12</v>
      </c>
      <c r="S188" s="73">
        <f t="shared" si="230"/>
        <v>291</v>
      </c>
      <c r="T188" s="73">
        <f t="shared" si="193"/>
        <v>29</v>
      </c>
      <c r="U188" s="66" t="str">
        <f t="shared" si="194"/>
        <v>Otvorena</v>
      </c>
      <c r="V188" s="47" t="s">
        <v>0</v>
      </c>
      <c r="W188" s="222" t="str">
        <f t="shared" si="195"/>
        <v>Otvorena</v>
      </c>
      <c r="X188" s="223">
        <f t="shared" si="196"/>
        <v>34</v>
      </c>
      <c r="Y188" s="47" t="s">
        <v>0</v>
      </c>
      <c r="Z188" s="52" t="str">
        <f t="shared" si="231"/>
        <v>CRO</v>
      </c>
      <c r="AA188" s="73">
        <f t="shared" si="197"/>
        <v>1</v>
      </c>
      <c r="AB188" s="31" t="str">
        <f t="shared" si="232"/>
        <v/>
      </c>
      <c r="AC188" s="66" t="str">
        <f>IF(AB188="","",MAX(AC$12:AC187)+1)</f>
        <v/>
      </c>
      <c r="AD188" s="47" t="s">
        <v>0</v>
      </c>
      <c r="AE188" s="125"/>
      <c r="AF188" s="47" t="s">
        <v>0</v>
      </c>
      <c r="AG188" s="19" t="str">
        <f t="shared" si="233"/>
        <v/>
      </c>
      <c r="AH188" s="47" t="s">
        <v>0</v>
      </c>
      <c r="AI188" s="143" t="str">
        <f t="shared" si="234"/>
        <v>CRO</v>
      </c>
      <c r="AJ188" s="47"/>
      <c r="AK188" s="52" t="str">
        <f t="shared" si="235"/>
        <v>Karmela</v>
      </c>
      <c r="AL188" s="31" t="str">
        <f t="shared" si="236"/>
        <v>Crvenković</v>
      </c>
      <c r="AM188" s="73">
        <f t="shared" si="237"/>
        <v>1870</v>
      </c>
      <c r="AN188" s="73" t="str">
        <f t="shared" si="238"/>
        <v/>
      </c>
      <c r="AO188" s="31" t="str">
        <f t="shared" si="198"/>
        <v>Karmela</v>
      </c>
      <c r="AP188" s="66" t="str">
        <f t="shared" si="199"/>
        <v>Crvenković</v>
      </c>
      <c r="AQ188" s="47" t="s">
        <v>0</v>
      </c>
      <c r="AR188" s="82" t="str">
        <f t="shared" si="239"/>
        <v/>
      </c>
      <c r="AS188" s="47" t="s">
        <v>0</v>
      </c>
      <c r="AT188" s="19" t="str">
        <f t="shared" si="240"/>
        <v/>
      </c>
      <c r="AU188" s="47" t="s">
        <v>0</v>
      </c>
      <c r="AV188" s="103"/>
      <c r="AW188" s="105"/>
      <c r="AX188" s="47" t="s">
        <v>0</v>
      </c>
      <c r="AY188" s="259" t="str">
        <f t="shared" si="263"/>
        <v/>
      </c>
      <c r="AZ188" s="47" t="s">
        <v>0</v>
      </c>
      <c r="BA188" s="52" t="str">
        <f t="shared" si="200"/>
        <v/>
      </c>
      <c r="BB188" s="73" t="str">
        <f>IF(AV188&amp;AW188="","",MAX(BB$12:BB187)+1)</f>
        <v/>
      </c>
      <c r="BC188" s="272" t="str">
        <f t="shared" si="201"/>
        <v/>
      </c>
      <c r="BD188" s="53" t="str">
        <f>IF(AND(AM188="NEMA",AN188="NEMA",OR(AV188&amp;AW188="",BC188="NEMA")),MAX(BD$12:BD187)+1,"")</f>
        <v/>
      </c>
      <c r="BE188" s="47" t="s">
        <v>0</v>
      </c>
      <c r="BF188" s="52" t="str">
        <f t="shared" si="241"/>
        <v>Karmela</v>
      </c>
      <c r="BG188" s="66" t="str">
        <f t="shared" si="242"/>
        <v>Crvenković</v>
      </c>
      <c r="BH188" s="47" t="s">
        <v>0</v>
      </c>
      <c r="BI188" s="52" t="str">
        <f t="shared" si="202"/>
        <v>KAP</v>
      </c>
      <c r="BJ188" s="31" t="str">
        <f t="shared" si="203"/>
        <v>OK Kapela</v>
      </c>
      <c r="BK188" s="73" t="str">
        <f t="shared" si="204"/>
        <v/>
      </c>
      <c r="BL188" s="31" t="str" cm="1">
        <f t="array" ref="BL188">IF(BK188="",""&amp;BJ188,IF(BK188="NEMA",BJ188,INDEX(regKlub_naziv,MATCH(INDEX(regKlub_alias_klubId,BK188),regKlub_id,0))))</f>
        <v>OK Kapela</v>
      </c>
      <c r="BM188" s="31" t="str" cm="1">
        <f t="array" ref="BM188">IFERROR(""&amp;INDEX(regNatjecatelj_klub,DV188),"")</f>
        <v>OK Kapela</v>
      </c>
      <c r="BN188" s="88" t="str">
        <f t="shared" si="243"/>
        <v/>
      </c>
      <c r="BO188" s="66" t="str">
        <f t="shared" si="244"/>
        <v>OK Kapela</v>
      </c>
      <c r="BP188" s="47" t="s">
        <v>0</v>
      </c>
      <c r="BQ188" s="52" t="str">
        <f>IF(X188&lt;&gt;"NEMA","",IF(IFERROR(MATCH(W188,W$12:W187,0),0)&lt;&gt;0,"",W188))</f>
        <v/>
      </c>
      <c r="BR188" s="73" t="str">
        <f t="shared" si="245"/>
        <v/>
      </c>
      <c r="BS188" s="31" t="str">
        <f>IF(OR(BR188="",BR188&lt;&gt;"NEMA"),"",MAX(BS$12:BS187)+1)</f>
        <v/>
      </c>
      <c r="BT188" s="66" t="str">
        <f t="shared" si="246"/>
        <v/>
      </c>
      <c r="BU188" s="47" t="s">
        <v>0</v>
      </c>
      <c r="BV188" s="19" t="str">
        <f t="shared" si="247"/>
        <v/>
      </c>
      <c r="BW188" s="47" t="s">
        <v>0</v>
      </c>
      <c r="BX188" s="82" t="str">
        <f>IF(BK188&lt;&gt;"NEMA","",IF(IFERROR(MATCH(BJ188,BJ$12:BJ187,0),0)&lt;&gt;0,"",BJ188))</f>
        <v/>
      </c>
      <c r="BY188" s="47" t="s">
        <v>0</v>
      </c>
      <c r="BZ188" s="125"/>
      <c r="CA188" s="47" t="s">
        <v>0</v>
      </c>
      <c r="CB188" s="58" t="str">
        <f t="shared" si="248"/>
        <v/>
      </c>
      <c r="CC188" s="31" t="str">
        <f t="shared" si="249"/>
        <v/>
      </c>
      <c r="CD188" s="31" t="str">
        <f>IF(CC188="","",MAX(CD$12:CD187)+1)</f>
        <v/>
      </c>
      <c r="CE188" s="31" t="str">
        <f t="shared" si="205"/>
        <v/>
      </c>
      <c r="CF188" s="31" t="str">
        <f t="shared" si="250"/>
        <v/>
      </c>
      <c r="CG188" s="31" t="str">
        <f>IF(BZ188="","",MAX(CG$12:CG187)+1)</f>
        <v/>
      </c>
      <c r="CH188" s="31" t="str">
        <f t="shared" si="251"/>
        <v/>
      </c>
      <c r="CI188" s="66" t="str">
        <f t="shared" si="252"/>
        <v/>
      </c>
      <c r="CJ188" s="47" t="s">
        <v>0</v>
      </c>
      <c r="CK188" s="73" t="str">
        <f t="shared" si="206"/>
        <v/>
      </c>
      <c r="CL188" s="47"/>
      <c r="CM188" s="19" t="str">
        <f t="shared" si="253"/>
        <v/>
      </c>
      <c r="CN188" s="47" t="s">
        <v>0</v>
      </c>
      <c r="CO188" s="143" t="str">
        <f t="shared" si="254"/>
        <v>OK Kapela</v>
      </c>
      <c r="CP188" s="47" t="s">
        <v>0</v>
      </c>
      <c r="CQ188" s="58" t="str">
        <f t="shared" si="270"/>
        <v>85:29</v>
      </c>
      <c r="CR188" s="73" t="str">
        <f t="shared" si="271"/>
        <v>0</v>
      </c>
      <c r="CS188" s="229" t="str">
        <f t="shared" si="207"/>
        <v/>
      </c>
      <c r="CT188" s="230">
        <f t="shared" si="192"/>
        <v>5129</v>
      </c>
      <c r="CU188" s="163">
        <f t="shared" si="208"/>
        <v>1</v>
      </c>
      <c r="CV188" s="47" t="s">
        <v>0</v>
      </c>
      <c r="CW188" s="222" t="str">
        <f t="shared" si="255"/>
        <v xml:space="preserve">
</v>
      </c>
      <c r="CX188" s="223">
        <f t="shared" si="256"/>
        <v>6</v>
      </c>
      <c r="CY188" s="47" t="s">
        <v>0</v>
      </c>
      <c r="CZ188" s="47"/>
      <c r="DA188" s="47"/>
      <c r="DB188" s="47"/>
      <c r="DC188" s="47" t="s">
        <v>0</v>
      </c>
      <c r="DD188" s="53" t="str">
        <f t="shared" si="264"/>
        <v/>
      </c>
      <c r="DE188" t="s">
        <v>0</v>
      </c>
      <c r="DF188" s="128" t="str">
        <f t="shared" si="265"/>
        <v>O</v>
      </c>
      <c r="DG188" t="s">
        <v>0</v>
      </c>
      <c r="DH188" s="52" t="str">
        <f t="shared" si="266"/>
        <v/>
      </c>
      <c r="DI188" s="66" t="str">
        <f t="shared" si="267"/>
        <v/>
      </c>
      <c r="DJ188" t="s">
        <v>0</v>
      </c>
      <c r="DK188" s="19" t="str">
        <f t="shared" si="268"/>
        <v/>
      </c>
      <c r="DL188" s="47" t="s">
        <v>0</v>
      </c>
      <c r="DM188" s="19" t="str">
        <f t="shared" si="269"/>
        <v/>
      </c>
      <c r="DN188" s="47" t="s">
        <v>0</v>
      </c>
      <c r="DO188" s="52" t="str">
        <f t="shared" si="209"/>
        <v>Karmela – Crvenković – OK Kapela – OPEN</v>
      </c>
      <c r="DP188" s="53" t="str">
        <f t="shared" si="210"/>
        <v>NEMA</v>
      </c>
      <c r="DQ188" s="47" t="s">
        <v>0</v>
      </c>
      <c r="DR188" s="52" t="str">
        <f t="shared" si="211"/>
        <v>Karmela – Crvenković – OK Kapela</v>
      </c>
      <c r="DS188" s="53">
        <f t="shared" si="212"/>
        <v>221</v>
      </c>
      <c r="DT188" s="47" t="s">
        <v>0</v>
      </c>
      <c r="DU188" s="52" t="str">
        <f t="shared" si="213"/>
        <v>Karmela – Crvenković</v>
      </c>
      <c r="DV188" s="53">
        <f t="shared" si="214"/>
        <v>221</v>
      </c>
      <c r="DW188" s="47" t="s">
        <v>0</v>
      </c>
      <c r="DX188" s="58">
        <f t="shared" si="257"/>
        <v>221</v>
      </c>
      <c r="DY188" s="53" cm="1">
        <f t="array" ref="DY188">IF(DX188&lt;&gt;"",INDEX(regNatjecatelj_id,DX188,0),IF(BD188&lt;&gt;"",BD188,""))</f>
        <v>1870</v>
      </c>
      <c r="DZ188" s="47" t="s">
        <v>0</v>
      </c>
      <c r="EA188" s="58" t="str">
        <f t="shared" si="215"/>
        <v>imepre</v>
      </c>
      <c r="EB188" s="73" t="str">
        <f t="shared" si="216"/>
        <v>klu</v>
      </c>
      <c r="EC188" s="73" t="str">
        <f t="shared" si="217"/>
        <v>kat</v>
      </c>
      <c r="ED188" s="73" t="str">
        <f t="shared" si="218"/>
        <v/>
      </c>
      <c r="EE188" s="66" t="str">
        <f t="shared" si="219"/>
        <v>imepre-klu-kat</v>
      </c>
      <c r="EF188" s="47" t="s">
        <v>0</v>
      </c>
      <c r="EG188" s="58">
        <f>IF(AL188="","",MAX(EG$12:EG187)+1)</f>
        <v>348</v>
      </c>
      <c r="EH188" s="73">
        <f t="shared" si="220"/>
        <v>34</v>
      </c>
      <c r="EI188" s="73">
        <f t="shared" si="258"/>
        <v>1870</v>
      </c>
      <c r="EJ188" s="73">
        <f t="shared" si="221"/>
        <v>5129</v>
      </c>
      <c r="EK188" s="73">
        <f t="shared" si="222"/>
        <v>1</v>
      </c>
      <c r="EL188" s="73">
        <f t="shared" si="259"/>
        <v>0</v>
      </c>
      <c r="EM188" s="73">
        <f t="shared" si="260"/>
        <v>1</v>
      </c>
      <c r="EN188" s="73" t="str">
        <f t="shared" si="223"/>
        <v>0</v>
      </c>
      <c r="EO188" s="73" t="str">
        <f t="shared" si="224"/>
        <v/>
      </c>
      <c r="EP188" s="73" t="str">
        <f t="shared" si="225"/>
        <v/>
      </c>
      <c r="EQ188" s="53" t="str">
        <f t="shared" si="226"/>
        <v/>
      </c>
      <c r="ER188" s="47" t="s">
        <v>0</v>
      </c>
      <c r="ES188" s="19" t="str">
        <f t="shared" si="261"/>
        <v>INSERT INTO rezultat(id,stazakategorija_id,imeprezime_id,vrijeme_sec,status_id,registracija,uparivanje_id,originalstatus_id,imeprezimealias_id,klubalias_id,kategorijaalias_id) VALUES (348,34,1870,5129,1,0,1,0,Null,Null,Null);</v>
      </c>
      <c r="ET188" s="47" t="s">
        <v>0</v>
      </c>
      <c r="EU188" s="19" t="str">
        <f t="shared" si="262"/>
        <v/>
      </c>
      <c r="EV188" s="47" t="s">
        <v>0</v>
      </c>
      <c r="EW188" s="180" t="str">
        <f t="shared" si="227"/>
        <v xml:space="preserve">
INSERT INTO rezultat(id,stazakategorija_id,imeprezime_id,vrijeme_sec,status_id,registracija,uparivanje_id,originalstatus_id,imeprezimealias_id,klubalias_id,kategorijaalias_id) VALUES (348,34,1870,5129,1,0,1,0,Null,Null,Null);</v>
      </c>
      <c r="EX188" s="47" t="s">
        <v>0</v>
      </c>
    </row>
    <row r="189" spans="1:154" x14ac:dyDescent="0.25">
      <c r="A189" t="s">
        <v>0</v>
      </c>
      <c r="B189" s="52" t="str">
        <f>IF(csv!F179="","",csv!T179)</f>
        <v>OPEN</v>
      </c>
      <c r="C189" s="31" t="s">
        <v>0</v>
      </c>
      <c r="D189" s="31" t="str">
        <f>IF(csv!F179="","",csv!F179)</f>
        <v>Iva</v>
      </c>
      <c r="E189" s="31" t="str">
        <f>IF(csv!E179="","",csv!E179)</f>
        <v>Pintur</v>
      </c>
      <c r="F189" s="31" t="s">
        <v>0</v>
      </c>
      <c r="G189" s="73" t="str">
        <f>IF(csv!M179="","",csv!M179)</f>
        <v>87:15</v>
      </c>
      <c r="H189" s="73" t="str">
        <f>IF(csv!N179="","",csv!N179)</f>
        <v>0</v>
      </c>
      <c r="I189" s="31" t="s">
        <v>0</v>
      </c>
      <c r="J189" s="31" t="str">
        <f>IF(csv!P179="","",csv!P179)</f>
        <v>KAP</v>
      </c>
      <c r="K189" s="31" t="str">
        <f>IF(csv!Q179="","",csv!Q179)</f>
        <v>OK Kapela</v>
      </c>
      <c r="L189" s="31" t="s">
        <v>0</v>
      </c>
      <c r="M189" s="66" t="str">
        <f>IF(csv!R179="","",csv!R179)</f>
        <v>CRO</v>
      </c>
      <c r="N189" s="47" t="s">
        <v>0</v>
      </c>
      <c r="O189" s="246" t="str">
        <f t="shared" si="228"/>
        <v>ok</v>
      </c>
      <c r="P189" s="47"/>
      <c r="Q189" s="52" t="str">
        <f t="shared" si="229"/>
        <v>OPEN</v>
      </c>
      <c r="R189" s="73">
        <f>IF(Q189="","",IF(COUNTIF(Q$12:Q188,Q189)=0,R188+1,R188))</f>
        <v>12</v>
      </c>
      <c r="S189" s="73">
        <f t="shared" si="230"/>
        <v>291</v>
      </c>
      <c r="T189" s="73">
        <f t="shared" si="193"/>
        <v>29</v>
      </c>
      <c r="U189" s="66" t="str">
        <f t="shared" si="194"/>
        <v>Otvorena</v>
      </c>
      <c r="V189" s="47" t="s">
        <v>0</v>
      </c>
      <c r="W189" s="222" t="str">
        <f t="shared" si="195"/>
        <v>Otvorena</v>
      </c>
      <c r="X189" s="223">
        <f t="shared" si="196"/>
        <v>34</v>
      </c>
      <c r="Y189" s="47" t="s">
        <v>0</v>
      </c>
      <c r="Z189" s="52" t="str">
        <f t="shared" si="231"/>
        <v>CRO</v>
      </c>
      <c r="AA189" s="73">
        <f t="shared" si="197"/>
        <v>1</v>
      </c>
      <c r="AB189" s="31" t="str">
        <f t="shared" si="232"/>
        <v/>
      </c>
      <c r="AC189" s="66" t="str">
        <f>IF(AB189="","",MAX(AC$12:AC188)+1)</f>
        <v/>
      </c>
      <c r="AD189" s="47" t="s">
        <v>0</v>
      </c>
      <c r="AE189" s="125"/>
      <c r="AF189" s="47" t="s">
        <v>0</v>
      </c>
      <c r="AG189" s="19" t="str">
        <f t="shared" si="233"/>
        <v/>
      </c>
      <c r="AH189" s="47" t="s">
        <v>0</v>
      </c>
      <c r="AI189" s="143" t="str">
        <f t="shared" si="234"/>
        <v>CRO</v>
      </c>
      <c r="AJ189" s="47"/>
      <c r="AK189" s="52" t="str">
        <f t="shared" si="235"/>
        <v>Iva</v>
      </c>
      <c r="AL189" s="31" t="str">
        <f t="shared" si="236"/>
        <v>Pintur</v>
      </c>
      <c r="AM189" s="73">
        <f t="shared" si="237"/>
        <v>1962</v>
      </c>
      <c r="AN189" s="73" t="str">
        <f t="shared" si="238"/>
        <v/>
      </c>
      <c r="AO189" s="31" t="str">
        <f t="shared" si="198"/>
        <v>Iva</v>
      </c>
      <c r="AP189" s="66" t="str">
        <f t="shared" si="199"/>
        <v>Pintur</v>
      </c>
      <c r="AQ189" s="47" t="s">
        <v>0</v>
      </c>
      <c r="AR189" s="82" t="str">
        <f t="shared" si="239"/>
        <v/>
      </c>
      <c r="AS189" s="47" t="s">
        <v>0</v>
      </c>
      <c r="AT189" s="19" t="str">
        <f t="shared" si="240"/>
        <v/>
      </c>
      <c r="AU189" s="47" t="s">
        <v>0</v>
      </c>
      <c r="AV189" s="103"/>
      <c r="AW189" s="105"/>
      <c r="AX189" s="47" t="s">
        <v>0</v>
      </c>
      <c r="AY189" s="259" t="str">
        <f t="shared" si="263"/>
        <v/>
      </c>
      <c r="AZ189" s="47" t="s">
        <v>0</v>
      </c>
      <c r="BA189" s="52" t="str">
        <f t="shared" si="200"/>
        <v/>
      </c>
      <c r="BB189" s="73" t="str">
        <f>IF(AV189&amp;AW189="","",MAX(BB$12:BB188)+1)</f>
        <v/>
      </c>
      <c r="BC189" s="272" t="str">
        <f t="shared" si="201"/>
        <v/>
      </c>
      <c r="BD189" s="53" t="str">
        <f>IF(AND(AM189="NEMA",AN189="NEMA",OR(AV189&amp;AW189="",BC189="NEMA")),MAX(BD$12:BD188)+1,"")</f>
        <v/>
      </c>
      <c r="BE189" s="47" t="s">
        <v>0</v>
      </c>
      <c r="BF189" s="52" t="str">
        <f t="shared" si="241"/>
        <v>Iva</v>
      </c>
      <c r="BG189" s="66" t="str">
        <f t="shared" si="242"/>
        <v>Pintur</v>
      </c>
      <c r="BH189" s="47" t="s">
        <v>0</v>
      </c>
      <c r="BI189" s="52" t="str">
        <f t="shared" si="202"/>
        <v>KAP</v>
      </c>
      <c r="BJ189" s="31" t="str">
        <f t="shared" si="203"/>
        <v>OK Kapela</v>
      </c>
      <c r="BK189" s="73" t="str">
        <f t="shared" si="204"/>
        <v/>
      </c>
      <c r="BL189" s="31" t="str" cm="1">
        <f t="array" ref="BL189">IF(BK189="",""&amp;BJ189,IF(BK189="NEMA",BJ189,INDEX(regKlub_naziv,MATCH(INDEX(regKlub_alias_klubId,BK189),regKlub_id,0))))</f>
        <v>OK Kapela</v>
      </c>
      <c r="BM189" s="31" t="str" cm="1">
        <f t="array" ref="BM189">IFERROR(""&amp;INDEX(regNatjecatelj_klub,DV189),"")</f>
        <v>OK Kapela</v>
      </c>
      <c r="BN189" s="88" t="str">
        <f t="shared" si="243"/>
        <v/>
      </c>
      <c r="BO189" s="66" t="str">
        <f t="shared" si="244"/>
        <v>OK Kapela</v>
      </c>
      <c r="BP189" s="47" t="s">
        <v>0</v>
      </c>
      <c r="BQ189" s="52" t="str">
        <f>IF(X189&lt;&gt;"NEMA","",IF(IFERROR(MATCH(W189,W$12:W188,0),0)&lt;&gt;0,"",W189))</f>
        <v/>
      </c>
      <c r="BR189" s="73" t="str">
        <f t="shared" si="245"/>
        <v/>
      </c>
      <c r="BS189" s="31" t="str">
        <f>IF(OR(BR189="",BR189&lt;&gt;"NEMA"),"",MAX(BS$12:BS188)+1)</f>
        <v/>
      </c>
      <c r="BT189" s="66" t="str">
        <f t="shared" si="246"/>
        <v/>
      </c>
      <c r="BU189" s="47" t="s">
        <v>0</v>
      </c>
      <c r="BV189" s="19" t="str">
        <f t="shared" si="247"/>
        <v/>
      </c>
      <c r="BW189" s="47" t="s">
        <v>0</v>
      </c>
      <c r="BX189" s="82" t="str">
        <f>IF(BK189&lt;&gt;"NEMA","",IF(IFERROR(MATCH(BJ189,BJ$12:BJ188,0),0)&lt;&gt;0,"",BJ189))</f>
        <v/>
      </c>
      <c r="BY189" s="47" t="s">
        <v>0</v>
      </c>
      <c r="BZ189" s="125"/>
      <c r="CA189" s="47" t="s">
        <v>0</v>
      </c>
      <c r="CB189" s="58" t="str">
        <f t="shared" si="248"/>
        <v/>
      </c>
      <c r="CC189" s="31" t="str">
        <f t="shared" si="249"/>
        <v/>
      </c>
      <c r="CD189" s="31" t="str">
        <f>IF(CC189="","",MAX(CD$12:CD188)+1)</f>
        <v/>
      </c>
      <c r="CE189" s="31" t="str">
        <f t="shared" si="205"/>
        <v/>
      </c>
      <c r="CF189" s="31" t="str">
        <f t="shared" si="250"/>
        <v/>
      </c>
      <c r="CG189" s="31" t="str">
        <f>IF(BZ189="","",MAX(CG$12:CG188)+1)</f>
        <v/>
      </c>
      <c r="CH189" s="31" t="str">
        <f t="shared" si="251"/>
        <v/>
      </c>
      <c r="CI189" s="66" t="str">
        <f t="shared" si="252"/>
        <v/>
      </c>
      <c r="CJ189" s="47" t="s">
        <v>0</v>
      </c>
      <c r="CK189" s="73" t="str">
        <f t="shared" si="206"/>
        <v/>
      </c>
      <c r="CL189" s="47"/>
      <c r="CM189" s="19" t="str">
        <f t="shared" si="253"/>
        <v/>
      </c>
      <c r="CN189" s="47" t="s">
        <v>0</v>
      </c>
      <c r="CO189" s="143" t="str">
        <f t="shared" si="254"/>
        <v>OK Kapela</v>
      </c>
      <c r="CP189" s="47" t="s">
        <v>0</v>
      </c>
      <c r="CQ189" s="58" t="str">
        <f t="shared" si="270"/>
        <v>87:15</v>
      </c>
      <c r="CR189" s="73" t="str">
        <f t="shared" si="271"/>
        <v>0</v>
      </c>
      <c r="CS189" s="229" t="str">
        <f t="shared" si="207"/>
        <v/>
      </c>
      <c r="CT189" s="230">
        <f t="shared" ref="CT189:CT252" si="272">IF(CQ189="","",VALUE(LEFT(CQ189,SEARCH(":",CQ189)-1))*60+VALUE(RIGHT(CQ189,2)))</f>
        <v>5235</v>
      </c>
      <c r="CU189" s="163">
        <f t="shared" si="208"/>
        <v>1</v>
      </c>
      <c r="CV189" s="47" t="s">
        <v>0</v>
      </c>
      <c r="CW189" s="222" t="str">
        <f t="shared" si="255"/>
        <v xml:space="preserve">
</v>
      </c>
      <c r="CX189" s="223">
        <f t="shared" si="256"/>
        <v>6</v>
      </c>
      <c r="CY189" s="47" t="s">
        <v>0</v>
      </c>
      <c r="CZ189" s="47"/>
      <c r="DA189" s="47"/>
      <c r="DB189" s="47"/>
      <c r="DC189" s="47" t="s">
        <v>0</v>
      </c>
      <c r="DD189" s="53" t="str">
        <f t="shared" si="264"/>
        <v/>
      </c>
      <c r="DE189" t="s">
        <v>0</v>
      </c>
      <c r="DF189" s="128" t="str">
        <f t="shared" si="265"/>
        <v>O</v>
      </c>
      <c r="DG189" t="s">
        <v>0</v>
      </c>
      <c r="DH189" s="52" t="str">
        <f t="shared" si="266"/>
        <v/>
      </c>
      <c r="DI189" s="66" t="str">
        <f t="shared" si="267"/>
        <v/>
      </c>
      <c r="DJ189" t="s">
        <v>0</v>
      </c>
      <c r="DK189" s="19" t="str">
        <f t="shared" si="268"/>
        <v/>
      </c>
      <c r="DL189" s="47" t="s">
        <v>0</v>
      </c>
      <c r="DM189" s="19" t="str">
        <f t="shared" si="269"/>
        <v/>
      </c>
      <c r="DN189" s="47" t="s">
        <v>0</v>
      </c>
      <c r="DO189" s="52" t="str">
        <f t="shared" si="209"/>
        <v>Iva – Pintur – OK Kapela – OPEN</v>
      </c>
      <c r="DP189" s="53" t="str">
        <f t="shared" si="210"/>
        <v>NEMA</v>
      </c>
      <c r="DQ189" s="47" t="s">
        <v>0</v>
      </c>
      <c r="DR189" s="52" t="str">
        <f t="shared" si="211"/>
        <v>Iva – Pintur – OK Kapela</v>
      </c>
      <c r="DS189" s="53">
        <f t="shared" si="212"/>
        <v>295</v>
      </c>
      <c r="DT189" s="47" t="s">
        <v>0</v>
      </c>
      <c r="DU189" s="52" t="str">
        <f t="shared" si="213"/>
        <v>Iva – Pintur</v>
      </c>
      <c r="DV189" s="53">
        <f t="shared" si="214"/>
        <v>295</v>
      </c>
      <c r="DW189" s="47" t="s">
        <v>0</v>
      </c>
      <c r="DX189" s="58">
        <f t="shared" si="257"/>
        <v>295</v>
      </c>
      <c r="DY189" s="53" cm="1">
        <f t="array" ref="DY189">IF(DX189&lt;&gt;"",INDEX(regNatjecatelj_id,DX189,0),IF(BD189&lt;&gt;"",BD189,""))</f>
        <v>1962</v>
      </c>
      <c r="DZ189" s="47" t="s">
        <v>0</v>
      </c>
      <c r="EA189" s="58" t="str">
        <f t="shared" si="215"/>
        <v>imepre</v>
      </c>
      <c r="EB189" s="73" t="str">
        <f t="shared" si="216"/>
        <v>klu</v>
      </c>
      <c r="EC189" s="73" t="str">
        <f t="shared" si="217"/>
        <v>kat</v>
      </c>
      <c r="ED189" s="73" t="str">
        <f t="shared" si="218"/>
        <v/>
      </c>
      <c r="EE189" s="66" t="str">
        <f t="shared" si="219"/>
        <v>imepre-klu-kat</v>
      </c>
      <c r="EF189" s="47" t="s">
        <v>0</v>
      </c>
      <c r="EG189" s="58">
        <f>IF(AL189="","",MAX(EG$12:EG188)+1)</f>
        <v>349</v>
      </c>
      <c r="EH189" s="73">
        <f t="shared" si="220"/>
        <v>34</v>
      </c>
      <c r="EI189" s="73">
        <f t="shared" si="258"/>
        <v>1962</v>
      </c>
      <c r="EJ189" s="73">
        <f t="shared" si="221"/>
        <v>5235</v>
      </c>
      <c r="EK189" s="73">
        <f t="shared" si="222"/>
        <v>1</v>
      </c>
      <c r="EL189" s="73">
        <f t="shared" si="259"/>
        <v>0</v>
      </c>
      <c r="EM189" s="73">
        <f t="shared" si="260"/>
        <v>1</v>
      </c>
      <c r="EN189" s="73" t="str">
        <f t="shared" si="223"/>
        <v>0</v>
      </c>
      <c r="EO189" s="73" t="str">
        <f t="shared" si="224"/>
        <v/>
      </c>
      <c r="EP189" s="73" t="str">
        <f t="shared" si="225"/>
        <v/>
      </c>
      <c r="EQ189" s="53" t="str">
        <f t="shared" si="226"/>
        <v/>
      </c>
      <c r="ER189" s="47" t="s">
        <v>0</v>
      </c>
      <c r="ES189" s="19" t="str">
        <f t="shared" si="261"/>
        <v>INSERT INTO rezultat(id,stazakategorija_id,imeprezime_id,vrijeme_sec,status_id,registracija,uparivanje_id,originalstatus_id,imeprezimealias_id,klubalias_id,kategorijaalias_id) VALUES (349,34,1962,5235,1,0,1,0,Null,Null,Null);</v>
      </c>
      <c r="ET189" s="47" t="s">
        <v>0</v>
      </c>
      <c r="EU189" s="19" t="str">
        <f t="shared" si="262"/>
        <v/>
      </c>
      <c r="EV189" s="47" t="s">
        <v>0</v>
      </c>
      <c r="EW189" s="180" t="str">
        <f t="shared" si="227"/>
        <v xml:space="preserve">
INSERT INTO rezultat(id,stazakategorija_id,imeprezime_id,vrijeme_sec,status_id,registracija,uparivanje_id,originalstatus_id,imeprezimealias_id,klubalias_id,kategorijaalias_id) VALUES (349,34,1962,5235,1,0,1,0,Null,Null,Null);</v>
      </c>
      <c r="EX189" s="47" t="s">
        <v>0</v>
      </c>
    </row>
    <row r="190" spans="1:154" x14ac:dyDescent="0.25">
      <c r="A190" t="s">
        <v>0</v>
      </c>
      <c r="B190" s="52" t="str">
        <f>IF(csv!F180="","",csv!T180)</f>
        <v>OPEN</v>
      </c>
      <c r="C190" s="31" t="s">
        <v>0</v>
      </c>
      <c r="D190" s="31" t="str">
        <f>IF(csv!F180="","",csv!F180)</f>
        <v>Oliver</v>
      </c>
      <c r="E190" s="31" t="str">
        <f>IF(csv!E180="","",csv!E180)</f>
        <v>Skočić</v>
      </c>
      <c r="F190" s="31" t="s">
        <v>0</v>
      </c>
      <c r="G190" s="73" t="str">
        <f>IF(csv!M180="","",csv!M180)</f>
        <v>92:36</v>
      </c>
      <c r="H190" s="73" t="str">
        <f>IF(csv!N180="","",csv!N180)</f>
        <v>0</v>
      </c>
      <c r="I190" s="31" t="s">
        <v>0</v>
      </c>
      <c r="J190" s="31" t="str">
        <f>IF(csv!P180="","",csv!P180)</f>
        <v>Vihor</v>
      </c>
      <c r="K190" s="31" t="str">
        <f>IF(csv!Q180="","",csv!Q180)</f>
        <v>OK Vihor</v>
      </c>
      <c r="L190" s="31" t="s">
        <v>0</v>
      </c>
      <c r="M190" s="66" t="str">
        <f>IF(csv!R180="","",csv!R180)</f>
        <v>CRO</v>
      </c>
      <c r="N190" s="47" t="s">
        <v>0</v>
      </c>
      <c r="O190" s="246" t="str">
        <f t="shared" si="228"/>
        <v>ok</v>
      </c>
      <c r="P190" s="47"/>
      <c r="Q190" s="52" t="str">
        <f t="shared" si="229"/>
        <v>OPEN</v>
      </c>
      <c r="R190" s="73">
        <f>IF(Q190="","",IF(COUNTIF(Q$12:Q189,Q190)=0,R189+1,R189))</f>
        <v>12</v>
      </c>
      <c r="S190" s="73">
        <f t="shared" si="230"/>
        <v>291</v>
      </c>
      <c r="T190" s="73">
        <f t="shared" si="193"/>
        <v>29</v>
      </c>
      <c r="U190" s="66" t="str">
        <f t="shared" si="194"/>
        <v>Otvorena</v>
      </c>
      <c r="V190" s="47" t="s">
        <v>0</v>
      </c>
      <c r="W190" s="222" t="str">
        <f t="shared" si="195"/>
        <v>Otvorena</v>
      </c>
      <c r="X190" s="223">
        <f t="shared" si="196"/>
        <v>34</v>
      </c>
      <c r="Y190" s="47" t="s">
        <v>0</v>
      </c>
      <c r="Z190" s="52" t="str">
        <f t="shared" si="231"/>
        <v>CRO</v>
      </c>
      <c r="AA190" s="73">
        <f t="shared" si="197"/>
        <v>1</v>
      </c>
      <c r="AB190" s="31" t="str">
        <f t="shared" si="232"/>
        <v/>
      </c>
      <c r="AC190" s="66" t="str">
        <f>IF(AB190="","",MAX(AC$12:AC189)+1)</f>
        <v/>
      </c>
      <c r="AD190" s="47" t="s">
        <v>0</v>
      </c>
      <c r="AE190" s="125"/>
      <c r="AF190" s="47" t="s">
        <v>0</v>
      </c>
      <c r="AG190" s="19" t="str">
        <f t="shared" si="233"/>
        <v/>
      </c>
      <c r="AH190" s="47" t="s">
        <v>0</v>
      </c>
      <c r="AI190" s="143" t="str">
        <f t="shared" si="234"/>
        <v>CRO</v>
      </c>
      <c r="AJ190" s="47"/>
      <c r="AK190" s="52" t="str">
        <f t="shared" si="235"/>
        <v>Oliver</v>
      </c>
      <c r="AL190" s="31" t="str">
        <f t="shared" si="236"/>
        <v>Skočić</v>
      </c>
      <c r="AM190" s="73">
        <f t="shared" si="237"/>
        <v>1028</v>
      </c>
      <c r="AN190" s="73" t="str">
        <f t="shared" si="238"/>
        <v/>
      </c>
      <c r="AO190" s="31" t="str">
        <f t="shared" si="198"/>
        <v>Oliver</v>
      </c>
      <c r="AP190" s="66" t="str">
        <f t="shared" si="199"/>
        <v>Skočić</v>
      </c>
      <c r="AQ190" s="47" t="s">
        <v>0</v>
      </c>
      <c r="AR190" s="82" t="str">
        <f t="shared" si="239"/>
        <v/>
      </c>
      <c r="AS190" s="47" t="s">
        <v>0</v>
      </c>
      <c r="AT190" s="19" t="str">
        <f t="shared" si="240"/>
        <v/>
      </c>
      <c r="AU190" s="47" t="s">
        <v>0</v>
      </c>
      <c r="AV190" s="103"/>
      <c r="AW190" s="105"/>
      <c r="AX190" s="47" t="s">
        <v>0</v>
      </c>
      <c r="AY190" s="259" t="str">
        <f t="shared" si="263"/>
        <v/>
      </c>
      <c r="AZ190" s="47" t="s">
        <v>0</v>
      </c>
      <c r="BA190" s="52" t="str">
        <f t="shared" si="200"/>
        <v/>
      </c>
      <c r="BB190" s="73" t="str">
        <f>IF(AV190&amp;AW190="","",MAX(BB$12:BB189)+1)</f>
        <v/>
      </c>
      <c r="BC190" s="272" t="str">
        <f t="shared" si="201"/>
        <v/>
      </c>
      <c r="BD190" s="53" t="str">
        <f>IF(AND(AM190="NEMA",AN190="NEMA",OR(AV190&amp;AW190="",BC190="NEMA")),MAX(BD$12:BD189)+1,"")</f>
        <v/>
      </c>
      <c r="BE190" s="47" t="s">
        <v>0</v>
      </c>
      <c r="BF190" s="52" t="str">
        <f t="shared" si="241"/>
        <v>Oliver</v>
      </c>
      <c r="BG190" s="66" t="str">
        <f t="shared" si="242"/>
        <v>Skočić</v>
      </c>
      <c r="BH190" s="47" t="s">
        <v>0</v>
      </c>
      <c r="BI190" s="52" t="str">
        <f t="shared" si="202"/>
        <v>Vihor</v>
      </c>
      <c r="BJ190" s="31" t="str">
        <f t="shared" si="203"/>
        <v>OK Vihor</v>
      </c>
      <c r="BK190" s="73" t="str">
        <f t="shared" si="204"/>
        <v/>
      </c>
      <c r="BL190" s="31" t="str" cm="1">
        <f t="array" ref="BL190">IF(BK190="",""&amp;BJ190,IF(BK190="NEMA",BJ190,INDEX(regKlub_naziv,MATCH(INDEX(regKlub_alias_klubId,BK190),regKlub_id,0))))</f>
        <v>OK Vihor</v>
      </c>
      <c r="BM190" s="31" t="str" cm="1">
        <f t="array" ref="BM190">IFERROR(""&amp;INDEX(regNatjecatelj_klub,DV190),"")</f>
        <v>OK Vihor</v>
      </c>
      <c r="BN190" s="88" t="str">
        <f t="shared" si="243"/>
        <v/>
      </c>
      <c r="BO190" s="66" t="str">
        <f t="shared" si="244"/>
        <v>OK Vihor</v>
      </c>
      <c r="BP190" s="47" t="s">
        <v>0</v>
      </c>
      <c r="BQ190" s="52" t="str">
        <f>IF(X190&lt;&gt;"NEMA","",IF(IFERROR(MATCH(W190,W$12:W189,0),0)&lt;&gt;0,"",W190))</f>
        <v/>
      </c>
      <c r="BR190" s="73" t="str">
        <f t="shared" si="245"/>
        <v/>
      </c>
      <c r="BS190" s="31" t="str">
        <f>IF(OR(BR190="",BR190&lt;&gt;"NEMA"),"",MAX(BS$12:BS189)+1)</f>
        <v/>
      </c>
      <c r="BT190" s="66" t="str">
        <f t="shared" si="246"/>
        <v/>
      </c>
      <c r="BU190" s="47" t="s">
        <v>0</v>
      </c>
      <c r="BV190" s="19" t="str">
        <f t="shared" si="247"/>
        <v/>
      </c>
      <c r="BW190" s="47" t="s">
        <v>0</v>
      </c>
      <c r="BX190" s="82" t="str">
        <f>IF(BK190&lt;&gt;"NEMA","",IF(IFERROR(MATCH(BJ190,BJ$12:BJ189,0),0)&lt;&gt;0,"",BJ190))</f>
        <v/>
      </c>
      <c r="BY190" s="47" t="s">
        <v>0</v>
      </c>
      <c r="BZ190" s="125"/>
      <c r="CA190" s="47" t="s">
        <v>0</v>
      </c>
      <c r="CB190" s="58" t="str">
        <f t="shared" si="248"/>
        <v/>
      </c>
      <c r="CC190" s="31" t="str">
        <f t="shared" si="249"/>
        <v/>
      </c>
      <c r="CD190" s="31" t="str">
        <f>IF(CC190="","",MAX(CD$12:CD189)+1)</f>
        <v/>
      </c>
      <c r="CE190" s="31" t="str">
        <f t="shared" si="205"/>
        <v/>
      </c>
      <c r="CF190" s="31" t="str">
        <f t="shared" si="250"/>
        <v/>
      </c>
      <c r="CG190" s="31" t="str">
        <f>IF(BZ190="","",MAX(CG$12:CG189)+1)</f>
        <v/>
      </c>
      <c r="CH190" s="31" t="str">
        <f t="shared" si="251"/>
        <v/>
      </c>
      <c r="CI190" s="66" t="str">
        <f t="shared" si="252"/>
        <v/>
      </c>
      <c r="CJ190" s="47" t="s">
        <v>0</v>
      </c>
      <c r="CK190" s="73" t="str">
        <f t="shared" si="206"/>
        <v/>
      </c>
      <c r="CL190" s="47"/>
      <c r="CM190" s="19" t="str">
        <f t="shared" si="253"/>
        <v/>
      </c>
      <c r="CN190" s="47" t="s">
        <v>0</v>
      </c>
      <c r="CO190" s="143" t="str">
        <f t="shared" si="254"/>
        <v>OK Vihor</v>
      </c>
      <c r="CP190" s="47" t="s">
        <v>0</v>
      </c>
      <c r="CQ190" s="58" t="str">
        <f t="shared" si="270"/>
        <v>92:36</v>
      </c>
      <c r="CR190" s="73" t="str">
        <f t="shared" si="271"/>
        <v>0</v>
      </c>
      <c r="CS190" s="229" t="str">
        <f t="shared" si="207"/>
        <v/>
      </c>
      <c r="CT190" s="230">
        <f t="shared" si="272"/>
        <v>5556</v>
      </c>
      <c r="CU190" s="163">
        <f t="shared" si="208"/>
        <v>1</v>
      </c>
      <c r="CV190" s="47" t="s">
        <v>0</v>
      </c>
      <c r="CW190" s="222" t="str">
        <f t="shared" si="255"/>
        <v xml:space="preserve">
</v>
      </c>
      <c r="CX190" s="223">
        <f t="shared" si="256"/>
        <v>6</v>
      </c>
      <c r="CY190" s="47" t="s">
        <v>0</v>
      </c>
      <c r="CZ190" s="47"/>
      <c r="DA190" s="47"/>
      <c r="DB190" s="47"/>
      <c r="DC190" s="47" t="s">
        <v>0</v>
      </c>
      <c r="DD190" s="53" t="str">
        <f t="shared" si="264"/>
        <v/>
      </c>
      <c r="DE190" t="s">
        <v>0</v>
      </c>
      <c r="DF190" s="128" t="str">
        <f t="shared" si="265"/>
        <v>O</v>
      </c>
      <c r="DG190" t="s">
        <v>0</v>
      </c>
      <c r="DH190" s="52" t="str">
        <f t="shared" si="266"/>
        <v/>
      </c>
      <c r="DI190" s="66" t="str">
        <f t="shared" si="267"/>
        <v/>
      </c>
      <c r="DJ190" t="s">
        <v>0</v>
      </c>
      <c r="DK190" s="19" t="str">
        <f t="shared" si="268"/>
        <v/>
      </c>
      <c r="DL190" s="47" t="s">
        <v>0</v>
      </c>
      <c r="DM190" s="19" t="str">
        <f t="shared" si="269"/>
        <v/>
      </c>
      <c r="DN190" s="47" t="s">
        <v>0</v>
      </c>
      <c r="DO190" s="52" t="str">
        <f t="shared" si="209"/>
        <v>Oliver – Skočić – OK Vihor – OPEN</v>
      </c>
      <c r="DP190" s="53" t="str">
        <f t="shared" si="210"/>
        <v>NEMA</v>
      </c>
      <c r="DQ190" s="47" t="s">
        <v>0</v>
      </c>
      <c r="DR190" s="52" t="str">
        <f t="shared" si="211"/>
        <v>Oliver – Skočić – OK Vihor</v>
      </c>
      <c r="DS190" s="53">
        <f t="shared" si="212"/>
        <v>898</v>
      </c>
      <c r="DT190" s="47" t="s">
        <v>0</v>
      </c>
      <c r="DU190" s="52" t="str">
        <f t="shared" si="213"/>
        <v>Oliver – Skočić</v>
      </c>
      <c r="DV190" s="53">
        <f t="shared" si="214"/>
        <v>898</v>
      </c>
      <c r="DW190" s="47" t="s">
        <v>0</v>
      </c>
      <c r="DX190" s="58">
        <f t="shared" si="257"/>
        <v>898</v>
      </c>
      <c r="DY190" s="53" cm="1">
        <f t="array" ref="DY190">IF(DX190&lt;&gt;"",INDEX(regNatjecatelj_id,DX190,0),IF(BD190&lt;&gt;"",BD190,""))</f>
        <v>1028</v>
      </c>
      <c r="DZ190" s="47" t="s">
        <v>0</v>
      </c>
      <c r="EA190" s="58" t="str">
        <f t="shared" si="215"/>
        <v>imepre</v>
      </c>
      <c r="EB190" s="73" t="str">
        <f t="shared" si="216"/>
        <v>klu</v>
      </c>
      <c r="EC190" s="73" t="str">
        <f t="shared" si="217"/>
        <v>kat</v>
      </c>
      <c r="ED190" s="73" t="str">
        <f t="shared" si="218"/>
        <v/>
      </c>
      <c r="EE190" s="66" t="str">
        <f t="shared" si="219"/>
        <v>imepre-klu-kat</v>
      </c>
      <c r="EF190" s="47" t="s">
        <v>0</v>
      </c>
      <c r="EG190" s="58">
        <f>IF(AL190="","",MAX(EG$12:EG189)+1)</f>
        <v>350</v>
      </c>
      <c r="EH190" s="73">
        <f t="shared" si="220"/>
        <v>34</v>
      </c>
      <c r="EI190" s="73">
        <f t="shared" si="258"/>
        <v>1028</v>
      </c>
      <c r="EJ190" s="73">
        <f t="shared" si="221"/>
        <v>5556</v>
      </c>
      <c r="EK190" s="73">
        <f t="shared" si="222"/>
        <v>1</v>
      </c>
      <c r="EL190" s="73">
        <f t="shared" si="259"/>
        <v>0</v>
      </c>
      <c r="EM190" s="73">
        <f t="shared" si="260"/>
        <v>1</v>
      </c>
      <c r="EN190" s="73" t="str">
        <f t="shared" si="223"/>
        <v>0</v>
      </c>
      <c r="EO190" s="73" t="str">
        <f t="shared" si="224"/>
        <v/>
      </c>
      <c r="EP190" s="73" t="str">
        <f t="shared" si="225"/>
        <v/>
      </c>
      <c r="EQ190" s="53" t="str">
        <f t="shared" si="226"/>
        <v/>
      </c>
      <c r="ER190" s="47" t="s">
        <v>0</v>
      </c>
      <c r="ES190" s="19" t="str">
        <f t="shared" si="261"/>
        <v>INSERT INTO rezultat(id,stazakategorija_id,imeprezime_id,vrijeme_sec,status_id,registracija,uparivanje_id,originalstatus_id,imeprezimealias_id,klubalias_id,kategorijaalias_id) VALUES (350,34,1028,5556,1,0,1,0,Null,Null,Null);</v>
      </c>
      <c r="ET190" s="47" t="s">
        <v>0</v>
      </c>
      <c r="EU190" s="19" t="str">
        <f t="shared" si="262"/>
        <v/>
      </c>
      <c r="EV190" s="47" t="s">
        <v>0</v>
      </c>
      <c r="EW190" s="180" t="str">
        <f t="shared" si="227"/>
        <v xml:space="preserve">
INSERT INTO rezultat(id,stazakategorija_id,imeprezime_id,vrijeme_sec,status_id,registracija,uparivanje_id,originalstatus_id,imeprezimealias_id,klubalias_id,kategorijaalias_id) VALUES (350,34,1028,5556,1,0,1,0,Null,Null,Null);</v>
      </c>
      <c r="EX190" s="47" t="s">
        <v>0</v>
      </c>
    </row>
    <row r="191" spans="1:154" x14ac:dyDescent="0.25">
      <c r="A191" t="s">
        <v>0</v>
      </c>
      <c r="B191" s="52" t="str">
        <f>IF(csv!F181="","",csv!T181)</f>
        <v>OPEN</v>
      </c>
      <c r="C191" s="31" t="s">
        <v>0</v>
      </c>
      <c r="D191" s="31" t="str">
        <f>IF(csv!F181="","",csv!F181)</f>
        <v>Antonija</v>
      </c>
      <c r="E191" s="31" t="str">
        <f>IF(csv!E181="","",csv!E181)</f>
        <v>Hodak</v>
      </c>
      <c r="F191" s="31" t="s">
        <v>0</v>
      </c>
      <c r="G191" s="73" t="str">
        <f>IF(csv!M181="","",csv!M181)</f>
        <v>102:06</v>
      </c>
      <c r="H191" s="73" t="str">
        <f>IF(csv!N181="","",csv!N181)</f>
        <v>0</v>
      </c>
      <c r="I191" s="31" t="s">
        <v>0</v>
      </c>
      <c r="J191" s="31" t="str">
        <f>IF(csv!P181="","",csv!P181)</f>
        <v>Vihor</v>
      </c>
      <c r="K191" s="31" t="str">
        <f>IF(csv!Q181="","",csv!Q181)</f>
        <v>OK Vihor</v>
      </c>
      <c r="L191" s="31" t="s">
        <v>0</v>
      </c>
      <c r="M191" s="66" t="str">
        <f>IF(csv!R181="","",csv!R181)</f>
        <v>CRO</v>
      </c>
      <c r="N191" s="47" t="s">
        <v>0</v>
      </c>
      <c r="O191" s="246" t="str">
        <f t="shared" si="228"/>
        <v>ok</v>
      </c>
      <c r="P191" s="47"/>
      <c r="Q191" s="52" t="str">
        <f t="shared" si="229"/>
        <v>OPEN</v>
      </c>
      <c r="R191" s="73">
        <f>IF(Q191="","",IF(COUNTIF(Q$12:Q190,Q191)=0,R190+1,R190))</f>
        <v>12</v>
      </c>
      <c r="S191" s="73">
        <f t="shared" si="230"/>
        <v>291</v>
      </c>
      <c r="T191" s="73">
        <f t="shared" si="193"/>
        <v>29</v>
      </c>
      <c r="U191" s="66" t="str">
        <f t="shared" si="194"/>
        <v>Otvorena</v>
      </c>
      <c r="V191" s="47" t="s">
        <v>0</v>
      </c>
      <c r="W191" s="222" t="str">
        <f t="shared" si="195"/>
        <v>Otvorena</v>
      </c>
      <c r="X191" s="223">
        <f t="shared" si="196"/>
        <v>34</v>
      </c>
      <c r="Y191" s="47" t="s">
        <v>0</v>
      </c>
      <c r="Z191" s="52" t="str">
        <f t="shared" si="231"/>
        <v>CRO</v>
      </c>
      <c r="AA191" s="73">
        <f t="shared" si="197"/>
        <v>1</v>
      </c>
      <c r="AB191" s="31" t="str">
        <f t="shared" si="232"/>
        <v/>
      </c>
      <c r="AC191" s="66" t="str">
        <f>IF(AB191="","",MAX(AC$12:AC190)+1)</f>
        <v/>
      </c>
      <c r="AD191" s="47" t="s">
        <v>0</v>
      </c>
      <c r="AE191" s="125"/>
      <c r="AF191" s="47" t="s">
        <v>0</v>
      </c>
      <c r="AG191" s="19" t="str">
        <f t="shared" si="233"/>
        <v/>
      </c>
      <c r="AH191" s="47" t="s">
        <v>0</v>
      </c>
      <c r="AI191" s="143" t="str">
        <f t="shared" si="234"/>
        <v>CRO</v>
      </c>
      <c r="AJ191" s="47"/>
      <c r="AK191" s="52" t="str">
        <f t="shared" si="235"/>
        <v>Antonija</v>
      </c>
      <c r="AL191" s="31" t="str">
        <f t="shared" si="236"/>
        <v>Hodak</v>
      </c>
      <c r="AM191" s="73">
        <f t="shared" si="237"/>
        <v>1146</v>
      </c>
      <c r="AN191" s="73" t="str">
        <f t="shared" si="238"/>
        <v/>
      </c>
      <c r="AO191" s="31" t="str">
        <f t="shared" si="198"/>
        <v>Antonija</v>
      </c>
      <c r="AP191" s="66" t="str">
        <f t="shared" si="199"/>
        <v>Hodak</v>
      </c>
      <c r="AQ191" s="47" t="s">
        <v>0</v>
      </c>
      <c r="AR191" s="82" t="str">
        <f t="shared" si="239"/>
        <v/>
      </c>
      <c r="AS191" s="47" t="s">
        <v>0</v>
      </c>
      <c r="AT191" s="19" t="str">
        <f t="shared" si="240"/>
        <v/>
      </c>
      <c r="AU191" s="47" t="s">
        <v>0</v>
      </c>
      <c r="AV191" s="103"/>
      <c r="AW191" s="105"/>
      <c r="AX191" s="47" t="s">
        <v>0</v>
      </c>
      <c r="AY191" s="259" t="str">
        <f t="shared" si="263"/>
        <v/>
      </c>
      <c r="AZ191" s="47" t="s">
        <v>0</v>
      </c>
      <c r="BA191" s="52" t="str">
        <f t="shared" si="200"/>
        <v/>
      </c>
      <c r="BB191" s="73" t="str">
        <f>IF(AV191&amp;AW191="","",MAX(BB$12:BB190)+1)</f>
        <v/>
      </c>
      <c r="BC191" s="272" t="str">
        <f t="shared" si="201"/>
        <v/>
      </c>
      <c r="BD191" s="53" t="str">
        <f>IF(AND(AM191="NEMA",AN191="NEMA",OR(AV191&amp;AW191="",BC191="NEMA")),MAX(BD$12:BD190)+1,"")</f>
        <v/>
      </c>
      <c r="BE191" s="47" t="s">
        <v>0</v>
      </c>
      <c r="BF191" s="52" t="str">
        <f t="shared" si="241"/>
        <v>Antonija</v>
      </c>
      <c r="BG191" s="66" t="str">
        <f t="shared" si="242"/>
        <v>Hodak</v>
      </c>
      <c r="BH191" s="47" t="s">
        <v>0</v>
      </c>
      <c r="BI191" s="52" t="str">
        <f t="shared" si="202"/>
        <v>Vihor</v>
      </c>
      <c r="BJ191" s="31" t="str">
        <f t="shared" si="203"/>
        <v>OK Vihor</v>
      </c>
      <c r="BK191" s="73" t="str">
        <f t="shared" si="204"/>
        <v/>
      </c>
      <c r="BL191" s="31" t="str" cm="1">
        <f t="array" ref="BL191">IF(BK191="",""&amp;BJ191,IF(BK191="NEMA",BJ191,INDEX(regKlub_naziv,MATCH(INDEX(regKlub_alias_klubId,BK191),regKlub_id,0))))</f>
        <v>OK Vihor</v>
      </c>
      <c r="BM191" s="31" t="str" cm="1">
        <f t="array" ref="BM191">IFERROR(""&amp;INDEX(regNatjecatelj_klub,DV191),"")</f>
        <v>OK Vihor</v>
      </c>
      <c r="BN191" s="88" t="str">
        <f t="shared" si="243"/>
        <v/>
      </c>
      <c r="BO191" s="66" t="str">
        <f t="shared" si="244"/>
        <v>OK Vihor</v>
      </c>
      <c r="BP191" s="47" t="s">
        <v>0</v>
      </c>
      <c r="BQ191" s="52" t="str">
        <f>IF(X191&lt;&gt;"NEMA","",IF(IFERROR(MATCH(W191,W$12:W190,0),0)&lt;&gt;0,"",W191))</f>
        <v/>
      </c>
      <c r="BR191" s="73" t="str">
        <f t="shared" si="245"/>
        <v/>
      </c>
      <c r="BS191" s="31" t="str">
        <f>IF(OR(BR191="",BR191&lt;&gt;"NEMA"),"",MAX(BS$12:BS190)+1)</f>
        <v/>
      </c>
      <c r="BT191" s="66" t="str">
        <f t="shared" si="246"/>
        <v/>
      </c>
      <c r="BU191" s="47" t="s">
        <v>0</v>
      </c>
      <c r="BV191" s="19" t="str">
        <f t="shared" si="247"/>
        <v/>
      </c>
      <c r="BW191" s="47" t="s">
        <v>0</v>
      </c>
      <c r="BX191" s="82" t="str">
        <f>IF(BK191&lt;&gt;"NEMA","",IF(IFERROR(MATCH(BJ191,BJ$12:BJ190,0),0)&lt;&gt;0,"",BJ191))</f>
        <v/>
      </c>
      <c r="BY191" s="47" t="s">
        <v>0</v>
      </c>
      <c r="BZ191" s="125"/>
      <c r="CA191" s="47" t="s">
        <v>0</v>
      </c>
      <c r="CB191" s="58" t="str">
        <f t="shared" si="248"/>
        <v/>
      </c>
      <c r="CC191" s="31" t="str">
        <f t="shared" si="249"/>
        <v/>
      </c>
      <c r="CD191" s="31" t="str">
        <f>IF(CC191="","",MAX(CD$12:CD190)+1)</f>
        <v/>
      </c>
      <c r="CE191" s="31" t="str">
        <f t="shared" si="205"/>
        <v/>
      </c>
      <c r="CF191" s="31" t="str">
        <f t="shared" si="250"/>
        <v/>
      </c>
      <c r="CG191" s="31" t="str">
        <f>IF(BZ191="","",MAX(CG$12:CG190)+1)</f>
        <v/>
      </c>
      <c r="CH191" s="31" t="str">
        <f t="shared" si="251"/>
        <v/>
      </c>
      <c r="CI191" s="66" t="str">
        <f t="shared" si="252"/>
        <v/>
      </c>
      <c r="CJ191" s="47" t="s">
        <v>0</v>
      </c>
      <c r="CK191" s="73" t="str">
        <f t="shared" si="206"/>
        <v/>
      </c>
      <c r="CL191" s="47"/>
      <c r="CM191" s="19" t="str">
        <f t="shared" si="253"/>
        <v/>
      </c>
      <c r="CN191" s="47" t="s">
        <v>0</v>
      </c>
      <c r="CO191" s="143" t="str">
        <f t="shared" si="254"/>
        <v>OK Vihor</v>
      </c>
      <c r="CP191" s="47" t="s">
        <v>0</v>
      </c>
      <c r="CQ191" s="58" t="str">
        <f t="shared" si="270"/>
        <v>102:06</v>
      </c>
      <c r="CR191" s="73" t="str">
        <f t="shared" si="271"/>
        <v>0</v>
      </c>
      <c r="CS191" s="229" t="str">
        <f t="shared" si="207"/>
        <v/>
      </c>
      <c r="CT191" s="230">
        <f t="shared" si="272"/>
        <v>6126</v>
      </c>
      <c r="CU191" s="163">
        <f t="shared" si="208"/>
        <v>1</v>
      </c>
      <c r="CV191" s="47" t="s">
        <v>0</v>
      </c>
      <c r="CW191" s="222" t="str">
        <f t="shared" si="255"/>
        <v xml:space="preserve">
</v>
      </c>
      <c r="CX191" s="223">
        <f t="shared" si="256"/>
        <v>6</v>
      </c>
      <c r="CY191" s="47" t="s">
        <v>0</v>
      </c>
      <c r="CZ191" s="47"/>
      <c r="DA191" s="47"/>
      <c r="DB191" s="47"/>
      <c r="DC191" s="47" t="s">
        <v>0</v>
      </c>
      <c r="DD191" s="53" t="str">
        <f t="shared" si="264"/>
        <v/>
      </c>
      <c r="DE191" t="s">
        <v>0</v>
      </c>
      <c r="DF191" s="128" t="str">
        <f t="shared" si="265"/>
        <v>O</v>
      </c>
      <c r="DG191" t="s">
        <v>0</v>
      </c>
      <c r="DH191" s="52" t="str">
        <f t="shared" si="266"/>
        <v/>
      </c>
      <c r="DI191" s="66" t="str">
        <f t="shared" si="267"/>
        <v/>
      </c>
      <c r="DJ191" t="s">
        <v>0</v>
      </c>
      <c r="DK191" s="19" t="str">
        <f t="shared" si="268"/>
        <v/>
      </c>
      <c r="DL191" s="47" t="s">
        <v>0</v>
      </c>
      <c r="DM191" s="19" t="str">
        <f t="shared" si="269"/>
        <v/>
      </c>
      <c r="DN191" s="47" t="s">
        <v>0</v>
      </c>
      <c r="DO191" s="52" t="str">
        <f t="shared" si="209"/>
        <v>Antonija – Hodak – OK Vihor – OPEN</v>
      </c>
      <c r="DP191" s="53" t="str">
        <f t="shared" si="210"/>
        <v>NEMA</v>
      </c>
      <c r="DQ191" s="47" t="s">
        <v>0</v>
      </c>
      <c r="DR191" s="52" t="str">
        <f t="shared" si="211"/>
        <v>Antonija – Hodak – OK Vihor</v>
      </c>
      <c r="DS191" s="53">
        <f t="shared" si="212"/>
        <v>696</v>
      </c>
      <c r="DT191" s="47" t="s">
        <v>0</v>
      </c>
      <c r="DU191" s="52" t="str">
        <f t="shared" si="213"/>
        <v>Antonija – Hodak</v>
      </c>
      <c r="DV191" s="53">
        <f t="shared" si="214"/>
        <v>696</v>
      </c>
      <c r="DW191" s="47" t="s">
        <v>0</v>
      </c>
      <c r="DX191" s="58">
        <f t="shared" si="257"/>
        <v>696</v>
      </c>
      <c r="DY191" s="53" cm="1">
        <f t="array" ref="DY191">IF(DX191&lt;&gt;"",INDEX(regNatjecatelj_id,DX191,0),IF(BD191&lt;&gt;"",BD191,""))</f>
        <v>1146</v>
      </c>
      <c r="DZ191" s="47" t="s">
        <v>0</v>
      </c>
      <c r="EA191" s="58" t="str">
        <f t="shared" si="215"/>
        <v>imepre</v>
      </c>
      <c r="EB191" s="73" t="str">
        <f t="shared" si="216"/>
        <v>klu</v>
      </c>
      <c r="EC191" s="73" t="str">
        <f t="shared" si="217"/>
        <v>kat</v>
      </c>
      <c r="ED191" s="73" t="str">
        <f t="shared" si="218"/>
        <v/>
      </c>
      <c r="EE191" s="66" t="str">
        <f t="shared" si="219"/>
        <v>imepre-klu-kat</v>
      </c>
      <c r="EF191" s="47" t="s">
        <v>0</v>
      </c>
      <c r="EG191" s="58">
        <f>IF(AL191="","",MAX(EG$12:EG190)+1)</f>
        <v>351</v>
      </c>
      <c r="EH191" s="73">
        <f t="shared" si="220"/>
        <v>34</v>
      </c>
      <c r="EI191" s="73">
        <f t="shared" si="258"/>
        <v>1146</v>
      </c>
      <c r="EJ191" s="73">
        <f t="shared" si="221"/>
        <v>6126</v>
      </c>
      <c r="EK191" s="73">
        <f t="shared" si="222"/>
        <v>1</v>
      </c>
      <c r="EL191" s="73">
        <f t="shared" si="259"/>
        <v>0</v>
      </c>
      <c r="EM191" s="73">
        <f t="shared" si="260"/>
        <v>1</v>
      </c>
      <c r="EN191" s="73" t="str">
        <f t="shared" si="223"/>
        <v>0</v>
      </c>
      <c r="EO191" s="73" t="str">
        <f t="shared" si="224"/>
        <v/>
      </c>
      <c r="EP191" s="73" t="str">
        <f t="shared" si="225"/>
        <v/>
      </c>
      <c r="EQ191" s="53" t="str">
        <f t="shared" si="226"/>
        <v/>
      </c>
      <c r="ER191" s="47" t="s">
        <v>0</v>
      </c>
      <c r="ES191" s="19" t="str">
        <f t="shared" si="261"/>
        <v>INSERT INTO rezultat(id,stazakategorija_id,imeprezime_id,vrijeme_sec,status_id,registracija,uparivanje_id,originalstatus_id,imeprezimealias_id,klubalias_id,kategorijaalias_id) VALUES (351,34,1146,6126,1,0,1,0,Null,Null,Null);</v>
      </c>
      <c r="ET191" s="47" t="s">
        <v>0</v>
      </c>
      <c r="EU191" s="19" t="str">
        <f t="shared" si="262"/>
        <v/>
      </c>
      <c r="EV191" s="47" t="s">
        <v>0</v>
      </c>
      <c r="EW191" s="180" t="str">
        <f t="shared" si="227"/>
        <v xml:space="preserve">
INSERT INTO rezultat(id,stazakategorija_id,imeprezime_id,vrijeme_sec,status_id,registracija,uparivanje_id,originalstatus_id,imeprezimealias_id,klubalias_id,kategorijaalias_id) VALUES (351,34,1146,6126,1,0,1,0,Null,Null,Null);</v>
      </c>
      <c r="EX191" s="47" t="s">
        <v>0</v>
      </c>
    </row>
    <row r="192" spans="1:154" x14ac:dyDescent="0.25">
      <c r="A192" t="s">
        <v>0</v>
      </c>
      <c r="B192" s="52" t="str">
        <f>IF(csv!F182="","",csv!T182)</f>
        <v>OPEN</v>
      </c>
      <c r="C192" s="31" t="s">
        <v>0</v>
      </c>
      <c r="D192" s="31" t="str">
        <f>IF(csv!F182="","",csv!F182)</f>
        <v>Nika</v>
      </c>
      <c r="E192" s="31" t="str">
        <f>IF(csv!E182="","",csv!E182)</f>
        <v>Jurić</v>
      </c>
      <c r="F192" s="31" t="s">
        <v>0</v>
      </c>
      <c r="G192" s="73" t="str">
        <f>IF(csv!M182="","",csv!M182)</f>
        <v>102:19</v>
      </c>
      <c r="H192" s="73" t="str">
        <f>IF(csv!N182="","",csv!N182)</f>
        <v>0</v>
      </c>
      <c r="I192" s="31" t="s">
        <v>0</v>
      </c>
      <c r="J192" s="31" t="str">
        <f>IF(csv!P182="","",csv!P182)</f>
        <v>Vihor</v>
      </c>
      <c r="K192" s="31" t="str">
        <f>IF(csv!Q182="","",csv!Q182)</f>
        <v>OK Vihor</v>
      </c>
      <c r="L192" s="31" t="s">
        <v>0</v>
      </c>
      <c r="M192" s="66" t="str">
        <f>IF(csv!R182="","",csv!R182)</f>
        <v>CRO</v>
      </c>
      <c r="N192" s="47" t="s">
        <v>0</v>
      </c>
      <c r="O192" s="246" t="str">
        <f t="shared" si="228"/>
        <v>ok</v>
      </c>
      <c r="P192" s="47"/>
      <c r="Q192" s="52" t="str">
        <f t="shared" si="229"/>
        <v>OPEN</v>
      </c>
      <c r="R192" s="73">
        <f>IF(Q192="","",IF(COUNTIF(Q$12:Q191,Q192)=0,R191+1,R191))</f>
        <v>12</v>
      </c>
      <c r="S192" s="73">
        <f t="shared" si="230"/>
        <v>291</v>
      </c>
      <c r="T192" s="73">
        <f t="shared" si="193"/>
        <v>29</v>
      </c>
      <c r="U192" s="66" t="str">
        <f t="shared" si="194"/>
        <v>Otvorena</v>
      </c>
      <c r="V192" s="47" t="s">
        <v>0</v>
      </c>
      <c r="W192" s="222" t="str">
        <f t="shared" si="195"/>
        <v>Otvorena</v>
      </c>
      <c r="X192" s="223">
        <f t="shared" si="196"/>
        <v>34</v>
      </c>
      <c r="Y192" s="47" t="s">
        <v>0</v>
      </c>
      <c r="Z192" s="52" t="str">
        <f t="shared" si="231"/>
        <v>CRO</v>
      </c>
      <c r="AA192" s="73">
        <f t="shared" si="197"/>
        <v>1</v>
      </c>
      <c r="AB192" s="31" t="str">
        <f t="shared" si="232"/>
        <v/>
      </c>
      <c r="AC192" s="66" t="str">
        <f>IF(AB192="","",MAX(AC$12:AC191)+1)</f>
        <v/>
      </c>
      <c r="AD192" s="47" t="s">
        <v>0</v>
      </c>
      <c r="AE192" s="125"/>
      <c r="AF192" s="47" t="s">
        <v>0</v>
      </c>
      <c r="AG192" s="19" t="str">
        <f t="shared" si="233"/>
        <v/>
      </c>
      <c r="AH192" s="47" t="s">
        <v>0</v>
      </c>
      <c r="AI192" s="143" t="str">
        <f t="shared" si="234"/>
        <v>CRO</v>
      </c>
      <c r="AJ192" s="47"/>
      <c r="AK192" s="52" t="str">
        <f t="shared" si="235"/>
        <v>Nika</v>
      </c>
      <c r="AL192" s="31" t="str">
        <f t="shared" si="236"/>
        <v>Jurić</v>
      </c>
      <c r="AM192" s="73">
        <f t="shared" si="237"/>
        <v>1892</v>
      </c>
      <c r="AN192" s="73" t="str">
        <f t="shared" si="238"/>
        <v/>
      </c>
      <c r="AO192" s="31" t="str">
        <f t="shared" si="198"/>
        <v>Nika</v>
      </c>
      <c r="AP192" s="66" t="str">
        <f t="shared" si="199"/>
        <v>Jurić</v>
      </c>
      <c r="AQ192" s="47" t="s">
        <v>0</v>
      </c>
      <c r="AR192" s="82" t="str">
        <f t="shared" si="239"/>
        <v/>
      </c>
      <c r="AS192" s="47" t="s">
        <v>0</v>
      </c>
      <c r="AT192" s="19" t="str">
        <f t="shared" si="240"/>
        <v/>
      </c>
      <c r="AU192" s="47" t="s">
        <v>0</v>
      </c>
      <c r="AV192" s="103"/>
      <c r="AW192" s="105"/>
      <c r="AX192" s="47" t="s">
        <v>0</v>
      </c>
      <c r="AY192" s="259" t="str">
        <f t="shared" si="263"/>
        <v/>
      </c>
      <c r="AZ192" s="47" t="s">
        <v>0</v>
      </c>
      <c r="BA192" s="52" t="str">
        <f t="shared" si="200"/>
        <v/>
      </c>
      <c r="BB192" s="73" t="str">
        <f>IF(AV192&amp;AW192="","",MAX(BB$12:BB191)+1)</f>
        <v/>
      </c>
      <c r="BC192" s="272" t="str">
        <f t="shared" si="201"/>
        <v/>
      </c>
      <c r="BD192" s="53" t="str">
        <f>IF(AND(AM192="NEMA",AN192="NEMA",OR(AV192&amp;AW192="",BC192="NEMA")),MAX(BD$12:BD191)+1,"")</f>
        <v/>
      </c>
      <c r="BE192" s="47" t="s">
        <v>0</v>
      </c>
      <c r="BF192" s="52" t="str">
        <f t="shared" si="241"/>
        <v>Nika</v>
      </c>
      <c r="BG192" s="66" t="str">
        <f t="shared" si="242"/>
        <v>Jurić</v>
      </c>
      <c r="BH192" s="47" t="s">
        <v>0</v>
      </c>
      <c r="BI192" s="52" t="str">
        <f t="shared" si="202"/>
        <v>Vihor</v>
      </c>
      <c r="BJ192" s="31" t="str">
        <f t="shared" si="203"/>
        <v>OK Vihor</v>
      </c>
      <c r="BK192" s="73" t="str">
        <f t="shared" si="204"/>
        <v/>
      </c>
      <c r="BL192" s="31" t="str" cm="1">
        <f t="array" ref="BL192">IF(BK192="",""&amp;BJ192,IF(BK192="NEMA",BJ192,INDEX(regKlub_naziv,MATCH(INDEX(regKlub_alias_klubId,BK192),regKlub_id,0))))</f>
        <v>OK Vihor</v>
      </c>
      <c r="BM192" s="31" t="str" cm="1">
        <f t="array" ref="BM192">IFERROR(""&amp;INDEX(regNatjecatelj_klub,DV192),"")</f>
        <v>OK Vihor</v>
      </c>
      <c r="BN192" s="88" t="str">
        <f t="shared" si="243"/>
        <v/>
      </c>
      <c r="BO192" s="66" t="str">
        <f t="shared" si="244"/>
        <v>OK Vihor</v>
      </c>
      <c r="BP192" s="47" t="s">
        <v>0</v>
      </c>
      <c r="BQ192" s="52" t="str">
        <f>IF(X192&lt;&gt;"NEMA","",IF(IFERROR(MATCH(W192,W$12:W191,0),0)&lt;&gt;0,"",W192))</f>
        <v/>
      </c>
      <c r="BR192" s="73" t="str">
        <f t="shared" si="245"/>
        <v/>
      </c>
      <c r="BS192" s="31" t="str">
        <f>IF(OR(BR192="",BR192&lt;&gt;"NEMA"),"",MAX(BS$12:BS191)+1)</f>
        <v/>
      </c>
      <c r="BT192" s="66" t="str">
        <f t="shared" si="246"/>
        <v/>
      </c>
      <c r="BU192" s="47" t="s">
        <v>0</v>
      </c>
      <c r="BV192" s="19" t="str">
        <f t="shared" si="247"/>
        <v/>
      </c>
      <c r="BW192" s="47" t="s">
        <v>0</v>
      </c>
      <c r="BX192" s="82" t="str">
        <f>IF(BK192&lt;&gt;"NEMA","",IF(IFERROR(MATCH(BJ192,BJ$12:BJ191,0),0)&lt;&gt;0,"",BJ192))</f>
        <v/>
      </c>
      <c r="BY192" s="47" t="s">
        <v>0</v>
      </c>
      <c r="BZ192" s="125"/>
      <c r="CA192" s="47" t="s">
        <v>0</v>
      </c>
      <c r="CB192" s="58" t="str">
        <f t="shared" si="248"/>
        <v/>
      </c>
      <c r="CC192" s="31" t="str">
        <f t="shared" si="249"/>
        <v/>
      </c>
      <c r="CD192" s="31" t="str">
        <f>IF(CC192="","",MAX(CD$12:CD191)+1)</f>
        <v/>
      </c>
      <c r="CE192" s="31" t="str">
        <f t="shared" si="205"/>
        <v/>
      </c>
      <c r="CF192" s="31" t="str">
        <f t="shared" si="250"/>
        <v/>
      </c>
      <c r="CG192" s="31" t="str">
        <f>IF(BZ192="","",MAX(CG$12:CG191)+1)</f>
        <v/>
      </c>
      <c r="CH192" s="31" t="str">
        <f t="shared" si="251"/>
        <v/>
      </c>
      <c r="CI192" s="66" t="str">
        <f t="shared" si="252"/>
        <v/>
      </c>
      <c r="CJ192" s="47" t="s">
        <v>0</v>
      </c>
      <c r="CK192" s="73" t="str">
        <f t="shared" si="206"/>
        <v/>
      </c>
      <c r="CL192" s="47"/>
      <c r="CM192" s="19" t="str">
        <f t="shared" si="253"/>
        <v/>
      </c>
      <c r="CN192" s="47" t="s">
        <v>0</v>
      </c>
      <c r="CO192" s="143" t="str">
        <f t="shared" si="254"/>
        <v>OK Vihor</v>
      </c>
      <c r="CP192" s="47" t="s">
        <v>0</v>
      </c>
      <c r="CQ192" s="58" t="str">
        <f t="shared" si="270"/>
        <v>102:19</v>
      </c>
      <c r="CR192" s="73" t="str">
        <f t="shared" si="271"/>
        <v>0</v>
      </c>
      <c r="CS192" s="229" t="str">
        <f t="shared" si="207"/>
        <v/>
      </c>
      <c r="CT192" s="230">
        <f t="shared" si="272"/>
        <v>6139</v>
      </c>
      <c r="CU192" s="163">
        <f t="shared" si="208"/>
        <v>1</v>
      </c>
      <c r="CV192" s="47" t="s">
        <v>0</v>
      </c>
      <c r="CW192" s="222" t="str">
        <f t="shared" si="255"/>
        <v xml:space="preserve">
</v>
      </c>
      <c r="CX192" s="223">
        <f t="shared" si="256"/>
        <v>6</v>
      </c>
      <c r="CY192" s="47" t="s">
        <v>0</v>
      </c>
      <c r="CZ192" s="47"/>
      <c r="DA192" s="47"/>
      <c r="DB192" s="47"/>
      <c r="DC192" s="47" t="s">
        <v>0</v>
      </c>
      <c r="DD192" s="53" t="str">
        <f t="shared" si="264"/>
        <v/>
      </c>
      <c r="DE192" t="s">
        <v>0</v>
      </c>
      <c r="DF192" s="128" t="str">
        <f t="shared" si="265"/>
        <v>O</v>
      </c>
      <c r="DG192" t="s">
        <v>0</v>
      </c>
      <c r="DH192" s="52" t="str">
        <f t="shared" si="266"/>
        <v/>
      </c>
      <c r="DI192" s="66" t="str">
        <f t="shared" si="267"/>
        <v/>
      </c>
      <c r="DJ192" t="s">
        <v>0</v>
      </c>
      <c r="DK192" s="19" t="str">
        <f t="shared" si="268"/>
        <v/>
      </c>
      <c r="DL192" s="47" t="s">
        <v>0</v>
      </c>
      <c r="DM192" s="19" t="str">
        <f t="shared" si="269"/>
        <v/>
      </c>
      <c r="DN192" s="47" t="s">
        <v>0</v>
      </c>
      <c r="DO192" s="52" t="str">
        <f t="shared" si="209"/>
        <v>Nika – Jurić – OK Vihor – OPEN</v>
      </c>
      <c r="DP192" s="53" t="str">
        <f t="shared" si="210"/>
        <v>NEMA</v>
      </c>
      <c r="DQ192" s="47" t="s">
        <v>0</v>
      </c>
      <c r="DR192" s="52" t="str">
        <f t="shared" si="211"/>
        <v>Nika – Jurić – OK Vihor</v>
      </c>
      <c r="DS192" s="53">
        <f t="shared" si="212"/>
        <v>725</v>
      </c>
      <c r="DT192" s="47" t="s">
        <v>0</v>
      </c>
      <c r="DU192" s="52" t="str">
        <f t="shared" si="213"/>
        <v>Nika – Jurić</v>
      </c>
      <c r="DV192" s="53">
        <f t="shared" si="214"/>
        <v>725</v>
      </c>
      <c r="DW192" s="47" t="s">
        <v>0</v>
      </c>
      <c r="DX192" s="58">
        <f t="shared" si="257"/>
        <v>725</v>
      </c>
      <c r="DY192" s="53" cm="1">
        <f t="array" ref="DY192">IF(DX192&lt;&gt;"",INDEX(regNatjecatelj_id,DX192,0),IF(BD192&lt;&gt;"",BD192,""))</f>
        <v>1892</v>
      </c>
      <c r="DZ192" s="47" t="s">
        <v>0</v>
      </c>
      <c r="EA192" s="58" t="str">
        <f t="shared" si="215"/>
        <v>imepre</v>
      </c>
      <c r="EB192" s="73" t="str">
        <f t="shared" si="216"/>
        <v>klu</v>
      </c>
      <c r="EC192" s="73" t="str">
        <f t="shared" si="217"/>
        <v>kat</v>
      </c>
      <c r="ED192" s="73" t="str">
        <f t="shared" si="218"/>
        <v/>
      </c>
      <c r="EE192" s="66" t="str">
        <f t="shared" si="219"/>
        <v>imepre-klu-kat</v>
      </c>
      <c r="EF192" s="47" t="s">
        <v>0</v>
      </c>
      <c r="EG192" s="58">
        <f>IF(AL192="","",MAX(EG$12:EG191)+1)</f>
        <v>352</v>
      </c>
      <c r="EH192" s="73">
        <f t="shared" si="220"/>
        <v>34</v>
      </c>
      <c r="EI192" s="73">
        <f t="shared" si="258"/>
        <v>1892</v>
      </c>
      <c r="EJ192" s="73">
        <f t="shared" si="221"/>
        <v>6139</v>
      </c>
      <c r="EK192" s="73">
        <f t="shared" si="222"/>
        <v>1</v>
      </c>
      <c r="EL192" s="73">
        <f t="shared" si="259"/>
        <v>0</v>
      </c>
      <c r="EM192" s="73">
        <f t="shared" si="260"/>
        <v>1</v>
      </c>
      <c r="EN192" s="73" t="str">
        <f t="shared" si="223"/>
        <v>0</v>
      </c>
      <c r="EO192" s="73" t="str">
        <f t="shared" si="224"/>
        <v/>
      </c>
      <c r="EP192" s="73" t="str">
        <f t="shared" si="225"/>
        <v/>
      </c>
      <c r="EQ192" s="53" t="str">
        <f t="shared" si="226"/>
        <v/>
      </c>
      <c r="ER192" s="47" t="s">
        <v>0</v>
      </c>
      <c r="ES192" s="19" t="str">
        <f t="shared" si="261"/>
        <v>INSERT INTO rezultat(id,stazakategorija_id,imeprezime_id,vrijeme_sec,status_id,registracija,uparivanje_id,originalstatus_id,imeprezimealias_id,klubalias_id,kategorijaalias_id) VALUES (352,34,1892,6139,1,0,1,0,Null,Null,Null);</v>
      </c>
      <c r="ET192" s="47" t="s">
        <v>0</v>
      </c>
      <c r="EU192" s="19" t="str">
        <f t="shared" si="262"/>
        <v/>
      </c>
      <c r="EV192" s="47" t="s">
        <v>0</v>
      </c>
      <c r="EW192" s="180" t="str">
        <f t="shared" si="227"/>
        <v xml:space="preserve">
INSERT INTO rezultat(id,stazakategorija_id,imeprezime_id,vrijeme_sec,status_id,registracija,uparivanje_id,originalstatus_id,imeprezimealias_id,klubalias_id,kategorijaalias_id) VALUES (352,34,1892,6139,1,0,1,0,Null,Null,Null);</v>
      </c>
      <c r="EX192" s="47" t="s">
        <v>0</v>
      </c>
    </row>
    <row r="193" spans="1:154" x14ac:dyDescent="0.25">
      <c r="A193" t="s">
        <v>0</v>
      </c>
      <c r="B193" s="52" t="str">
        <f>IF(csv!F183="","",csv!T183)</f>
        <v>OPEN</v>
      </c>
      <c r="C193" s="31" t="s">
        <v>0</v>
      </c>
      <c r="D193" s="31" t="str">
        <f>IF(csv!F183="","",csv!F183)</f>
        <v>Sandra</v>
      </c>
      <c r="E193" s="31" t="str">
        <f>IF(csv!E183="","",csv!E183)</f>
        <v>Gerber</v>
      </c>
      <c r="F193" s="31" t="s">
        <v>0</v>
      </c>
      <c r="G193" s="73" t="str">
        <f>IF(csv!M183="","",csv!M183)</f>
        <v>126:55</v>
      </c>
      <c r="H193" s="73" t="str">
        <f>IF(csv!N183="","",csv!N183)</f>
        <v>0</v>
      </c>
      <c r="I193" s="31" t="s">
        <v>0</v>
      </c>
      <c r="J193" s="31" t="str">
        <f>IF(csv!P183="","",csv!P183)</f>
        <v>KAP</v>
      </c>
      <c r="K193" s="31" t="str">
        <f>IF(csv!Q183="","",csv!Q183)</f>
        <v>OK Kapela</v>
      </c>
      <c r="L193" s="31" t="s">
        <v>0</v>
      </c>
      <c r="M193" s="66" t="str">
        <f>IF(csv!R183="","",csv!R183)</f>
        <v>CRO</v>
      </c>
      <c r="N193" s="47" t="s">
        <v>0</v>
      </c>
      <c r="O193" s="246" t="str">
        <f t="shared" si="228"/>
        <v>ok</v>
      </c>
      <c r="P193" s="47"/>
      <c r="Q193" s="52" t="str">
        <f t="shared" si="229"/>
        <v>OPEN</v>
      </c>
      <c r="R193" s="73">
        <f>IF(Q193="","",IF(COUNTIF(Q$12:Q192,Q193)=0,R192+1,R192))</f>
        <v>12</v>
      </c>
      <c r="S193" s="73">
        <f t="shared" si="230"/>
        <v>291</v>
      </c>
      <c r="T193" s="73">
        <f t="shared" si="193"/>
        <v>29</v>
      </c>
      <c r="U193" s="66" t="str">
        <f t="shared" si="194"/>
        <v>Otvorena</v>
      </c>
      <c r="V193" s="47" t="s">
        <v>0</v>
      </c>
      <c r="W193" s="222" t="str">
        <f t="shared" si="195"/>
        <v>Otvorena</v>
      </c>
      <c r="X193" s="223">
        <f t="shared" si="196"/>
        <v>34</v>
      </c>
      <c r="Y193" s="47" t="s">
        <v>0</v>
      </c>
      <c r="Z193" s="52" t="str">
        <f t="shared" si="231"/>
        <v>CRO</v>
      </c>
      <c r="AA193" s="73">
        <f t="shared" si="197"/>
        <v>1</v>
      </c>
      <c r="AB193" s="31" t="str">
        <f t="shared" si="232"/>
        <v/>
      </c>
      <c r="AC193" s="66" t="str">
        <f>IF(AB193="","",MAX(AC$12:AC192)+1)</f>
        <v/>
      </c>
      <c r="AD193" s="47" t="s">
        <v>0</v>
      </c>
      <c r="AE193" s="125"/>
      <c r="AF193" s="47" t="s">
        <v>0</v>
      </c>
      <c r="AG193" s="19" t="str">
        <f t="shared" si="233"/>
        <v/>
      </c>
      <c r="AH193" s="47" t="s">
        <v>0</v>
      </c>
      <c r="AI193" s="143" t="str">
        <f t="shared" si="234"/>
        <v>CRO</v>
      </c>
      <c r="AJ193" s="47"/>
      <c r="AK193" s="52" t="str">
        <f t="shared" si="235"/>
        <v>Sandra</v>
      </c>
      <c r="AL193" s="31" t="str">
        <f t="shared" si="236"/>
        <v>Gerber</v>
      </c>
      <c r="AM193" s="73">
        <f t="shared" si="237"/>
        <v>1938</v>
      </c>
      <c r="AN193" s="73" t="str">
        <f t="shared" si="238"/>
        <v/>
      </c>
      <c r="AO193" s="31" t="str">
        <f t="shared" si="198"/>
        <v>Sandra</v>
      </c>
      <c r="AP193" s="66" t="str">
        <f t="shared" si="199"/>
        <v>Gerber</v>
      </c>
      <c r="AQ193" s="47" t="s">
        <v>0</v>
      </c>
      <c r="AR193" s="82" t="str">
        <f t="shared" si="239"/>
        <v/>
      </c>
      <c r="AS193" s="47" t="s">
        <v>0</v>
      </c>
      <c r="AT193" s="19" t="str">
        <f t="shared" si="240"/>
        <v/>
      </c>
      <c r="AU193" s="47" t="s">
        <v>0</v>
      </c>
      <c r="AV193" s="103"/>
      <c r="AW193" s="105"/>
      <c r="AX193" s="47" t="s">
        <v>0</v>
      </c>
      <c r="AY193" s="259" t="str">
        <f t="shared" si="263"/>
        <v/>
      </c>
      <c r="AZ193" s="47" t="s">
        <v>0</v>
      </c>
      <c r="BA193" s="52" t="str">
        <f t="shared" si="200"/>
        <v/>
      </c>
      <c r="BB193" s="73" t="str">
        <f>IF(AV193&amp;AW193="","",MAX(BB$12:BB192)+1)</f>
        <v/>
      </c>
      <c r="BC193" s="272" t="str">
        <f t="shared" si="201"/>
        <v/>
      </c>
      <c r="BD193" s="53" t="str">
        <f>IF(AND(AM193="NEMA",AN193="NEMA",OR(AV193&amp;AW193="",BC193="NEMA")),MAX(BD$12:BD192)+1,"")</f>
        <v/>
      </c>
      <c r="BE193" s="47" t="s">
        <v>0</v>
      </c>
      <c r="BF193" s="52" t="str">
        <f t="shared" si="241"/>
        <v>Sandra</v>
      </c>
      <c r="BG193" s="66" t="str">
        <f t="shared" si="242"/>
        <v>Gerber</v>
      </c>
      <c r="BH193" s="47" t="s">
        <v>0</v>
      </c>
      <c r="BI193" s="52" t="str">
        <f t="shared" si="202"/>
        <v>KAP</v>
      </c>
      <c r="BJ193" s="31" t="str">
        <f t="shared" si="203"/>
        <v>OK Kapela</v>
      </c>
      <c r="BK193" s="73" t="str">
        <f t="shared" si="204"/>
        <v/>
      </c>
      <c r="BL193" s="31" t="str" cm="1">
        <f t="array" ref="BL193">IF(BK193="",""&amp;BJ193,IF(BK193="NEMA",BJ193,INDEX(regKlub_naziv,MATCH(INDEX(regKlub_alias_klubId,BK193),regKlub_id,0))))</f>
        <v>OK Kapela</v>
      </c>
      <c r="BM193" s="31" t="str" cm="1">
        <f t="array" ref="BM193">IFERROR(""&amp;INDEX(regNatjecatelj_klub,DV193),"")</f>
        <v>OK Kapela</v>
      </c>
      <c r="BN193" s="88" t="str">
        <f t="shared" si="243"/>
        <v/>
      </c>
      <c r="BO193" s="66" t="str">
        <f t="shared" si="244"/>
        <v>OK Kapela</v>
      </c>
      <c r="BP193" s="47" t="s">
        <v>0</v>
      </c>
      <c r="BQ193" s="52" t="str">
        <f>IF(X193&lt;&gt;"NEMA","",IF(IFERROR(MATCH(W193,W$12:W192,0),0)&lt;&gt;0,"",W193))</f>
        <v/>
      </c>
      <c r="BR193" s="73" t="str">
        <f t="shared" si="245"/>
        <v/>
      </c>
      <c r="BS193" s="31" t="str">
        <f>IF(OR(BR193="",BR193&lt;&gt;"NEMA"),"",MAX(BS$12:BS192)+1)</f>
        <v/>
      </c>
      <c r="BT193" s="66" t="str">
        <f t="shared" si="246"/>
        <v/>
      </c>
      <c r="BU193" s="47" t="s">
        <v>0</v>
      </c>
      <c r="BV193" s="19" t="str">
        <f t="shared" si="247"/>
        <v/>
      </c>
      <c r="BW193" s="47" t="s">
        <v>0</v>
      </c>
      <c r="BX193" s="82" t="str">
        <f>IF(BK193&lt;&gt;"NEMA","",IF(IFERROR(MATCH(BJ193,BJ$12:BJ192,0),0)&lt;&gt;0,"",BJ193))</f>
        <v/>
      </c>
      <c r="BY193" s="47" t="s">
        <v>0</v>
      </c>
      <c r="BZ193" s="125"/>
      <c r="CA193" s="47" t="s">
        <v>0</v>
      </c>
      <c r="CB193" s="58" t="str">
        <f t="shared" si="248"/>
        <v/>
      </c>
      <c r="CC193" s="31" t="str">
        <f t="shared" si="249"/>
        <v/>
      </c>
      <c r="CD193" s="31" t="str">
        <f>IF(CC193="","",MAX(CD$12:CD192)+1)</f>
        <v/>
      </c>
      <c r="CE193" s="31" t="str">
        <f t="shared" si="205"/>
        <v/>
      </c>
      <c r="CF193" s="31" t="str">
        <f t="shared" si="250"/>
        <v/>
      </c>
      <c r="CG193" s="31" t="str">
        <f>IF(BZ193="","",MAX(CG$12:CG192)+1)</f>
        <v/>
      </c>
      <c r="CH193" s="31" t="str">
        <f t="shared" si="251"/>
        <v/>
      </c>
      <c r="CI193" s="66" t="str">
        <f t="shared" si="252"/>
        <v/>
      </c>
      <c r="CJ193" s="47" t="s">
        <v>0</v>
      </c>
      <c r="CK193" s="73" t="str">
        <f t="shared" si="206"/>
        <v/>
      </c>
      <c r="CL193" s="47"/>
      <c r="CM193" s="19" t="str">
        <f t="shared" si="253"/>
        <v/>
      </c>
      <c r="CN193" s="47" t="s">
        <v>0</v>
      </c>
      <c r="CO193" s="143" t="str">
        <f t="shared" si="254"/>
        <v>OK Kapela</v>
      </c>
      <c r="CP193" s="47" t="s">
        <v>0</v>
      </c>
      <c r="CQ193" s="58" t="str">
        <f t="shared" si="270"/>
        <v>126:55</v>
      </c>
      <c r="CR193" s="73" t="str">
        <f t="shared" si="271"/>
        <v>0</v>
      </c>
      <c r="CS193" s="229" t="str">
        <f t="shared" si="207"/>
        <v/>
      </c>
      <c r="CT193" s="230">
        <f t="shared" si="272"/>
        <v>7615</v>
      </c>
      <c r="CU193" s="163">
        <f t="shared" si="208"/>
        <v>1</v>
      </c>
      <c r="CV193" s="47" t="s">
        <v>0</v>
      </c>
      <c r="CW193" s="222" t="str">
        <f t="shared" si="255"/>
        <v xml:space="preserve">
</v>
      </c>
      <c r="CX193" s="223">
        <f t="shared" si="256"/>
        <v>6</v>
      </c>
      <c r="CY193" s="47" t="s">
        <v>0</v>
      </c>
      <c r="CZ193" s="47"/>
      <c r="DA193" s="47"/>
      <c r="DB193" s="47"/>
      <c r="DC193" s="47" t="s">
        <v>0</v>
      </c>
      <c r="DD193" s="53" t="str">
        <f t="shared" si="264"/>
        <v/>
      </c>
      <c r="DE193" t="s">
        <v>0</v>
      </c>
      <c r="DF193" s="128" t="str">
        <f t="shared" si="265"/>
        <v>O</v>
      </c>
      <c r="DG193" t="s">
        <v>0</v>
      </c>
      <c r="DH193" s="52" t="str">
        <f t="shared" si="266"/>
        <v/>
      </c>
      <c r="DI193" s="66" t="str">
        <f t="shared" si="267"/>
        <v/>
      </c>
      <c r="DJ193" t="s">
        <v>0</v>
      </c>
      <c r="DK193" s="19" t="str">
        <f t="shared" si="268"/>
        <v/>
      </c>
      <c r="DL193" s="47" t="s">
        <v>0</v>
      </c>
      <c r="DM193" s="19" t="str">
        <f t="shared" si="269"/>
        <v/>
      </c>
      <c r="DN193" s="47" t="s">
        <v>0</v>
      </c>
      <c r="DO193" s="52" t="str">
        <f t="shared" si="209"/>
        <v>Sandra – Gerber – OK Kapela – OPEN</v>
      </c>
      <c r="DP193" s="53" t="str">
        <f t="shared" si="210"/>
        <v>NEMA</v>
      </c>
      <c r="DQ193" s="47" t="s">
        <v>0</v>
      </c>
      <c r="DR193" s="52" t="str">
        <f t="shared" si="211"/>
        <v>Sandra – Gerber – OK Kapela</v>
      </c>
      <c r="DS193" s="53">
        <f t="shared" si="212"/>
        <v>241</v>
      </c>
      <c r="DT193" s="47" t="s">
        <v>0</v>
      </c>
      <c r="DU193" s="52" t="str">
        <f t="shared" si="213"/>
        <v>Sandra – Gerber</v>
      </c>
      <c r="DV193" s="53">
        <f t="shared" si="214"/>
        <v>241</v>
      </c>
      <c r="DW193" s="47" t="s">
        <v>0</v>
      </c>
      <c r="DX193" s="58">
        <f t="shared" si="257"/>
        <v>241</v>
      </c>
      <c r="DY193" s="53" cm="1">
        <f t="array" ref="DY193">IF(DX193&lt;&gt;"",INDEX(regNatjecatelj_id,DX193,0),IF(BD193&lt;&gt;"",BD193,""))</f>
        <v>1938</v>
      </c>
      <c r="DZ193" s="47" t="s">
        <v>0</v>
      </c>
      <c r="EA193" s="58" t="str">
        <f t="shared" si="215"/>
        <v>imepre</v>
      </c>
      <c r="EB193" s="73" t="str">
        <f t="shared" si="216"/>
        <v>klu</v>
      </c>
      <c r="EC193" s="73" t="str">
        <f t="shared" si="217"/>
        <v>kat</v>
      </c>
      <c r="ED193" s="73" t="str">
        <f t="shared" si="218"/>
        <v/>
      </c>
      <c r="EE193" s="66" t="str">
        <f t="shared" si="219"/>
        <v>imepre-klu-kat</v>
      </c>
      <c r="EF193" s="47" t="s">
        <v>0</v>
      </c>
      <c r="EG193" s="58">
        <f>IF(AL193="","",MAX(EG$12:EG192)+1)</f>
        <v>353</v>
      </c>
      <c r="EH193" s="73">
        <f t="shared" si="220"/>
        <v>34</v>
      </c>
      <c r="EI193" s="73">
        <f t="shared" si="258"/>
        <v>1938</v>
      </c>
      <c r="EJ193" s="73">
        <f t="shared" si="221"/>
        <v>7615</v>
      </c>
      <c r="EK193" s="73">
        <f t="shared" si="222"/>
        <v>1</v>
      </c>
      <c r="EL193" s="73">
        <f t="shared" si="259"/>
        <v>0</v>
      </c>
      <c r="EM193" s="73">
        <f t="shared" si="260"/>
        <v>1</v>
      </c>
      <c r="EN193" s="73" t="str">
        <f t="shared" si="223"/>
        <v>0</v>
      </c>
      <c r="EO193" s="73" t="str">
        <f t="shared" si="224"/>
        <v/>
      </c>
      <c r="EP193" s="73" t="str">
        <f t="shared" si="225"/>
        <v/>
      </c>
      <c r="EQ193" s="53" t="str">
        <f t="shared" si="226"/>
        <v/>
      </c>
      <c r="ER193" s="47" t="s">
        <v>0</v>
      </c>
      <c r="ES193" s="19" t="str">
        <f t="shared" si="261"/>
        <v>INSERT INTO rezultat(id,stazakategorija_id,imeprezime_id,vrijeme_sec,status_id,registracija,uparivanje_id,originalstatus_id,imeprezimealias_id,klubalias_id,kategorijaalias_id) VALUES (353,34,1938,7615,1,0,1,0,Null,Null,Null);</v>
      </c>
      <c r="ET193" s="47" t="s">
        <v>0</v>
      </c>
      <c r="EU193" s="19" t="str">
        <f t="shared" si="262"/>
        <v/>
      </c>
      <c r="EV193" s="47" t="s">
        <v>0</v>
      </c>
      <c r="EW193" s="180" t="str">
        <f t="shared" si="227"/>
        <v xml:space="preserve">
INSERT INTO rezultat(id,stazakategorija_id,imeprezime_id,vrijeme_sec,status_id,registracija,uparivanje_id,originalstatus_id,imeprezimealias_id,klubalias_id,kategorijaalias_id) VALUES (353,34,1938,7615,1,0,1,0,Null,Null,Null);</v>
      </c>
      <c r="EX193" s="47" t="s">
        <v>0</v>
      </c>
    </row>
    <row r="194" spans="1:154" x14ac:dyDescent="0.25">
      <c r="A194" t="s">
        <v>0</v>
      </c>
      <c r="B194" s="52" t="str">
        <f>IF(csv!F184="","",csv!T184)</f>
        <v>OPEN</v>
      </c>
      <c r="C194" s="31" t="s">
        <v>0</v>
      </c>
      <c r="D194" s="31" t="str">
        <f>IF(csv!F184="","",csv!F184)</f>
        <v>Barbara</v>
      </c>
      <c r="E194" s="31" t="str">
        <f>IF(csv!E184="","",csv!E184)</f>
        <v>Bjeliš</v>
      </c>
      <c r="F194" s="31" t="s">
        <v>0</v>
      </c>
      <c r="G194" s="73" t="str">
        <f>IF(csv!M184="","",csv!M184)</f>
        <v>144:27</v>
      </c>
      <c r="H194" s="73" t="str">
        <f>IF(csv!N184="","",csv!N184)</f>
        <v>0</v>
      </c>
      <c r="I194" s="31" t="s">
        <v>0</v>
      </c>
      <c r="J194" s="31" t="str">
        <f>IF(csv!P184="","",csv!P184)</f>
        <v>Vihor</v>
      </c>
      <c r="K194" s="31" t="str">
        <f>IF(csv!Q184="","",csv!Q184)</f>
        <v>OK Vihor</v>
      </c>
      <c r="L194" s="31" t="s">
        <v>0</v>
      </c>
      <c r="M194" s="66" t="str">
        <f>IF(csv!R184="","",csv!R184)</f>
        <v>CRO</v>
      </c>
      <c r="N194" s="47" t="s">
        <v>0</v>
      </c>
      <c r="O194" s="246" t="str">
        <f t="shared" si="228"/>
        <v>ok</v>
      </c>
      <c r="P194" s="47"/>
      <c r="Q194" s="52" t="str">
        <f t="shared" si="229"/>
        <v>OPEN</v>
      </c>
      <c r="R194" s="73">
        <f>IF(Q194="","",IF(COUNTIF(Q$12:Q193,Q194)=0,R193+1,R193))</f>
        <v>12</v>
      </c>
      <c r="S194" s="73">
        <f t="shared" si="230"/>
        <v>291</v>
      </c>
      <c r="T194" s="73">
        <f t="shared" si="193"/>
        <v>29</v>
      </c>
      <c r="U194" s="66" t="str">
        <f t="shared" si="194"/>
        <v>Otvorena</v>
      </c>
      <c r="V194" s="47" t="s">
        <v>0</v>
      </c>
      <c r="W194" s="222" t="str">
        <f t="shared" si="195"/>
        <v>Otvorena</v>
      </c>
      <c r="X194" s="223">
        <f t="shared" si="196"/>
        <v>34</v>
      </c>
      <c r="Y194" s="47" t="s">
        <v>0</v>
      </c>
      <c r="Z194" s="52" t="str">
        <f t="shared" si="231"/>
        <v>CRO</v>
      </c>
      <c r="AA194" s="73">
        <f t="shared" si="197"/>
        <v>1</v>
      </c>
      <c r="AB194" s="31" t="str">
        <f t="shared" si="232"/>
        <v/>
      </c>
      <c r="AC194" s="66" t="str">
        <f>IF(AB194="","",MAX(AC$12:AC193)+1)</f>
        <v/>
      </c>
      <c r="AD194" s="47" t="s">
        <v>0</v>
      </c>
      <c r="AE194" s="125"/>
      <c r="AF194" s="47" t="s">
        <v>0</v>
      </c>
      <c r="AG194" s="19" t="str">
        <f t="shared" si="233"/>
        <v/>
      </c>
      <c r="AH194" s="47" t="s">
        <v>0</v>
      </c>
      <c r="AI194" s="143" t="str">
        <f t="shared" si="234"/>
        <v>CRO</v>
      </c>
      <c r="AJ194" s="47"/>
      <c r="AK194" s="52" t="str">
        <f t="shared" si="235"/>
        <v>Barbara</v>
      </c>
      <c r="AL194" s="31" t="str">
        <f t="shared" si="236"/>
        <v>Bjeliš</v>
      </c>
      <c r="AM194" s="73">
        <f t="shared" si="237"/>
        <v>1883</v>
      </c>
      <c r="AN194" s="73" t="str">
        <f t="shared" si="238"/>
        <v/>
      </c>
      <c r="AO194" s="31" t="str">
        <f t="shared" si="198"/>
        <v>Barbara</v>
      </c>
      <c r="AP194" s="66" t="str">
        <f t="shared" si="199"/>
        <v>Bjeliš</v>
      </c>
      <c r="AQ194" s="47" t="s">
        <v>0</v>
      </c>
      <c r="AR194" s="82" t="str">
        <f t="shared" si="239"/>
        <v/>
      </c>
      <c r="AS194" s="47" t="s">
        <v>0</v>
      </c>
      <c r="AT194" s="19" t="str">
        <f t="shared" si="240"/>
        <v/>
      </c>
      <c r="AU194" s="47" t="s">
        <v>0</v>
      </c>
      <c r="AV194" s="103"/>
      <c r="AW194" s="105"/>
      <c r="AX194" s="47" t="s">
        <v>0</v>
      </c>
      <c r="AY194" s="259" t="str">
        <f t="shared" si="263"/>
        <v/>
      </c>
      <c r="AZ194" s="47" t="s">
        <v>0</v>
      </c>
      <c r="BA194" s="52" t="str">
        <f t="shared" si="200"/>
        <v/>
      </c>
      <c r="BB194" s="73" t="str">
        <f>IF(AV194&amp;AW194="","",MAX(BB$12:BB193)+1)</f>
        <v/>
      </c>
      <c r="BC194" s="272" t="str">
        <f t="shared" si="201"/>
        <v/>
      </c>
      <c r="BD194" s="53" t="str">
        <f>IF(AND(AM194="NEMA",AN194="NEMA",OR(AV194&amp;AW194="",BC194="NEMA")),MAX(BD$12:BD193)+1,"")</f>
        <v/>
      </c>
      <c r="BE194" s="47" t="s">
        <v>0</v>
      </c>
      <c r="BF194" s="52" t="str">
        <f t="shared" si="241"/>
        <v>Barbara</v>
      </c>
      <c r="BG194" s="66" t="str">
        <f t="shared" si="242"/>
        <v>Bjeliš</v>
      </c>
      <c r="BH194" s="47" t="s">
        <v>0</v>
      </c>
      <c r="BI194" s="52" t="str">
        <f t="shared" si="202"/>
        <v>Vihor</v>
      </c>
      <c r="BJ194" s="31" t="str">
        <f t="shared" si="203"/>
        <v>OK Vihor</v>
      </c>
      <c r="BK194" s="73" t="str">
        <f t="shared" si="204"/>
        <v/>
      </c>
      <c r="BL194" s="31" t="str" cm="1">
        <f t="array" ref="BL194">IF(BK194="",""&amp;BJ194,IF(BK194="NEMA",BJ194,INDEX(regKlub_naziv,MATCH(INDEX(regKlub_alias_klubId,BK194),regKlub_id,0))))</f>
        <v>OK Vihor</v>
      </c>
      <c r="BM194" s="31" t="str" cm="1">
        <f t="array" ref="BM194">IFERROR(""&amp;INDEX(regNatjecatelj_klub,DV194),"")</f>
        <v>OK Vihor</v>
      </c>
      <c r="BN194" s="88" t="str">
        <f t="shared" si="243"/>
        <v/>
      </c>
      <c r="BO194" s="66" t="str">
        <f t="shared" si="244"/>
        <v>OK Vihor</v>
      </c>
      <c r="BP194" s="47" t="s">
        <v>0</v>
      </c>
      <c r="BQ194" s="52" t="str">
        <f>IF(X194&lt;&gt;"NEMA","",IF(IFERROR(MATCH(W194,W$12:W193,0),0)&lt;&gt;0,"",W194))</f>
        <v/>
      </c>
      <c r="BR194" s="73" t="str">
        <f t="shared" si="245"/>
        <v/>
      </c>
      <c r="BS194" s="31" t="str">
        <f>IF(OR(BR194="",BR194&lt;&gt;"NEMA"),"",MAX(BS$12:BS193)+1)</f>
        <v/>
      </c>
      <c r="BT194" s="66" t="str">
        <f t="shared" si="246"/>
        <v/>
      </c>
      <c r="BU194" s="47" t="s">
        <v>0</v>
      </c>
      <c r="BV194" s="19" t="str">
        <f t="shared" si="247"/>
        <v/>
      </c>
      <c r="BW194" s="47" t="s">
        <v>0</v>
      </c>
      <c r="BX194" s="82" t="str">
        <f>IF(BK194&lt;&gt;"NEMA","",IF(IFERROR(MATCH(BJ194,BJ$12:BJ193,0),0)&lt;&gt;0,"",BJ194))</f>
        <v/>
      </c>
      <c r="BY194" s="47" t="s">
        <v>0</v>
      </c>
      <c r="BZ194" s="125"/>
      <c r="CA194" s="47" t="s">
        <v>0</v>
      </c>
      <c r="CB194" s="58" t="str">
        <f t="shared" si="248"/>
        <v/>
      </c>
      <c r="CC194" s="31" t="str">
        <f t="shared" si="249"/>
        <v/>
      </c>
      <c r="CD194" s="31" t="str">
        <f>IF(CC194="","",MAX(CD$12:CD193)+1)</f>
        <v/>
      </c>
      <c r="CE194" s="31" t="str">
        <f t="shared" si="205"/>
        <v/>
      </c>
      <c r="CF194" s="31" t="str">
        <f t="shared" si="250"/>
        <v/>
      </c>
      <c r="CG194" s="31" t="str">
        <f>IF(BZ194="","",MAX(CG$12:CG193)+1)</f>
        <v/>
      </c>
      <c r="CH194" s="31" t="str">
        <f t="shared" si="251"/>
        <v/>
      </c>
      <c r="CI194" s="66" t="str">
        <f t="shared" si="252"/>
        <v/>
      </c>
      <c r="CJ194" s="47" t="s">
        <v>0</v>
      </c>
      <c r="CK194" s="73" t="str">
        <f t="shared" si="206"/>
        <v/>
      </c>
      <c r="CL194" s="47"/>
      <c r="CM194" s="19" t="str">
        <f t="shared" si="253"/>
        <v/>
      </c>
      <c r="CN194" s="47" t="s">
        <v>0</v>
      </c>
      <c r="CO194" s="143" t="str">
        <f t="shared" si="254"/>
        <v>OK Vihor</v>
      </c>
      <c r="CP194" s="47" t="s">
        <v>0</v>
      </c>
      <c r="CQ194" s="58" t="str">
        <f t="shared" si="270"/>
        <v>144:27</v>
      </c>
      <c r="CR194" s="73" t="str">
        <f t="shared" si="271"/>
        <v>0</v>
      </c>
      <c r="CS194" s="229" t="str">
        <f t="shared" si="207"/>
        <v/>
      </c>
      <c r="CT194" s="230">
        <f t="shared" si="272"/>
        <v>8667</v>
      </c>
      <c r="CU194" s="163">
        <f t="shared" si="208"/>
        <v>1</v>
      </c>
      <c r="CV194" s="47" t="s">
        <v>0</v>
      </c>
      <c r="CW194" s="222" t="str">
        <f t="shared" si="255"/>
        <v xml:space="preserve">
</v>
      </c>
      <c r="CX194" s="223">
        <f t="shared" si="256"/>
        <v>6</v>
      </c>
      <c r="CY194" s="47" t="s">
        <v>0</v>
      </c>
      <c r="CZ194" s="47"/>
      <c r="DA194" s="47"/>
      <c r="DB194" s="47"/>
      <c r="DC194" s="47" t="s">
        <v>0</v>
      </c>
      <c r="DD194" s="53" t="str">
        <f t="shared" si="264"/>
        <v/>
      </c>
      <c r="DE194" t="s">
        <v>0</v>
      </c>
      <c r="DF194" s="128" t="str">
        <f t="shared" si="265"/>
        <v>O</v>
      </c>
      <c r="DG194" t="s">
        <v>0</v>
      </c>
      <c r="DH194" s="52" t="str">
        <f t="shared" si="266"/>
        <v/>
      </c>
      <c r="DI194" s="66" t="str">
        <f t="shared" si="267"/>
        <v/>
      </c>
      <c r="DJ194" t="s">
        <v>0</v>
      </c>
      <c r="DK194" s="19" t="str">
        <f t="shared" si="268"/>
        <v/>
      </c>
      <c r="DL194" s="47" t="s">
        <v>0</v>
      </c>
      <c r="DM194" s="19" t="str">
        <f t="shared" si="269"/>
        <v/>
      </c>
      <c r="DN194" s="47" t="s">
        <v>0</v>
      </c>
      <c r="DO194" s="52" t="str">
        <f t="shared" si="209"/>
        <v>Barbara – Bjeliš – OK Vihor – OPEN</v>
      </c>
      <c r="DP194" s="53" t="str">
        <f t="shared" si="210"/>
        <v>NEMA</v>
      </c>
      <c r="DQ194" s="47" t="s">
        <v>0</v>
      </c>
      <c r="DR194" s="52" t="str">
        <f t="shared" si="211"/>
        <v>Barbara – Bjeliš – OK Vihor</v>
      </c>
      <c r="DS194" s="53">
        <f t="shared" si="212"/>
        <v>630</v>
      </c>
      <c r="DT194" s="47" t="s">
        <v>0</v>
      </c>
      <c r="DU194" s="52" t="str">
        <f t="shared" si="213"/>
        <v>Barbara – Bjeliš</v>
      </c>
      <c r="DV194" s="53">
        <f t="shared" si="214"/>
        <v>630</v>
      </c>
      <c r="DW194" s="47" t="s">
        <v>0</v>
      </c>
      <c r="DX194" s="58">
        <f t="shared" si="257"/>
        <v>630</v>
      </c>
      <c r="DY194" s="53" cm="1">
        <f t="array" ref="DY194">IF(DX194&lt;&gt;"",INDEX(regNatjecatelj_id,DX194,0),IF(BD194&lt;&gt;"",BD194,""))</f>
        <v>1883</v>
      </c>
      <c r="DZ194" s="47" t="s">
        <v>0</v>
      </c>
      <c r="EA194" s="58" t="str">
        <f t="shared" si="215"/>
        <v>imepre</v>
      </c>
      <c r="EB194" s="73" t="str">
        <f t="shared" si="216"/>
        <v>klu</v>
      </c>
      <c r="EC194" s="73" t="str">
        <f t="shared" si="217"/>
        <v>kat</v>
      </c>
      <c r="ED194" s="73" t="str">
        <f t="shared" si="218"/>
        <v/>
      </c>
      <c r="EE194" s="66" t="str">
        <f t="shared" si="219"/>
        <v>imepre-klu-kat</v>
      </c>
      <c r="EF194" s="47" t="s">
        <v>0</v>
      </c>
      <c r="EG194" s="58">
        <f>IF(AL194="","",MAX(EG$12:EG193)+1)</f>
        <v>354</v>
      </c>
      <c r="EH194" s="73">
        <f t="shared" si="220"/>
        <v>34</v>
      </c>
      <c r="EI194" s="73">
        <f t="shared" si="258"/>
        <v>1883</v>
      </c>
      <c r="EJ194" s="73">
        <f t="shared" si="221"/>
        <v>8667</v>
      </c>
      <c r="EK194" s="73">
        <f t="shared" si="222"/>
        <v>1</v>
      </c>
      <c r="EL194" s="73">
        <f t="shared" si="259"/>
        <v>0</v>
      </c>
      <c r="EM194" s="73">
        <f t="shared" si="260"/>
        <v>1</v>
      </c>
      <c r="EN194" s="73" t="str">
        <f t="shared" si="223"/>
        <v>0</v>
      </c>
      <c r="EO194" s="73" t="str">
        <f t="shared" si="224"/>
        <v/>
      </c>
      <c r="EP194" s="73" t="str">
        <f t="shared" si="225"/>
        <v/>
      </c>
      <c r="EQ194" s="53" t="str">
        <f t="shared" si="226"/>
        <v/>
      </c>
      <c r="ER194" s="47" t="s">
        <v>0</v>
      </c>
      <c r="ES194" s="19" t="str">
        <f t="shared" si="261"/>
        <v>INSERT INTO rezultat(id,stazakategorija_id,imeprezime_id,vrijeme_sec,status_id,registracija,uparivanje_id,originalstatus_id,imeprezimealias_id,klubalias_id,kategorijaalias_id) VALUES (354,34,1883,8667,1,0,1,0,Null,Null,Null);</v>
      </c>
      <c r="ET194" s="47" t="s">
        <v>0</v>
      </c>
      <c r="EU194" s="19" t="str">
        <f t="shared" si="262"/>
        <v/>
      </c>
      <c r="EV194" s="47" t="s">
        <v>0</v>
      </c>
      <c r="EW194" s="180" t="str">
        <f t="shared" si="227"/>
        <v xml:space="preserve">
INSERT INTO rezultat(id,stazakategorija_id,imeprezime_id,vrijeme_sec,status_id,registracija,uparivanje_id,originalstatus_id,imeprezimealias_id,klubalias_id,kategorijaalias_id) VALUES (354,34,1883,8667,1,0,1,0,Null,Null,Null);</v>
      </c>
      <c r="EX194" s="47" t="s">
        <v>0</v>
      </c>
    </row>
    <row r="195" spans="1:154" x14ac:dyDescent="0.25">
      <c r="A195" t="s">
        <v>0</v>
      </c>
      <c r="B195" s="52" t="str">
        <f>IF(csv!F185="","",csv!T185)</f>
        <v>OPEN</v>
      </c>
      <c r="C195" s="31" t="s">
        <v>0</v>
      </c>
      <c r="D195" s="31" t="str">
        <f>IF(csv!F185="","",csv!F185)</f>
        <v>Lucija</v>
      </c>
      <c r="E195" s="31" t="str">
        <f>IF(csv!E185="","",csv!E185)</f>
        <v>Šantek</v>
      </c>
      <c r="F195" s="31" t="s">
        <v>0</v>
      </c>
      <c r="G195" s="73" t="str">
        <f>IF(csv!M185="","",csv!M185)</f>
        <v>145:43</v>
      </c>
      <c r="H195" s="73" t="str">
        <f>IF(csv!N185="","",csv!N185)</f>
        <v>0</v>
      </c>
      <c r="I195" s="31" t="s">
        <v>0</v>
      </c>
      <c r="J195" s="31" t="str">
        <f>IF(csv!P185="","",csv!P185)</f>
        <v>OK Varaždin</v>
      </c>
      <c r="K195" s="31" t="str">
        <f>IF(csv!Q185="","",csv!Q185)</f>
        <v>OK Varaždin</v>
      </c>
      <c r="L195" s="31" t="s">
        <v>0</v>
      </c>
      <c r="M195" s="66" t="str">
        <f>IF(csv!R185="","",csv!R185)</f>
        <v>CRO</v>
      </c>
      <c r="N195" s="47" t="s">
        <v>0</v>
      </c>
      <c r="O195" s="246" t="str">
        <f t="shared" si="228"/>
        <v>ok</v>
      </c>
      <c r="P195" s="47"/>
      <c r="Q195" s="52" t="str">
        <f t="shared" si="229"/>
        <v>OPEN</v>
      </c>
      <c r="R195" s="73">
        <f>IF(Q195="","",IF(COUNTIF(Q$12:Q194,Q195)=0,R194+1,R194))</f>
        <v>12</v>
      </c>
      <c r="S195" s="73">
        <f t="shared" si="230"/>
        <v>291</v>
      </c>
      <c r="T195" s="73">
        <f t="shared" si="193"/>
        <v>29</v>
      </c>
      <c r="U195" s="66" t="str">
        <f t="shared" si="194"/>
        <v>Otvorena</v>
      </c>
      <c r="V195" s="47" t="s">
        <v>0</v>
      </c>
      <c r="W195" s="222" t="str">
        <f t="shared" si="195"/>
        <v>Otvorena</v>
      </c>
      <c r="X195" s="223">
        <f t="shared" si="196"/>
        <v>34</v>
      </c>
      <c r="Y195" s="47" t="s">
        <v>0</v>
      </c>
      <c r="Z195" s="52" t="str">
        <f t="shared" si="231"/>
        <v>CRO</v>
      </c>
      <c r="AA195" s="73">
        <f t="shared" si="197"/>
        <v>1</v>
      </c>
      <c r="AB195" s="31" t="str">
        <f t="shared" si="232"/>
        <v/>
      </c>
      <c r="AC195" s="66" t="str">
        <f>IF(AB195="","",MAX(AC$12:AC194)+1)</f>
        <v/>
      </c>
      <c r="AD195" s="47" t="s">
        <v>0</v>
      </c>
      <c r="AE195" s="125"/>
      <c r="AF195" s="47" t="s">
        <v>0</v>
      </c>
      <c r="AG195" s="19" t="str">
        <f t="shared" si="233"/>
        <v/>
      </c>
      <c r="AH195" s="47" t="s">
        <v>0</v>
      </c>
      <c r="AI195" s="143" t="str">
        <f t="shared" si="234"/>
        <v>CRO</v>
      </c>
      <c r="AJ195" s="47"/>
      <c r="AK195" s="52" t="str">
        <f t="shared" si="235"/>
        <v>Lucija</v>
      </c>
      <c r="AL195" s="31" t="str">
        <f t="shared" si="236"/>
        <v>Šantek</v>
      </c>
      <c r="AM195" s="73">
        <f t="shared" si="237"/>
        <v>1932</v>
      </c>
      <c r="AN195" s="73" t="str">
        <f t="shared" si="238"/>
        <v/>
      </c>
      <c r="AO195" s="31" t="str">
        <f t="shared" si="198"/>
        <v>Lucija</v>
      </c>
      <c r="AP195" s="66" t="str">
        <f t="shared" si="199"/>
        <v>Šantek</v>
      </c>
      <c r="AQ195" s="47" t="s">
        <v>0</v>
      </c>
      <c r="AR195" s="82" t="str">
        <f t="shared" si="239"/>
        <v/>
      </c>
      <c r="AS195" s="47" t="s">
        <v>0</v>
      </c>
      <c r="AT195" s="19" t="str">
        <f t="shared" si="240"/>
        <v/>
      </c>
      <c r="AU195" s="47" t="s">
        <v>0</v>
      </c>
      <c r="AV195" s="103"/>
      <c r="AW195" s="105"/>
      <c r="AX195" s="47" t="s">
        <v>0</v>
      </c>
      <c r="AY195" s="259" t="str">
        <f t="shared" si="263"/>
        <v/>
      </c>
      <c r="AZ195" s="47" t="s">
        <v>0</v>
      </c>
      <c r="BA195" s="52" t="str">
        <f t="shared" si="200"/>
        <v/>
      </c>
      <c r="BB195" s="73" t="str">
        <f>IF(AV195&amp;AW195="","",MAX(BB$12:BB194)+1)</f>
        <v/>
      </c>
      <c r="BC195" s="272" t="str">
        <f t="shared" si="201"/>
        <v/>
      </c>
      <c r="BD195" s="53" t="str">
        <f>IF(AND(AM195="NEMA",AN195="NEMA",OR(AV195&amp;AW195="",BC195="NEMA")),MAX(BD$12:BD194)+1,"")</f>
        <v/>
      </c>
      <c r="BE195" s="47" t="s">
        <v>0</v>
      </c>
      <c r="BF195" s="52" t="str">
        <f t="shared" si="241"/>
        <v>Lucija</v>
      </c>
      <c r="BG195" s="66" t="str">
        <f t="shared" si="242"/>
        <v>Šantek</v>
      </c>
      <c r="BH195" s="47" t="s">
        <v>0</v>
      </c>
      <c r="BI195" s="52" t="str">
        <f t="shared" si="202"/>
        <v>OK Varaždin</v>
      </c>
      <c r="BJ195" s="31" t="str">
        <f t="shared" si="203"/>
        <v>OK Varaždin</v>
      </c>
      <c r="BK195" s="73" t="str">
        <f t="shared" si="204"/>
        <v/>
      </c>
      <c r="BL195" s="31" t="str" cm="1">
        <f t="array" ref="BL195">IF(BK195="",""&amp;BJ195,IF(BK195="NEMA",BJ195,INDEX(regKlub_naziv,MATCH(INDEX(regKlub_alias_klubId,BK195),regKlub_id,0))))</f>
        <v>OK Varaždin</v>
      </c>
      <c r="BM195" s="31" t="str" cm="1">
        <f t="array" ref="BM195">IFERROR(""&amp;INDEX(regNatjecatelj_klub,DV195),"")</f>
        <v>OK Varaždin</v>
      </c>
      <c r="BN195" s="88" t="str">
        <f t="shared" si="243"/>
        <v/>
      </c>
      <c r="BO195" s="66" t="str">
        <f t="shared" si="244"/>
        <v>OK Varaždin</v>
      </c>
      <c r="BP195" s="47" t="s">
        <v>0</v>
      </c>
      <c r="BQ195" s="52" t="str">
        <f>IF(X195&lt;&gt;"NEMA","",IF(IFERROR(MATCH(W195,W$12:W194,0),0)&lt;&gt;0,"",W195))</f>
        <v/>
      </c>
      <c r="BR195" s="73" t="str">
        <f t="shared" si="245"/>
        <v/>
      </c>
      <c r="BS195" s="31" t="str">
        <f>IF(OR(BR195="",BR195&lt;&gt;"NEMA"),"",MAX(BS$12:BS194)+1)</f>
        <v/>
      </c>
      <c r="BT195" s="66" t="str">
        <f t="shared" si="246"/>
        <v/>
      </c>
      <c r="BU195" s="47" t="s">
        <v>0</v>
      </c>
      <c r="BV195" s="19" t="str">
        <f t="shared" si="247"/>
        <v/>
      </c>
      <c r="BW195" s="47" t="s">
        <v>0</v>
      </c>
      <c r="BX195" s="82" t="str">
        <f>IF(BK195&lt;&gt;"NEMA","",IF(IFERROR(MATCH(BJ195,BJ$12:BJ194,0),0)&lt;&gt;0,"",BJ195))</f>
        <v/>
      </c>
      <c r="BY195" s="47" t="s">
        <v>0</v>
      </c>
      <c r="BZ195" s="125"/>
      <c r="CA195" s="47" t="s">
        <v>0</v>
      </c>
      <c r="CB195" s="58" t="str">
        <f t="shared" si="248"/>
        <v/>
      </c>
      <c r="CC195" s="31" t="str">
        <f t="shared" si="249"/>
        <v/>
      </c>
      <c r="CD195" s="31" t="str">
        <f>IF(CC195="","",MAX(CD$12:CD194)+1)</f>
        <v/>
      </c>
      <c r="CE195" s="31" t="str">
        <f t="shared" si="205"/>
        <v/>
      </c>
      <c r="CF195" s="31" t="str">
        <f t="shared" si="250"/>
        <v/>
      </c>
      <c r="CG195" s="31" t="str">
        <f>IF(BZ195="","",MAX(CG$12:CG194)+1)</f>
        <v/>
      </c>
      <c r="CH195" s="31" t="str">
        <f t="shared" si="251"/>
        <v/>
      </c>
      <c r="CI195" s="66" t="str">
        <f t="shared" si="252"/>
        <v/>
      </c>
      <c r="CJ195" s="47" t="s">
        <v>0</v>
      </c>
      <c r="CK195" s="73" t="str">
        <f t="shared" si="206"/>
        <v/>
      </c>
      <c r="CL195" s="47"/>
      <c r="CM195" s="19" t="str">
        <f t="shared" si="253"/>
        <v/>
      </c>
      <c r="CN195" s="47" t="s">
        <v>0</v>
      </c>
      <c r="CO195" s="143" t="str">
        <f t="shared" si="254"/>
        <v>OK Varaždin</v>
      </c>
      <c r="CP195" s="47" t="s">
        <v>0</v>
      </c>
      <c r="CQ195" s="58" t="str">
        <f t="shared" si="270"/>
        <v>145:43</v>
      </c>
      <c r="CR195" s="73" t="str">
        <f t="shared" si="271"/>
        <v>0</v>
      </c>
      <c r="CS195" s="229" t="str">
        <f t="shared" si="207"/>
        <v/>
      </c>
      <c r="CT195" s="230">
        <f t="shared" si="272"/>
        <v>8743</v>
      </c>
      <c r="CU195" s="163">
        <f t="shared" si="208"/>
        <v>1</v>
      </c>
      <c r="CV195" s="47" t="s">
        <v>0</v>
      </c>
      <c r="CW195" s="222" t="str">
        <f t="shared" si="255"/>
        <v xml:space="preserve">
</v>
      </c>
      <c r="CX195" s="223">
        <f t="shared" si="256"/>
        <v>6</v>
      </c>
      <c r="CY195" s="47" t="s">
        <v>0</v>
      </c>
      <c r="CZ195" s="47"/>
      <c r="DA195" s="47"/>
      <c r="DB195" s="47"/>
      <c r="DC195" s="47" t="s">
        <v>0</v>
      </c>
      <c r="DD195" s="53" t="str">
        <f t="shared" si="264"/>
        <v/>
      </c>
      <c r="DE195" t="s">
        <v>0</v>
      </c>
      <c r="DF195" s="128" t="str">
        <f t="shared" si="265"/>
        <v>O</v>
      </c>
      <c r="DG195" t="s">
        <v>0</v>
      </c>
      <c r="DH195" s="52" t="str">
        <f t="shared" si="266"/>
        <v/>
      </c>
      <c r="DI195" s="66" t="str">
        <f t="shared" si="267"/>
        <v/>
      </c>
      <c r="DJ195" t="s">
        <v>0</v>
      </c>
      <c r="DK195" s="19" t="str">
        <f t="shared" si="268"/>
        <v/>
      </c>
      <c r="DL195" s="47" t="s">
        <v>0</v>
      </c>
      <c r="DM195" s="19" t="str">
        <f t="shared" si="269"/>
        <v/>
      </c>
      <c r="DN195" s="47" t="s">
        <v>0</v>
      </c>
      <c r="DO195" s="52" t="str">
        <f t="shared" si="209"/>
        <v>Lucija – Šantek – OK Varaždin – OPEN</v>
      </c>
      <c r="DP195" s="53" t="str">
        <f t="shared" si="210"/>
        <v>NEMA</v>
      </c>
      <c r="DQ195" s="47" t="s">
        <v>0</v>
      </c>
      <c r="DR195" s="52" t="str">
        <f t="shared" si="211"/>
        <v>Lucija – Šantek – OK Varaždin</v>
      </c>
      <c r="DS195" s="53">
        <f t="shared" si="212"/>
        <v>588</v>
      </c>
      <c r="DT195" s="47" t="s">
        <v>0</v>
      </c>
      <c r="DU195" s="52" t="str">
        <f t="shared" si="213"/>
        <v>Lucija – Šantek</v>
      </c>
      <c r="DV195" s="53">
        <f t="shared" si="214"/>
        <v>588</v>
      </c>
      <c r="DW195" s="47" t="s">
        <v>0</v>
      </c>
      <c r="DX195" s="58">
        <f t="shared" si="257"/>
        <v>588</v>
      </c>
      <c r="DY195" s="53" cm="1">
        <f t="array" ref="DY195">IF(DX195&lt;&gt;"",INDEX(regNatjecatelj_id,DX195,0),IF(BD195&lt;&gt;"",BD195,""))</f>
        <v>1932</v>
      </c>
      <c r="DZ195" s="47" t="s">
        <v>0</v>
      </c>
      <c r="EA195" s="58" t="str">
        <f t="shared" si="215"/>
        <v>imepre</v>
      </c>
      <c r="EB195" s="73" t="str">
        <f t="shared" si="216"/>
        <v>klu</v>
      </c>
      <c r="EC195" s="73" t="str">
        <f t="shared" si="217"/>
        <v>kat</v>
      </c>
      <c r="ED195" s="73" t="str">
        <f t="shared" si="218"/>
        <v/>
      </c>
      <c r="EE195" s="66" t="str">
        <f t="shared" si="219"/>
        <v>imepre-klu-kat</v>
      </c>
      <c r="EF195" s="47" t="s">
        <v>0</v>
      </c>
      <c r="EG195" s="58">
        <f>IF(AL195="","",MAX(EG$12:EG194)+1)</f>
        <v>355</v>
      </c>
      <c r="EH195" s="73">
        <f t="shared" si="220"/>
        <v>34</v>
      </c>
      <c r="EI195" s="73">
        <f t="shared" si="258"/>
        <v>1932</v>
      </c>
      <c r="EJ195" s="73">
        <f t="shared" si="221"/>
        <v>8743</v>
      </c>
      <c r="EK195" s="73">
        <f t="shared" si="222"/>
        <v>1</v>
      </c>
      <c r="EL195" s="73">
        <f t="shared" si="259"/>
        <v>0</v>
      </c>
      <c r="EM195" s="73">
        <f t="shared" si="260"/>
        <v>1</v>
      </c>
      <c r="EN195" s="73" t="str">
        <f t="shared" si="223"/>
        <v>0</v>
      </c>
      <c r="EO195" s="73" t="str">
        <f t="shared" si="224"/>
        <v/>
      </c>
      <c r="EP195" s="73" t="str">
        <f t="shared" si="225"/>
        <v/>
      </c>
      <c r="EQ195" s="53" t="str">
        <f t="shared" si="226"/>
        <v/>
      </c>
      <c r="ER195" s="47" t="s">
        <v>0</v>
      </c>
      <c r="ES195" s="19" t="str">
        <f t="shared" si="261"/>
        <v>INSERT INTO rezultat(id,stazakategorija_id,imeprezime_id,vrijeme_sec,status_id,registracija,uparivanje_id,originalstatus_id,imeprezimealias_id,klubalias_id,kategorijaalias_id) VALUES (355,34,1932,8743,1,0,1,0,Null,Null,Null);</v>
      </c>
      <c r="ET195" s="47" t="s">
        <v>0</v>
      </c>
      <c r="EU195" s="19" t="str">
        <f t="shared" si="262"/>
        <v/>
      </c>
      <c r="EV195" s="47" t="s">
        <v>0</v>
      </c>
      <c r="EW195" s="180" t="str">
        <f t="shared" si="227"/>
        <v xml:space="preserve">
INSERT INTO rezultat(id,stazakategorija_id,imeprezime_id,vrijeme_sec,status_id,registracija,uparivanje_id,originalstatus_id,imeprezimealias_id,klubalias_id,kategorijaalias_id) VALUES (355,34,1932,8743,1,0,1,0,Null,Null,Null);</v>
      </c>
      <c r="EX195" s="47" t="s">
        <v>0</v>
      </c>
    </row>
    <row r="196" spans="1:154" x14ac:dyDescent="0.25">
      <c r="A196" t="s">
        <v>0</v>
      </c>
      <c r="B196" s="52" t="str">
        <f>IF(csv!F186="","",csv!T186)</f>
        <v>OPEN</v>
      </c>
      <c r="C196" s="31" t="s">
        <v>0</v>
      </c>
      <c r="D196" s="31" t="str">
        <f>IF(csv!F186="","",csv!F186)</f>
        <v>Sandra</v>
      </c>
      <c r="E196" s="31" t="str">
        <f>IF(csv!E186="","",csv!E186)</f>
        <v>Miletić</v>
      </c>
      <c r="F196" s="31" t="s">
        <v>0</v>
      </c>
      <c r="G196" s="73" t="str">
        <f>IF(csv!M186="","",csv!M186)</f>
        <v/>
      </c>
      <c r="H196" s="73" t="str">
        <f>IF(csv!N186="","",csv!N186)</f>
        <v>1</v>
      </c>
      <c r="I196" s="31" t="s">
        <v>0</v>
      </c>
      <c r="J196" s="31" t="str">
        <f>IF(csv!P186="","",csv!P186)</f>
        <v>KAP</v>
      </c>
      <c r="K196" s="31" t="str">
        <f>IF(csv!Q186="","",csv!Q186)</f>
        <v>OK Kapela</v>
      </c>
      <c r="L196" s="31" t="s">
        <v>0</v>
      </c>
      <c r="M196" s="66" t="str">
        <f>IF(csv!R186="","",csv!R186)</f>
        <v>CRO</v>
      </c>
      <c r="N196" s="47" t="s">
        <v>0</v>
      </c>
      <c r="O196" s="246" t="str">
        <f t="shared" si="228"/>
        <v>ok</v>
      </c>
      <c r="P196" s="47"/>
      <c r="Q196" s="52" t="str">
        <f t="shared" si="229"/>
        <v>OPEN</v>
      </c>
      <c r="R196" s="73">
        <f>IF(Q196="","",IF(COUNTIF(Q$12:Q195,Q196)=0,R195+1,R195))</f>
        <v>12</v>
      </c>
      <c r="S196" s="73">
        <f t="shared" si="230"/>
        <v>291</v>
      </c>
      <c r="T196" s="73">
        <f t="shared" si="193"/>
        <v>29</v>
      </c>
      <c r="U196" s="66" t="str">
        <f t="shared" si="194"/>
        <v>Otvorena</v>
      </c>
      <c r="V196" s="47" t="s">
        <v>0</v>
      </c>
      <c r="W196" s="222" t="str">
        <f t="shared" si="195"/>
        <v>Otvorena</v>
      </c>
      <c r="X196" s="223">
        <f t="shared" si="196"/>
        <v>34</v>
      </c>
      <c r="Y196" s="47" t="s">
        <v>0</v>
      </c>
      <c r="Z196" s="52" t="str">
        <f t="shared" si="231"/>
        <v>CRO</v>
      </c>
      <c r="AA196" s="73">
        <f t="shared" si="197"/>
        <v>1</v>
      </c>
      <c r="AB196" s="31" t="str">
        <f t="shared" si="232"/>
        <v/>
      </c>
      <c r="AC196" s="66" t="str">
        <f>IF(AB196="","",MAX(AC$12:AC195)+1)</f>
        <v/>
      </c>
      <c r="AD196" s="47" t="s">
        <v>0</v>
      </c>
      <c r="AE196" s="125"/>
      <c r="AF196" s="47" t="s">
        <v>0</v>
      </c>
      <c r="AG196" s="19" t="str">
        <f t="shared" si="233"/>
        <v/>
      </c>
      <c r="AH196" s="47" t="s">
        <v>0</v>
      </c>
      <c r="AI196" s="143" t="str">
        <f t="shared" si="234"/>
        <v>CRO</v>
      </c>
      <c r="AJ196" s="47"/>
      <c r="AK196" s="52" t="str">
        <f t="shared" si="235"/>
        <v>Sandra</v>
      </c>
      <c r="AL196" s="31" t="str">
        <f t="shared" si="236"/>
        <v>Miletić</v>
      </c>
      <c r="AM196" s="73">
        <f t="shared" si="237"/>
        <v>1964</v>
      </c>
      <c r="AN196" s="73" t="str">
        <f t="shared" si="238"/>
        <v/>
      </c>
      <c r="AO196" s="31" t="str">
        <f t="shared" si="198"/>
        <v>Sandra</v>
      </c>
      <c r="AP196" s="66" t="str">
        <f t="shared" si="199"/>
        <v>Miletić</v>
      </c>
      <c r="AQ196" s="47" t="s">
        <v>0</v>
      </c>
      <c r="AR196" s="82" t="str">
        <f t="shared" si="239"/>
        <v/>
      </c>
      <c r="AS196" s="47" t="s">
        <v>0</v>
      </c>
      <c r="AT196" s="19" t="str">
        <f t="shared" si="240"/>
        <v/>
      </c>
      <c r="AU196" s="47" t="s">
        <v>0</v>
      </c>
      <c r="AV196" s="103"/>
      <c r="AW196" s="105"/>
      <c r="AX196" s="47" t="s">
        <v>0</v>
      </c>
      <c r="AY196" s="259" t="str">
        <f t="shared" si="263"/>
        <v/>
      </c>
      <c r="AZ196" s="47" t="s">
        <v>0</v>
      </c>
      <c r="BA196" s="52" t="str">
        <f t="shared" si="200"/>
        <v/>
      </c>
      <c r="BB196" s="73" t="str">
        <f>IF(AV196&amp;AW196="","",MAX(BB$12:BB195)+1)</f>
        <v/>
      </c>
      <c r="BC196" s="272" t="str">
        <f t="shared" si="201"/>
        <v/>
      </c>
      <c r="BD196" s="53" t="str">
        <f>IF(AND(AM196="NEMA",AN196="NEMA",OR(AV196&amp;AW196="",BC196="NEMA")),MAX(BD$12:BD195)+1,"")</f>
        <v/>
      </c>
      <c r="BE196" s="47" t="s">
        <v>0</v>
      </c>
      <c r="BF196" s="52" t="str">
        <f t="shared" si="241"/>
        <v>Sandra</v>
      </c>
      <c r="BG196" s="66" t="str">
        <f t="shared" si="242"/>
        <v>Miletić</v>
      </c>
      <c r="BH196" s="47" t="s">
        <v>0</v>
      </c>
      <c r="BI196" s="52" t="str">
        <f t="shared" si="202"/>
        <v>KAP</v>
      </c>
      <c r="BJ196" s="31" t="str">
        <f t="shared" si="203"/>
        <v>OK Kapela</v>
      </c>
      <c r="BK196" s="73" t="str">
        <f t="shared" si="204"/>
        <v/>
      </c>
      <c r="BL196" s="31" t="str" cm="1">
        <f t="array" ref="BL196">IF(BK196="",""&amp;BJ196,IF(BK196="NEMA",BJ196,INDEX(regKlub_naziv,MATCH(INDEX(regKlub_alias_klubId,BK196),regKlub_id,0))))</f>
        <v>OK Kapela</v>
      </c>
      <c r="BM196" s="31" t="str" cm="1">
        <f t="array" ref="BM196">IFERROR(""&amp;INDEX(regNatjecatelj_klub,DV196),"")</f>
        <v>OK Kapela</v>
      </c>
      <c r="BN196" s="88" t="str">
        <f t="shared" si="243"/>
        <v/>
      </c>
      <c r="BO196" s="66" t="str">
        <f t="shared" si="244"/>
        <v>OK Kapela</v>
      </c>
      <c r="BP196" s="47" t="s">
        <v>0</v>
      </c>
      <c r="BQ196" s="52" t="str">
        <f>IF(X196&lt;&gt;"NEMA","",IF(IFERROR(MATCH(W196,W$12:W195,0),0)&lt;&gt;0,"",W196))</f>
        <v/>
      </c>
      <c r="BR196" s="73" t="str">
        <f t="shared" si="245"/>
        <v/>
      </c>
      <c r="BS196" s="31" t="str">
        <f>IF(OR(BR196="",BR196&lt;&gt;"NEMA"),"",MAX(BS$12:BS195)+1)</f>
        <v/>
      </c>
      <c r="BT196" s="66" t="str">
        <f t="shared" si="246"/>
        <v/>
      </c>
      <c r="BU196" s="47" t="s">
        <v>0</v>
      </c>
      <c r="BV196" s="19" t="str">
        <f t="shared" si="247"/>
        <v/>
      </c>
      <c r="BW196" s="47" t="s">
        <v>0</v>
      </c>
      <c r="BX196" s="82" t="str">
        <f>IF(BK196&lt;&gt;"NEMA","",IF(IFERROR(MATCH(BJ196,BJ$12:BJ195,0),0)&lt;&gt;0,"",BJ196))</f>
        <v/>
      </c>
      <c r="BY196" s="47" t="s">
        <v>0</v>
      </c>
      <c r="BZ196" s="125"/>
      <c r="CA196" s="47" t="s">
        <v>0</v>
      </c>
      <c r="CB196" s="58" t="str">
        <f t="shared" si="248"/>
        <v/>
      </c>
      <c r="CC196" s="31" t="str">
        <f t="shared" si="249"/>
        <v/>
      </c>
      <c r="CD196" s="31" t="str">
        <f>IF(CC196="","",MAX(CD$12:CD195)+1)</f>
        <v/>
      </c>
      <c r="CE196" s="31" t="str">
        <f t="shared" si="205"/>
        <v/>
      </c>
      <c r="CF196" s="31" t="str">
        <f t="shared" si="250"/>
        <v/>
      </c>
      <c r="CG196" s="31" t="str">
        <f>IF(BZ196="","",MAX(CG$12:CG195)+1)</f>
        <v/>
      </c>
      <c r="CH196" s="31" t="str">
        <f t="shared" si="251"/>
        <v/>
      </c>
      <c r="CI196" s="66" t="str">
        <f t="shared" si="252"/>
        <v/>
      </c>
      <c r="CJ196" s="47" t="s">
        <v>0</v>
      </c>
      <c r="CK196" s="73" t="str">
        <f t="shared" si="206"/>
        <v/>
      </c>
      <c r="CL196" s="47"/>
      <c r="CM196" s="19" t="str">
        <f t="shared" si="253"/>
        <v/>
      </c>
      <c r="CN196" s="47" t="s">
        <v>0</v>
      </c>
      <c r="CO196" s="143" t="str">
        <f t="shared" si="254"/>
        <v>OK Kapela</v>
      </c>
      <c r="CP196" s="47" t="s">
        <v>0</v>
      </c>
      <c r="CQ196" s="58" t="str">
        <f t="shared" si="270"/>
        <v/>
      </c>
      <c r="CR196" s="73" t="str">
        <f t="shared" si="271"/>
        <v>1</v>
      </c>
      <c r="CS196" s="229" t="str">
        <f t="shared" si="207"/>
        <v/>
      </c>
      <c r="CT196" s="230" t="str">
        <f t="shared" si="272"/>
        <v/>
      </c>
      <c r="CU196" s="163">
        <f t="shared" si="208"/>
        <v>6</v>
      </c>
      <c r="CV196" s="47" t="s">
        <v>0</v>
      </c>
      <c r="CW196" s="222" t="str">
        <f t="shared" si="255"/>
        <v xml:space="preserve">
</v>
      </c>
      <c r="CX196" s="223" t="e">
        <f t="shared" si="256"/>
        <v>#N/A</v>
      </c>
      <c r="CY196" s="47" t="s">
        <v>0</v>
      </c>
      <c r="CZ196" s="47"/>
      <c r="DA196" s="47"/>
      <c r="DB196" s="47"/>
      <c r="DC196" s="47" t="s">
        <v>0</v>
      </c>
      <c r="DD196" s="53" t="str">
        <f t="shared" si="264"/>
        <v/>
      </c>
      <c r="DE196" t="s">
        <v>0</v>
      </c>
      <c r="DF196" s="128" t="str">
        <f t="shared" si="265"/>
        <v>O</v>
      </c>
      <c r="DG196" t="s">
        <v>0</v>
      </c>
      <c r="DH196" s="52" t="str">
        <f t="shared" si="266"/>
        <v/>
      </c>
      <c r="DI196" s="66" t="str">
        <f t="shared" si="267"/>
        <v/>
      </c>
      <c r="DJ196" t="s">
        <v>0</v>
      </c>
      <c r="DK196" s="19" t="str">
        <f t="shared" si="268"/>
        <v/>
      </c>
      <c r="DL196" s="47" t="s">
        <v>0</v>
      </c>
      <c r="DM196" s="19" t="str">
        <f t="shared" si="269"/>
        <v/>
      </c>
      <c r="DN196" s="47" t="s">
        <v>0</v>
      </c>
      <c r="DO196" s="52" t="str">
        <f t="shared" si="209"/>
        <v>Sandra – Miletić – OK Kapela – OPEN</v>
      </c>
      <c r="DP196" s="53" t="str">
        <f t="shared" si="210"/>
        <v>NEMA</v>
      </c>
      <c r="DQ196" s="47" t="s">
        <v>0</v>
      </c>
      <c r="DR196" s="52" t="str">
        <f t="shared" si="211"/>
        <v>Sandra – Miletić – OK Kapela</v>
      </c>
      <c r="DS196" s="53">
        <f t="shared" si="212"/>
        <v>283</v>
      </c>
      <c r="DT196" s="47" t="s">
        <v>0</v>
      </c>
      <c r="DU196" s="52" t="str">
        <f t="shared" si="213"/>
        <v>Sandra – Miletić</v>
      </c>
      <c r="DV196" s="53">
        <f t="shared" si="214"/>
        <v>283</v>
      </c>
      <c r="DW196" s="47" t="s">
        <v>0</v>
      </c>
      <c r="DX196" s="58">
        <f t="shared" si="257"/>
        <v>283</v>
      </c>
      <c r="DY196" s="53" cm="1">
        <f t="array" ref="DY196">IF(DX196&lt;&gt;"",INDEX(regNatjecatelj_id,DX196,0),IF(BD196&lt;&gt;"",BD196,""))</f>
        <v>1964</v>
      </c>
      <c r="DZ196" s="47" t="s">
        <v>0</v>
      </c>
      <c r="EA196" s="58" t="str">
        <f t="shared" si="215"/>
        <v>imepre</v>
      </c>
      <c r="EB196" s="73" t="str">
        <f t="shared" si="216"/>
        <v>klu</v>
      </c>
      <c r="EC196" s="73" t="str">
        <f t="shared" si="217"/>
        <v>kat</v>
      </c>
      <c r="ED196" s="73" t="str">
        <f t="shared" si="218"/>
        <v/>
      </c>
      <c r="EE196" s="66" t="str">
        <f t="shared" si="219"/>
        <v>imepre-klu-kat</v>
      </c>
      <c r="EF196" s="47" t="s">
        <v>0</v>
      </c>
      <c r="EG196" s="58">
        <f>IF(AL196="","",MAX(EG$12:EG195)+1)</f>
        <v>356</v>
      </c>
      <c r="EH196" s="73">
        <f t="shared" si="220"/>
        <v>34</v>
      </c>
      <c r="EI196" s="73">
        <f t="shared" si="258"/>
        <v>1964</v>
      </c>
      <c r="EJ196" s="73" t="str">
        <f t="shared" si="221"/>
        <v/>
      </c>
      <c r="EK196" s="73">
        <f t="shared" si="222"/>
        <v>6</v>
      </c>
      <c r="EL196" s="73">
        <f t="shared" si="259"/>
        <v>0</v>
      </c>
      <c r="EM196" s="73">
        <f t="shared" si="260"/>
        <v>1</v>
      </c>
      <c r="EN196" s="73" t="str">
        <f t="shared" si="223"/>
        <v>1</v>
      </c>
      <c r="EO196" s="73" t="str">
        <f t="shared" si="224"/>
        <v/>
      </c>
      <c r="EP196" s="73" t="str">
        <f t="shared" si="225"/>
        <v/>
      </c>
      <c r="EQ196" s="53" t="str">
        <f t="shared" si="226"/>
        <v/>
      </c>
      <c r="ER196" s="47" t="s">
        <v>0</v>
      </c>
      <c r="ES196" s="19" t="str">
        <f t="shared" si="261"/>
        <v>INSERT INTO rezultat(id,stazakategorija_id,imeprezime_id,vrijeme_sec,status_id,registracija,uparivanje_id,originalstatus_id,imeprezimealias_id,klubalias_id,kategorijaalias_id) VALUES (356,34,1964,Null,6,0,1,1,Null,Null,Null);</v>
      </c>
      <c r="ET196" s="47" t="s">
        <v>0</v>
      </c>
      <c r="EU196" s="19" t="str">
        <f t="shared" si="262"/>
        <v/>
      </c>
      <c r="EV196" s="47" t="s">
        <v>0</v>
      </c>
      <c r="EW196" s="180" t="str">
        <f t="shared" si="227"/>
        <v xml:space="preserve">
INSERT INTO rezultat(id,stazakategorija_id,imeprezime_id,vrijeme_sec,status_id,registracija,uparivanje_id,originalstatus_id,imeprezimealias_id,klubalias_id,kategorijaalias_id) VALUES (356,34,1964,Null,6,0,1,1,Null,Null,Null);</v>
      </c>
      <c r="EX196" s="47" t="s">
        <v>0</v>
      </c>
    </row>
    <row r="197" spans="1:154" x14ac:dyDescent="0.25">
      <c r="A197" t="s">
        <v>0</v>
      </c>
      <c r="B197" s="52" t="str">
        <f>IF(csv!F187="","",csv!T187)</f>
        <v>OPEN</v>
      </c>
      <c r="C197" s="31" t="s">
        <v>0</v>
      </c>
      <c r="D197" s="31" t="str">
        <f>IF(csv!F187="","",csv!F187)</f>
        <v>Rafael</v>
      </c>
      <c r="E197" s="31" t="str">
        <f>IF(csv!E187="","",csv!E187)</f>
        <v>Sandalj</v>
      </c>
      <c r="F197" s="31" t="s">
        <v>0</v>
      </c>
      <c r="G197" s="73" t="str">
        <f>IF(csv!M187="","",csv!M187)</f>
        <v>95:32</v>
      </c>
      <c r="H197" s="73" t="str">
        <f>IF(csv!N187="","",csv!N187)</f>
        <v>3</v>
      </c>
      <c r="I197" s="31" t="s">
        <v>0</v>
      </c>
      <c r="J197" s="31" t="str">
        <f>IF(csv!P187="","",csv!P187)</f>
        <v/>
      </c>
      <c r="K197" s="31" t="str">
        <f>IF(csv!Q187="","",csv!Q187)</f>
        <v/>
      </c>
      <c r="L197" s="31" t="s">
        <v>0</v>
      </c>
      <c r="M197" s="66" t="str">
        <f>IF(csv!R187="","",csv!R187)</f>
        <v/>
      </c>
      <c r="N197" s="47" t="s">
        <v>0</v>
      </c>
      <c r="O197" s="246" t="str">
        <f t="shared" si="228"/>
        <v>ok</v>
      </c>
      <c r="P197" s="47"/>
      <c r="Q197" s="52" t="str">
        <f t="shared" si="229"/>
        <v>OPEN</v>
      </c>
      <c r="R197" s="73">
        <f>IF(Q197="","",IF(COUNTIF(Q$12:Q196,Q197)=0,R196+1,R196))</f>
        <v>12</v>
      </c>
      <c r="S197" s="73">
        <f t="shared" si="230"/>
        <v>291</v>
      </c>
      <c r="T197" s="73">
        <f t="shared" si="193"/>
        <v>29</v>
      </c>
      <c r="U197" s="66" t="str">
        <f t="shared" si="194"/>
        <v>Otvorena</v>
      </c>
      <c r="V197" s="47" t="s">
        <v>0</v>
      </c>
      <c r="W197" s="222" t="str">
        <f t="shared" si="195"/>
        <v>Otvorena</v>
      </c>
      <c r="X197" s="223">
        <f t="shared" si="196"/>
        <v>34</v>
      </c>
      <c r="Y197" s="47" t="s">
        <v>0</v>
      </c>
      <c r="Z197" s="52" t="str">
        <f t="shared" si="231"/>
        <v/>
      </c>
      <c r="AA197" s="73" t="str">
        <f t="shared" si="197"/>
        <v/>
      </c>
      <c r="AB197" s="31" t="str">
        <f t="shared" si="232"/>
        <v/>
      </c>
      <c r="AC197" s="66" t="str">
        <f>IF(AB197="","",MAX(AC$12:AC196)+1)</f>
        <v/>
      </c>
      <c r="AD197" s="47" t="s">
        <v>0</v>
      </c>
      <c r="AE197" s="125"/>
      <c r="AF197" s="47" t="s">
        <v>0</v>
      </c>
      <c r="AG197" s="19" t="str">
        <f t="shared" si="233"/>
        <v/>
      </c>
      <c r="AH197" s="47" t="s">
        <v>0</v>
      </c>
      <c r="AI197" s="143" t="str">
        <f t="shared" si="234"/>
        <v/>
      </c>
      <c r="AJ197" s="47"/>
      <c r="AK197" s="52" t="str">
        <f t="shared" si="235"/>
        <v>Rafael</v>
      </c>
      <c r="AL197" s="31" t="str">
        <f t="shared" si="236"/>
        <v>Sandalj</v>
      </c>
      <c r="AM197" s="73" t="str">
        <f t="shared" si="237"/>
        <v>NEMA</v>
      </c>
      <c r="AN197" s="73" t="str">
        <f t="shared" si="238"/>
        <v>NEMA</v>
      </c>
      <c r="AO197" s="31" t="str">
        <f t="shared" si="198"/>
        <v>Rafael</v>
      </c>
      <c r="AP197" s="66" t="str">
        <f t="shared" si="199"/>
        <v>Sandalj</v>
      </c>
      <c r="AQ197" s="47" t="s">
        <v>0</v>
      </c>
      <c r="AR197" s="82" t="str">
        <f t="shared" si="239"/>
        <v>Rafael Sandalj</v>
      </c>
      <c r="AS197" s="47" t="s">
        <v>0</v>
      </c>
      <c r="AT197" s="19" t="str">
        <f t="shared" si="240"/>
        <v>SELECT 'Rafael – Sandalj', ime, prezime FROM imeprezime WHERE ime LIKE '%afae%' Or prezime LIKE '%andal%' Or ime LIKE '%andal%' Or prezime LIKE '%afae%' ORDER BY ime, prezime;</v>
      </c>
      <c r="AU197" s="47" t="s">
        <v>0</v>
      </c>
      <c r="AV197" s="103"/>
      <c r="AW197" s="105"/>
      <c r="AX197" s="47" t="s">
        <v>0</v>
      </c>
      <c r="AY197" s="259" t="str">
        <f t="shared" si="263"/>
        <v/>
      </c>
      <c r="AZ197" s="47" t="s">
        <v>0</v>
      </c>
      <c r="BA197" s="52" t="str">
        <f t="shared" si="200"/>
        <v/>
      </c>
      <c r="BB197" s="73" t="str">
        <f>IF(AV197&amp;AW197="","",MAX(BB$12:BB196)+1)</f>
        <v/>
      </c>
      <c r="BC197" s="272" t="str">
        <f t="shared" si="201"/>
        <v/>
      </c>
      <c r="BD197" s="53">
        <f>IF(AND(AM197="NEMA",AN197="NEMA",OR(AV197&amp;AW197="",BC197="NEMA")),MAX(BD$12:BD196)+1,"")</f>
        <v>1967</v>
      </c>
      <c r="BE197" s="47" t="s">
        <v>0</v>
      </c>
      <c r="BF197" s="52" t="str">
        <f t="shared" si="241"/>
        <v>Rafael</v>
      </c>
      <c r="BG197" s="66" t="str">
        <f t="shared" si="242"/>
        <v>Sandalj</v>
      </c>
      <c r="BH197" s="47" t="s">
        <v>0</v>
      </c>
      <c r="BI197" s="52" t="str">
        <f t="shared" si="202"/>
        <v/>
      </c>
      <c r="BJ197" s="31" t="str">
        <f t="shared" si="203"/>
        <v/>
      </c>
      <c r="BK197" s="73" t="str">
        <f t="shared" si="204"/>
        <v/>
      </c>
      <c r="BL197" s="31" t="str" cm="1">
        <f t="array" ref="BL197">IF(BK197="",""&amp;BJ197,IF(BK197="NEMA",BJ197,INDEX(regKlub_naziv,MATCH(INDEX(regKlub_alias_klubId,BK197),regKlub_id,0))))</f>
        <v/>
      </c>
      <c r="BM197" s="31" t="str" cm="1">
        <f t="array" ref="BM197">IFERROR(""&amp;INDEX(regNatjecatelj_klub,DV197),"")</f>
        <v/>
      </c>
      <c r="BN197" s="88" t="str">
        <f t="shared" si="243"/>
        <v/>
      </c>
      <c r="BO197" s="66" t="str">
        <f t="shared" si="244"/>
        <v/>
      </c>
      <c r="BP197" s="47" t="s">
        <v>0</v>
      </c>
      <c r="BQ197" s="52" t="str">
        <f>IF(X197&lt;&gt;"NEMA","",IF(IFERROR(MATCH(W197,W$12:W196,0),0)&lt;&gt;0,"",W197))</f>
        <v/>
      </c>
      <c r="BR197" s="73" t="str">
        <f t="shared" si="245"/>
        <v/>
      </c>
      <c r="BS197" s="31" t="str">
        <f>IF(OR(BR197="",BR197&lt;&gt;"NEMA"),"",MAX(BS$12:BS196)+1)</f>
        <v/>
      </c>
      <c r="BT197" s="66" t="str">
        <f t="shared" si="246"/>
        <v/>
      </c>
      <c r="BU197" s="47" t="s">
        <v>0</v>
      </c>
      <c r="BV197" s="19" t="str">
        <f t="shared" si="247"/>
        <v/>
      </c>
      <c r="BW197" s="47" t="s">
        <v>0</v>
      </c>
      <c r="BX197" s="82" t="str">
        <f>IF(BK197&lt;&gt;"NEMA","",IF(IFERROR(MATCH(BJ197,BJ$12:BJ196,0),0)&lt;&gt;0,"",BJ197))</f>
        <v/>
      </c>
      <c r="BY197" s="47" t="s">
        <v>0</v>
      </c>
      <c r="BZ197" s="125"/>
      <c r="CA197" s="47" t="s">
        <v>0</v>
      </c>
      <c r="CB197" s="58" t="str">
        <f t="shared" si="248"/>
        <v/>
      </c>
      <c r="CC197" s="31" t="str">
        <f t="shared" si="249"/>
        <v/>
      </c>
      <c r="CD197" s="31" t="str">
        <f>IF(CC197="","",MAX(CD$12:CD196)+1)</f>
        <v/>
      </c>
      <c r="CE197" s="31" t="str">
        <f t="shared" si="205"/>
        <v/>
      </c>
      <c r="CF197" s="31" t="str">
        <f t="shared" si="250"/>
        <v/>
      </c>
      <c r="CG197" s="31" t="str">
        <f>IF(BZ197="","",MAX(CG$12:CG196)+1)</f>
        <v/>
      </c>
      <c r="CH197" s="31" t="str">
        <f t="shared" si="251"/>
        <v/>
      </c>
      <c r="CI197" s="66" t="str">
        <f t="shared" si="252"/>
        <v/>
      </c>
      <c r="CJ197" s="47" t="s">
        <v>0</v>
      </c>
      <c r="CK197" s="73" t="str">
        <f t="shared" si="206"/>
        <v/>
      </c>
      <c r="CL197" s="47"/>
      <c r="CM197" s="19" t="str">
        <f t="shared" si="253"/>
        <v/>
      </c>
      <c r="CN197" s="47" t="s">
        <v>0</v>
      </c>
      <c r="CO197" s="143" t="str">
        <f t="shared" si="254"/>
        <v/>
      </c>
      <c r="CP197" s="47" t="s">
        <v>0</v>
      </c>
      <c r="CQ197" s="58" t="str">
        <f t="shared" si="270"/>
        <v>95:32</v>
      </c>
      <c r="CR197" s="73" t="str">
        <f t="shared" si="271"/>
        <v>3</v>
      </c>
      <c r="CS197" s="229" t="str">
        <f t="shared" si="207"/>
        <v/>
      </c>
      <c r="CT197" s="230">
        <f t="shared" si="272"/>
        <v>5732</v>
      </c>
      <c r="CU197" s="163">
        <f t="shared" si="208"/>
        <v>3</v>
      </c>
      <c r="CV197" s="47" t="s">
        <v>0</v>
      </c>
      <c r="CW197" s="222" t="str">
        <f t="shared" si="255"/>
        <v xml:space="preserve">
</v>
      </c>
      <c r="CX197" s="223" t="str">
        <f t="shared" si="256"/>
        <v/>
      </c>
      <c r="CY197" s="47" t="s">
        <v>0</v>
      </c>
      <c r="CZ197" s="47"/>
      <c r="DA197" s="47"/>
      <c r="DB197" s="47"/>
      <c r="DC197" s="47" t="s">
        <v>0</v>
      </c>
      <c r="DD197" s="53">
        <f t="shared" si="264"/>
        <v>1</v>
      </c>
      <c r="DE197" t="s">
        <v>0</v>
      </c>
      <c r="DF197" s="128" t="str">
        <f t="shared" si="265"/>
        <v>O</v>
      </c>
      <c r="DG197" t="s">
        <v>0</v>
      </c>
      <c r="DH197" s="52" t="str">
        <f t="shared" si="266"/>
        <v/>
      </c>
      <c r="DI197" s="66" t="str">
        <f t="shared" si="267"/>
        <v>INSERT INTO imeprezime (id,osoba_id,rbr,ime,prezime,klub_id,identitet_id,sintaksa_id,info,aktivno,dnevnik_id) VALUES (1967,Null,1,'Rafael','Sandalj',(SELECT id FROM klub WHERE naziv = ''),Null,1,'',1,882);</v>
      </c>
      <c r="DJ197" t="s">
        <v>0</v>
      </c>
      <c r="DK197" s="19" t="str">
        <f t="shared" si="268"/>
        <v>INSERT INTO imeprezime (id,osoba_id,rbr,ime,prezime,klub_id,identitet_id,sintaksa_id,info,aktivno,dnevnik_id) VALUES (1967,Null,1,'Rafael','Sandalj',(SELECT id FROM klub WHERE naziv = ''),Null,1,'',1,882);</v>
      </c>
      <c r="DL197" s="47" t="s">
        <v>0</v>
      </c>
      <c r="DM197" s="19" t="str">
        <f t="shared" si="269"/>
        <v/>
      </c>
      <c r="DN197" s="47" t="s">
        <v>0</v>
      </c>
      <c r="DO197" s="52" t="str">
        <f t="shared" si="209"/>
        <v>Rafael – Sandalj – OPEN</v>
      </c>
      <c r="DP197" s="53" t="str">
        <f t="shared" si="210"/>
        <v>NEMA</v>
      </c>
      <c r="DQ197" s="47" t="s">
        <v>0</v>
      </c>
      <c r="DR197" s="52" t="str">
        <f t="shared" si="211"/>
        <v>Rafael – Sandalj</v>
      </c>
      <c r="DS197" s="53" t="str">
        <f t="shared" si="212"/>
        <v>NEMA</v>
      </c>
      <c r="DT197" s="47" t="s">
        <v>0</v>
      </c>
      <c r="DU197" s="52" t="str">
        <f t="shared" si="213"/>
        <v>Rafael – Sandalj</v>
      </c>
      <c r="DV197" s="53" t="str">
        <f t="shared" si="214"/>
        <v>NEMA</v>
      </c>
      <c r="DW197" s="47" t="s">
        <v>0</v>
      </c>
      <c r="DX197" s="58" t="str">
        <f t="shared" si="257"/>
        <v/>
      </c>
      <c r="DY197" s="53" cm="1">
        <f t="array" ref="DY197">IF(DX197&lt;&gt;"",INDEX(regNatjecatelj_id,DX197,0),IF(BD197&lt;&gt;"",BD197,""))</f>
        <v>1967</v>
      </c>
      <c r="DZ197" s="47" t="s">
        <v>0</v>
      </c>
      <c r="EA197" s="58" t="str">
        <f t="shared" si="215"/>
        <v>novo</v>
      </c>
      <c r="EB197" s="73" t="str">
        <f t="shared" si="216"/>
        <v/>
      </c>
      <c r="EC197" s="73" t="str">
        <f t="shared" si="217"/>
        <v>kat</v>
      </c>
      <c r="ED197" s="73" t="str">
        <f t="shared" si="218"/>
        <v/>
      </c>
      <c r="EE197" s="66" t="str">
        <f t="shared" si="219"/>
        <v>novo</v>
      </c>
      <c r="EF197" s="47" t="s">
        <v>0</v>
      </c>
      <c r="EG197" s="58">
        <f>IF(AL197="","",MAX(EG$12:EG196)+1)</f>
        <v>357</v>
      </c>
      <c r="EH197" s="73">
        <f t="shared" si="220"/>
        <v>34</v>
      </c>
      <c r="EI197" s="73">
        <f t="shared" si="258"/>
        <v>1967</v>
      </c>
      <c r="EJ197" s="73">
        <f t="shared" si="221"/>
        <v>5732</v>
      </c>
      <c r="EK197" s="73">
        <f t="shared" si="222"/>
        <v>3</v>
      </c>
      <c r="EL197" s="73">
        <f t="shared" si="259"/>
        <v>0</v>
      </c>
      <c r="EM197" s="73">
        <f t="shared" si="260"/>
        <v>33</v>
      </c>
      <c r="EN197" s="73" t="str">
        <f t="shared" si="223"/>
        <v>3</v>
      </c>
      <c r="EO197" s="73" t="str">
        <f t="shared" si="224"/>
        <v/>
      </c>
      <c r="EP197" s="73" t="str">
        <f t="shared" si="225"/>
        <v/>
      </c>
      <c r="EQ197" s="53" t="str">
        <f t="shared" si="226"/>
        <v/>
      </c>
      <c r="ER197" s="47" t="s">
        <v>0</v>
      </c>
      <c r="ES197" s="19" t="str">
        <f t="shared" si="261"/>
        <v>INSERT INTO rezultat(id,stazakategorija_id,imeprezime_id,vrijeme_sec,status_id,registracija,uparivanje_id,originalstatus_id,imeprezimealias_id,klubalias_id,kategorijaalias_id) VALUES (357,34,1967,5732,3,0,33,3,Null,Null,Null);</v>
      </c>
      <c r="ET197" s="47" t="s">
        <v>0</v>
      </c>
      <c r="EU197" s="19" t="str">
        <f t="shared" si="262"/>
        <v/>
      </c>
      <c r="EV197" s="47" t="s">
        <v>0</v>
      </c>
      <c r="EW197" s="180" t="str">
        <f t="shared" si="227"/>
        <v xml:space="preserve">
INSERT INTO imeprezime (id,osoba_id,rbr,ime,prezime,klub_id,identitet_id,sintaksa_id,info,aktivno,dnevnik_id) VALUES (1967,Null,1,'Rafael','Sandalj',(SELECT id FROM klub WHERE naziv = ''),Null,1,'',1,882);
INSERT INTO rezultat(id,stazakategorija_id,imeprezime_id,vrijeme_sec,status_id,registracija,uparivanje_id,originalstatus_id,imeprezimealias_id,klubalias_id,kategorijaalias_id) VALUES (357,34,1967,5732,3,0,33,3,Null,Null,Null);</v>
      </c>
      <c r="EX197" s="47" t="s">
        <v>0</v>
      </c>
    </row>
    <row r="198" spans="1:154" x14ac:dyDescent="0.25">
      <c r="A198" t="s">
        <v>0</v>
      </c>
      <c r="B198" s="52" t="str">
        <f>IF(csv!F188="","",csv!T188)</f>
        <v>OPEN</v>
      </c>
      <c r="C198" s="31" t="s">
        <v>0</v>
      </c>
      <c r="D198" s="31" t="str">
        <f>IF(csv!F188="","",csv!F188)</f>
        <v>Martin</v>
      </c>
      <c r="E198" s="31" t="str">
        <f>IF(csv!E188="","",csv!E188)</f>
        <v>Vukmanović</v>
      </c>
      <c r="F198" s="31" t="s">
        <v>0</v>
      </c>
      <c r="G198" s="73" t="str">
        <f>IF(csv!M188="","",csv!M188)</f>
        <v/>
      </c>
      <c r="H198" s="73" t="str">
        <f>IF(csv!N188="","",csv!N188)</f>
        <v>1</v>
      </c>
      <c r="I198" s="31" t="s">
        <v>0</v>
      </c>
      <c r="J198" s="31" t="str">
        <f>IF(csv!P188="","",csv!P188)</f>
        <v>KAP</v>
      </c>
      <c r="K198" s="31" t="str">
        <f>IF(csv!Q188="","",csv!Q188)</f>
        <v>OK Kapela</v>
      </c>
      <c r="L198" s="31" t="s">
        <v>0</v>
      </c>
      <c r="M198" s="66" t="str">
        <f>IF(csv!R188="","",csv!R188)</f>
        <v>CRO</v>
      </c>
      <c r="N198" s="47" t="s">
        <v>0</v>
      </c>
      <c r="O198" s="246" t="str">
        <f t="shared" si="228"/>
        <v>ok</v>
      </c>
      <c r="P198" s="47"/>
      <c r="Q198" s="52" t="str">
        <f t="shared" si="229"/>
        <v>OPEN</v>
      </c>
      <c r="R198" s="73">
        <f>IF(Q198="","",IF(COUNTIF(Q$12:Q197,Q198)=0,R197+1,R197))</f>
        <v>12</v>
      </c>
      <c r="S198" s="73">
        <f t="shared" si="230"/>
        <v>291</v>
      </c>
      <c r="T198" s="73">
        <f t="shared" si="193"/>
        <v>29</v>
      </c>
      <c r="U198" s="66" t="str">
        <f t="shared" si="194"/>
        <v>Otvorena</v>
      </c>
      <c r="V198" s="47" t="s">
        <v>0</v>
      </c>
      <c r="W198" s="222" t="str">
        <f t="shared" si="195"/>
        <v>Otvorena</v>
      </c>
      <c r="X198" s="223">
        <f t="shared" si="196"/>
        <v>34</v>
      </c>
      <c r="Y198" s="47" t="s">
        <v>0</v>
      </c>
      <c r="Z198" s="52" t="str">
        <f t="shared" si="231"/>
        <v>CRO</v>
      </c>
      <c r="AA198" s="73">
        <f t="shared" si="197"/>
        <v>1</v>
      </c>
      <c r="AB198" s="31" t="str">
        <f t="shared" si="232"/>
        <v/>
      </c>
      <c r="AC198" s="66" t="str">
        <f>IF(AB198="","",MAX(AC$12:AC197)+1)</f>
        <v/>
      </c>
      <c r="AD198" s="47" t="s">
        <v>0</v>
      </c>
      <c r="AE198" s="125"/>
      <c r="AF198" s="47" t="s">
        <v>0</v>
      </c>
      <c r="AG198" s="19" t="str">
        <f t="shared" si="233"/>
        <v/>
      </c>
      <c r="AH198" s="47" t="s">
        <v>0</v>
      </c>
      <c r="AI198" s="143" t="str">
        <f t="shared" si="234"/>
        <v>CRO</v>
      </c>
      <c r="AJ198" s="47"/>
      <c r="AK198" s="52" t="str">
        <f t="shared" si="235"/>
        <v>Martin</v>
      </c>
      <c r="AL198" s="31" t="str">
        <f t="shared" si="236"/>
        <v>Vukmanović</v>
      </c>
      <c r="AM198" s="73">
        <f t="shared" si="237"/>
        <v>1960</v>
      </c>
      <c r="AN198" s="73" t="str">
        <f t="shared" si="238"/>
        <v/>
      </c>
      <c r="AO198" s="31" t="str">
        <f t="shared" si="198"/>
        <v>Martin</v>
      </c>
      <c r="AP198" s="66" t="str">
        <f t="shared" si="199"/>
        <v>Vukmanović</v>
      </c>
      <c r="AQ198" s="47" t="s">
        <v>0</v>
      </c>
      <c r="AR198" s="82" t="str">
        <f t="shared" si="239"/>
        <v/>
      </c>
      <c r="AS198" s="47" t="s">
        <v>0</v>
      </c>
      <c r="AT198" s="19" t="str">
        <f t="shared" si="240"/>
        <v/>
      </c>
      <c r="AU198" s="47" t="s">
        <v>0</v>
      </c>
      <c r="AV198" s="103"/>
      <c r="AW198" s="105"/>
      <c r="AX198" s="47" t="s">
        <v>0</v>
      </c>
      <c r="AY198" s="259" t="str">
        <f t="shared" si="263"/>
        <v/>
      </c>
      <c r="AZ198" s="47" t="s">
        <v>0</v>
      </c>
      <c r="BA198" s="52" t="str">
        <f t="shared" si="200"/>
        <v/>
      </c>
      <c r="BB198" s="73" t="str">
        <f>IF(AV198&amp;AW198="","",MAX(BB$12:BB197)+1)</f>
        <v/>
      </c>
      <c r="BC198" s="272" t="str">
        <f t="shared" si="201"/>
        <v/>
      </c>
      <c r="BD198" s="53" t="str">
        <f>IF(AND(AM198="NEMA",AN198="NEMA",OR(AV198&amp;AW198="",BC198="NEMA")),MAX(BD$12:BD197)+1,"")</f>
        <v/>
      </c>
      <c r="BE198" s="47" t="s">
        <v>0</v>
      </c>
      <c r="BF198" s="52" t="str">
        <f t="shared" si="241"/>
        <v>Martin</v>
      </c>
      <c r="BG198" s="66" t="str">
        <f t="shared" si="242"/>
        <v>Vukmanović</v>
      </c>
      <c r="BH198" s="47" t="s">
        <v>0</v>
      </c>
      <c r="BI198" s="52" t="str">
        <f t="shared" si="202"/>
        <v>KAP</v>
      </c>
      <c r="BJ198" s="31" t="str">
        <f t="shared" si="203"/>
        <v>OK Kapela</v>
      </c>
      <c r="BK198" s="73" t="str">
        <f t="shared" si="204"/>
        <v/>
      </c>
      <c r="BL198" s="31" t="str" cm="1">
        <f t="array" ref="BL198">IF(BK198="",""&amp;BJ198,IF(BK198="NEMA",BJ198,INDEX(regKlub_naziv,MATCH(INDEX(regKlub_alias_klubId,BK198),regKlub_id,0))))</f>
        <v>OK Kapela</v>
      </c>
      <c r="BM198" s="31" t="str" cm="1">
        <f t="array" ref="BM198">IFERROR(""&amp;INDEX(regNatjecatelj_klub,DV198),"")</f>
        <v>OK Kapela</v>
      </c>
      <c r="BN198" s="88" t="str">
        <f t="shared" si="243"/>
        <v/>
      </c>
      <c r="BO198" s="66" t="str">
        <f t="shared" si="244"/>
        <v>OK Kapela</v>
      </c>
      <c r="BP198" s="47" t="s">
        <v>0</v>
      </c>
      <c r="BQ198" s="52" t="str">
        <f>IF(X198&lt;&gt;"NEMA","",IF(IFERROR(MATCH(W198,W$12:W197,0),0)&lt;&gt;0,"",W198))</f>
        <v/>
      </c>
      <c r="BR198" s="73" t="str">
        <f t="shared" si="245"/>
        <v/>
      </c>
      <c r="BS198" s="31" t="str">
        <f>IF(OR(BR198="",BR198&lt;&gt;"NEMA"),"",MAX(BS$12:BS197)+1)</f>
        <v/>
      </c>
      <c r="BT198" s="66" t="str">
        <f t="shared" si="246"/>
        <v/>
      </c>
      <c r="BU198" s="47" t="s">
        <v>0</v>
      </c>
      <c r="BV198" s="19" t="str">
        <f t="shared" si="247"/>
        <v/>
      </c>
      <c r="BW198" s="47" t="s">
        <v>0</v>
      </c>
      <c r="BX198" s="82" t="str">
        <f>IF(BK198&lt;&gt;"NEMA","",IF(IFERROR(MATCH(BJ198,BJ$12:BJ197,0),0)&lt;&gt;0,"",BJ198))</f>
        <v/>
      </c>
      <c r="BY198" s="47" t="s">
        <v>0</v>
      </c>
      <c r="BZ198" s="125"/>
      <c r="CA198" s="47" t="s">
        <v>0</v>
      </c>
      <c r="CB198" s="58" t="str">
        <f t="shared" si="248"/>
        <v/>
      </c>
      <c r="CC198" s="31" t="str">
        <f t="shared" si="249"/>
        <v/>
      </c>
      <c r="CD198" s="31" t="str">
        <f>IF(CC198="","",MAX(CD$12:CD197)+1)</f>
        <v/>
      </c>
      <c r="CE198" s="31" t="str">
        <f t="shared" si="205"/>
        <v/>
      </c>
      <c r="CF198" s="31" t="str">
        <f t="shared" si="250"/>
        <v/>
      </c>
      <c r="CG198" s="31" t="str">
        <f>IF(BZ198="","",MAX(CG$12:CG197)+1)</f>
        <v/>
      </c>
      <c r="CH198" s="31" t="str">
        <f t="shared" si="251"/>
        <v/>
      </c>
      <c r="CI198" s="66" t="str">
        <f t="shared" si="252"/>
        <v/>
      </c>
      <c r="CJ198" s="47" t="s">
        <v>0</v>
      </c>
      <c r="CK198" s="73" t="str">
        <f t="shared" si="206"/>
        <v/>
      </c>
      <c r="CL198" s="47"/>
      <c r="CM198" s="19" t="str">
        <f t="shared" si="253"/>
        <v/>
      </c>
      <c r="CN198" s="47" t="s">
        <v>0</v>
      </c>
      <c r="CO198" s="143" t="str">
        <f t="shared" si="254"/>
        <v>OK Kapela</v>
      </c>
      <c r="CP198" s="47" t="s">
        <v>0</v>
      </c>
      <c r="CQ198" s="58" t="str">
        <f t="shared" si="270"/>
        <v/>
      </c>
      <c r="CR198" s="73" t="str">
        <f t="shared" si="271"/>
        <v>1</v>
      </c>
      <c r="CS198" s="229" t="str">
        <f t="shared" si="207"/>
        <v/>
      </c>
      <c r="CT198" s="230" t="str">
        <f t="shared" si="272"/>
        <v/>
      </c>
      <c r="CU198" s="163">
        <f t="shared" si="208"/>
        <v>6</v>
      </c>
      <c r="CV198" s="47" t="s">
        <v>0</v>
      </c>
      <c r="CW198" s="222" t="str">
        <f t="shared" si="255"/>
        <v xml:space="preserve">
</v>
      </c>
      <c r="CX198" s="223" t="e">
        <f t="shared" si="256"/>
        <v>#N/A</v>
      </c>
      <c r="CY198" s="47" t="s">
        <v>0</v>
      </c>
      <c r="CZ198" s="47"/>
      <c r="DA198" s="47"/>
      <c r="DB198" s="47"/>
      <c r="DC198" s="47" t="s">
        <v>0</v>
      </c>
      <c r="DD198" s="53" t="str">
        <f t="shared" si="264"/>
        <v/>
      </c>
      <c r="DE198" t="s">
        <v>0</v>
      </c>
      <c r="DF198" s="128" t="str">
        <f t="shared" si="265"/>
        <v>O</v>
      </c>
      <c r="DG198" t="s">
        <v>0</v>
      </c>
      <c r="DH198" s="52" t="str">
        <f t="shared" si="266"/>
        <v/>
      </c>
      <c r="DI198" s="66" t="str">
        <f t="shared" si="267"/>
        <v/>
      </c>
      <c r="DJ198" t="s">
        <v>0</v>
      </c>
      <c r="DK198" s="19" t="str">
        <f t="shared" si="268"/>
        <v/>
      </c>
      <c r="DL198" s="47" t="s">
        <v>0</v>
      </c>
      <c r="DM198" s="19" t="str">
        <f t="shared" si="269"/>
        <v/>
      </c>
      <c r="DN198" s="47" t="s">
        <v>0</v>
      </c>
      <c r="DO198" s="52" t="str">
        <f t="shared" si="209"/>
        <v>Martin – Vukmanović – OK Kapela – OPEN</v>
      </c>
      <c r="DP198" s="53" t="str">
        <f t="shared" si="210"/>
        <v>NEMA</v>
      </c>
      <c r="DQ198" s="47" t="s">
        <v>0</v>
      </c>
      <c r="DR198" s="52" t="str">
        <f t="shared" si="211"/>
        <v>Martin – Vukmanović – OK Kapela</v>
      </c>
      <c r="DS198" s="53">
        <f t="shared" si="212"/>
        <v>330</v>
      </c>
      <c r="DT198" s="47" t="s">
        <v>0</v>
      </c>
      <c r="DU198" s="52" t="str">
        <f t="shared" si="213"/>
        <v>Martin – Vukmanović</v>
      </c>
      <c r="DV198" s="53">
        <f t="shared" si="214"/>
        <v>330</v>
      </c>
      <c r="DW198" s="47" t="s">
        <v>0</v>
      </c>
      <c r="DX198" s="58">
        <f t="shared" si="257"/>
        <v>330</v>
      </c>
      <c r="DY198" s="53" cm="1">
        <f t="array" ref="DY198">IF(DX198&lt;&gt;"",INDEX(regNatjecatelj_id,DX198,0),IF(BD198&lt;&gt;"",BD198,""))</f>
        <v>1960</v>
      </c>
      <c r="DZ198" s="47" t="s">
        <v>0</v>
      </c>
      <c r="EA198" s="58" t="str">
        <f t="shared" si="215"/>
        <v>imepre</v>
      </c>
      <c r="EB198" s="73" t="str">
        <f t="shared" si="216"/>
        <v>klu</v>
      </c>
      <c r="EC198" s="73" t="str">
        <f t="shared" si="217"/>
        <v>kat</v>
      </c>
      <c r="ED198" s="73" t="str">
        <f t="shared" si="218"/>
        <v/>
      </c>
      <c r="EE198" s="66" t="str">
        <f t="shared" si="219"/>
        <v>imepre-klu-kat</v>
      </c>
      <c r="EF198" s="47" t="s">
        <v>0</v>
      </c>
      <c r="EG198" s="58">
        <f>IF(AL198="","",MAX(EG$12:EG197)+1)</f>
        <v>358</v>
      </c>
      <c r="EH198" s="73">
        <f t="shared" si="220"/>
        <v>34</v>
      </c>
      <c r="EI198" s="73">
        <f t="shared" si="258"/>
        <v>1960</v>
      </c>
      <c r="EJ198" s="73" t="str">
        <f t="shared" si="221"/>
        <v/>
      </c>
      <c r="EK198" s="73">
        <f t="shared" si="222"/>
        <v>6</v>
      </c>
      <c r="EL198" s="73">
        <f t="shared" si="259"/>
        <v>0</v>
      </c>
      <c r="EM198" s="73">
        <f t="shared" si="260"/>
        <v>1</v>
      </c>
      <c r="EN198" s="73" t="str">
        <f t="shared" si="223"/>
        <v>1</v>
      </c>
      <c r="EO198" s="73" t="str">
        <f t="shared" si="224"/>
        <v/>
      </c>
      <c r="EP198" s="73" t="str">
        <f t="shared" si="225"/>
        <v/>
      </c>
      <c r="EQ198" s="53" t="str">
        <f t="shared" si="226"/>
        <v/>
      </c>
      <c r="ER198" s="47" t="s">
        <v>0</v>
      </c>
      <c r="ES198" s="19" t="str">
        <f t="shared" si="261"/>
        <v>INSERT INTO rezultat(id,stazakategorija_id,imeprezime_id,vrijeme_sec,status_id,registracija,uparivanje_id,originalstatus_id,imeprezimealias_id,klubalias_id,kategorijaalias_id) VALUES (358,34,1960,Null,6,0,1,1,Null,Null,Null);</v>
      </c>
      <c r="ET198" s="47" t="s">
        <v>0</v>
      </c>
      <c r="EU198" s="19" t="str">
        <f t="shared" si="262"/>
        <v/>
      </c>
      <c r="EV198" s="47" t="s">
        <v>0</v>
      </c>
      <c r="EW198" s="180" t="str">
        <f t="shared" si="227"/>
        <v xml:space="preserve">
INSERT INTO rezultat(id,stazakategorija_id,imeprezime_id,vrijeme_sec,status_id,registracija,uparivanje_id,originalstatus_id,imeprezimealias_id,klubalias_id,kategorijaalias_id) VALUES (358,34,1960,Null,6,0,1,1,Null,Null,Null);</v>
      </c>
      <c r="EX198" s="47" t="s">
        <v>0</v>
      </c>
    </row>
    <row r="199" spans="1:154" x14ac:dyDescent="0.25">
      <c r="A199" t="s">
        <v>0</v>
      </c>
      <c r="B199" s="52" t="str">
        <f>IF(csv!F189="","",csv!T189)</f>
        <v>OPEN</v>
      </c>
      <c r="C199" s="31" t="s">
        <v>0</v>
      </c>
      <c r="D199" s="31" t="str">
        <f>IF(csv!F189="","",csv!F189)</f>
        <v>Maja</v>
      </c>
      <c r="E199" s="31" t="str">
        <f>IF(csv!E189="","",csv!E189)</f>
        <v>Katušić</v>
      </c>
      <c r="F199" s="31" t="s">
        <v>0</v>
      </c>
      <c r="G199" s="73" t="str">
        <f>IF(csv!M189="","",csv!M189)</f>
        <v>148:32</v>
      </c>
      <c r="H199" s="73" t="str">
        <f>IF(csv!N189="","",csv!N189)</f>
        <v>3</v>
      </c>
      <c r="I199" s="31" t="s">
        <v>0</v>
      </c>
      <c r="J199" s="31" t="str">
        <f>IF(csv!P189="","",csv!P189)</f>
        <v>Vihor</v>
      </c>
      <c r="K199" s="31" t="str">
        <f>IF(csv!Q189="","",csv!Q189)</f>
        <v>OK Vihor</v>
      </c>
      <c r="L199" s="31" t="s">
        <v>0</v>
      </c>
      <c r="M199" s="66" t="str">
        <f>IF(csv!R189="","",csv!R189)</f>
        <v>CRO</v>
      </c>
      <c r="N199" s="47" t="s">
        <v>0</v>
      </c>
      <c r="O199" s="246" t="str">
        <f t="shared" si="228"/>
        <v>ok</v>
      </c>
      <c r="P199" s="47"/>
      <c r="Q199" s="52" t="str">
        <f t="shared" si="229"/>
        <v>OPEN</v>
      </c>
      <c r="R199" s="73">
        <f>IF(Q199="","",IF(COUNTIF(Q$12:Q198,Q199)=0,R198+1,R198))</f>
        <v>12</v>
      </c>
      <c r="S199" s="73">
        <f t="shared" si="230"/>
        <v>291</v>
      </c>
      <c r="T199" s="73">
        <f t="shared" si="193"/>
        <v>29</v>
      </c>
      <c r="U199" s="66" t="str">
        <f t="shared" si="194"/>
        <v>Otvorena</v>
      </c>
      <c r="V199" s="47" t="s">
        <v>0</v>
      </c>
      <c r="W199" s="222" t="str">
        <f t="shared" si="195"/>
        <v>Otvorena</v>
      </c>
      <c r="X199" s="223">
        <f t="shared" si="196"/>
        <v>34</v>
      </c>
      <c r="Y199" s="47" t="s">
        <v>0</v>
      </c>
      <c r="Z199" s="52" t="str">
        <f t="shared" si="231"/>
        <v>CRO</v>
      </c>
      <c r="AA199" s="73">
        <f t="shared" si="197"/>
        <v>1</v>
      </c>
      <c r="AB199" s="31" t="str">
        <f t="shared" si="232"/>
        <v/>
      </c>
      <c r="AC199" s="66" t="str">
        <f>IF(AB199="","",MAX(AC$12:AC198)+1)</f>
        <v/>
      </c>
      <c r="AD199" s="47" t="s">
        <v>0</v>
      </c>
      <c r="AE199" s="125"/>
      <c r="AF199" s="47" t="s">
        <v>0</v>
      </c>
      <c r="AG199" s="19" t="str">
        <f t="shared" si="233"/>
        <v/>
      </c>
      <c r="AH199" s="47" t="s">
        <v>0</v>
      </c>
      <c r="AI199" s="143" t="str">
        <f t="shared" si="234"/>
        <v>CRO</v>
      </c>
      <c r="AJ199" s="47"/>
      <c r="AK199" s="52" t="str">
        <f t="shared" si="235"/>
        <v>Maja</v>
      </c>
      <c r="AL199" s="31" t="str">
        <f t="shared" si="236"/>
        <v>Katušić</v>
      </c>
      <c r="AM199" s="73">
        <f t="shared" si="237"/>
        <v>1894</v>
      </c>
      <c r="AN199" s="73" t="str">
        <f t="shared" si="238"/>
        <v/>
      </c>
      <c r="AO199" s="31" t="str">
        <f t="shared" si="198"/>
        <v>Maja</v>
      </c>
      <c r="AP199" s="66" t="str">
        <f t="shared" si="199"/>
        <v>Katušić</v>
      </c>
      <c r="AQ199" s="47" t="s">
        <v>0</v>
      </c>
      <c r="AR199" s="82" t="str">
        <f t="shared" si="239"/>
        <v/>
      </c>
      <c r="AS199" s="47" t="s">
        <v>0</v>
      </c>
      <c r="AT199" s="19" t="str">
        <f t="shared" si="240"/>
        <v/>
      </c>
      <c r="AU199" s="47" t="s">
        <v>0</v>
      </c>
      <c r="AV199" s="103"/>
      <c r="AW199" s="105"/>
      <c r="AX199" s="47" t="s">
        <v>0</v>
      </c>
      <c r="AY199" s="259" t="str">
        <f t="shared" si="263"/>
        <v/>
      </c>
      <c r="AZ199" s="47" t="s">
        <v>0</v>
      </c>
      <c r="BA199" s="52" t="str">
        <f t="shared" si="200"/>
        <v/>
      </c>
      <c r="BB199" s="73" t="str">
        <f>IF(AV199&amp;AW199="","",MAX(BB$12:BB198)+1)</f>
        <v/>
      </c>
      <c r="BC199" s="272" t="str">
        <f t="shared" si="201"/>
        <v/>
      </c>
      <c r="BD199" s="53" t="str">
        <f>IF(AND(AM199="NEMA",AN199="NEMA",OR(AV199&amp;AW199="",BC199="NEMA")),MAX(BD$12:BD198)+1,"")</f>
        <v/>
      </c>
      <c r="BE199" s="47" t="s">
        <v>0</v>
      </c>
      <c r="BF199" s="52" t="str">
        <f t="shared" si="241"/>
        <v>Maja</v>
      </c>
      <c r="BG199" s="66" t="str">
        <f t="shared" si="242"/>
        <v>Katušić</v>
      </c>
      <c r="BH199" s="47" t="s">
        <v>0</v>
      </c>
      <c r="BI199" s="52" t="str">
        <f t="shared" si="202"/>
        <v>Vihor</v>
      </c>
      <c r="BJ199" s="31" t="str">
        <f t="shared" si="203"/>
        <v>OK Vihor</v>
      </c>
      <c r="BK199" s="73" t="str">
        <f t="shared" si="204"/>
        <v/>
      </c>
      <c r="BL199" s="31" t="str" cm="1">
        <f t="array" ref="BL199">IF(BK199="",""&amp;BJ199,IF(BK199="NEMA",BJ199,INDEX(regKlub_naziv,MATCH(INDEX(regKlub_alias_klubId,BK199),regKlub_id,0))))</f>
        <v>OK Vihor</v>
      </c>
      <c r="BM199" s="31" t="str" cm="1">
        <f t="array" ref="BM199">IFERROR(""&amp;INDEX(regNatjecatelj_klub,DV199),"")</f>
        <v>OK Vihor</v>
      </c>
      <c r="BN199" s="88" t="str">
        <f t="shared" si="243"/>
        <v/>
      </c>
      <c r="BO199" s="66" t="str">
        <f t="shared" si="244"/>
        <v>OK Vihor</v>
      </c>
      <c r="BP199" s="47" t="s">
        <v>0</v>
      </c>
      <c r="BQ199" s="52" t="str">
        <f>IF(X199&lt;&gt;"NEMA","",IF(IFERROR(MATCH(W199,W$12:W198,0),0)&lt;&gt;0,"",W199))</f>
        <v/>
      </c>
      <c r="BR199" s="73" t="str">
        <f t="shared" si="245"/>
        <v/>
      </c>
      <c r="BS199" s="31" t="str">
        <f>IF(OR(BR199="",BR199&lt;&gt;"NEMA"),"",MAX(BS$12:BS198)+1)</f>
        <v/>
      </c>
      <c r="BT199" s="66" t="str">
        <f t="shared" si="246"/>
        <v/>
      </c>
      <c r="BU199" s="47" t="s">
        <v>0</v>
      </c>
      <c r="BV199" s="19" t="str">
        <f t="shared" si="247"/>
        <v/>
      </c>
      <c r="BW199" s="47" t="s">
        <v>0</v>
      </c>
      <c r="BX199" s="82" t="str">
        <f>IF(BK199&lt;&gt;"NEMA","",IF(IFERROR(MATCH(BJ199,BJ$12:BJ198,0),0)&lt;&gt;0,"",BJ199))</f>
        <v/>
      </c>
      <c r="BY199" s="47" t="s">
        <v>0</v>
      </c>
      <c r="BZ199" s="125"/>
      <c r="CA199" s="47" t="s">
        <v>0</v>
      </c>
      <c r="CB199" s="58" t="str">
        <f t="shared" si="248"/>
        <v/>
      </c>
      <c r="CC199" s="31" t="str">
        <f t="shared" si="249"/>
        <v/>
      </c>
      <c r="CD199" s="31" t="str">
        <f>IF(CC199="","",MAX(CD$12:CD198)+1)</f>
        <v/>
      </c>
      <c r="CE199" s="31" t="str">
        <f t="shared" si="205"/>
        <v/>
      </c>
      <c r="CF199" s="31" t="str">
        <f t="shared" si="250"/>
        <v/>
      </c>
      <c r="CG199" s="31" t="str">
        <f>IF(BZ199="","",MAX(CG$12:CG198)+1)</f>
        <v/>
      </c>
      <c r="CH199" s="31" t="str">
        <f t="shared" si="251"/>
        <v/>
      </c>
      <c r="CI199" s="66" t="str">
        <f t="shared" si="252"/>
        <v/>
      </c>
      <c r="CJ199" s="47" t="s">
        <v>0</v>
      </c>
      <c r="CK199" s="73" t="str">
        <f t="shared" si="206"/>
        <v/>
      </c>
      <c r="CL199" s="47"/>
      <c r="CM199" s="19" t="str">
        <f t="shared" si="253"/>
        <v/>
      </c>
      <c r="CN199" s="47" t="s">
        <v>0</v>
      </c>
      <c r="CO199" s="143" t="str">
        <f t="shared" si="254"/>
        <v>OK Vihor</v>
      </c>
      <c r="CP199" s="47" t="s">
        <v>0</v>
      </c>
      <c r="CQ199" s="58" t="str">
        <f t="shared" si="270"/>
        <v>148:32</v>
      </c>
      <c r="CR199" s="73" t="str">
        <f t="shared" si="271"/>
        <v>3</v>
      </c>
      <c r="CS199" s="229" t="str">
        <f t="shared" si="207"/>
        <v/>
      </c>
      <c r="CT199" s="230">
        <f t="shared" si="272"/>
        <v>8912</v>
      </c>
      <c r="CU199" s="163">
        <f t="shared" si="208"/>
        <v>3</v>
      </c>
      <c r="CV199" s="47" t="s">
        <v>0</v>
      </c>
      <c r="CW199" s="222" t="str">
        <f t="shared" si="255"/>
        <v xml:space="preserve">
</v>
      </c>
      <c r="CX199" s="223">
        <f t="shared" si="256"/>
        <v>3</v>
      </c>
      <c r="CY199" s="47" t="s">
        <v>0</v>
      </c>
      <c r="CZ199" s="47"/>
      <c r="DA199" s="47"/>
      <c r="DB199" s="47"/>
      <c r="DC199" s="47" t="s">
        <v>0</v>
      </c>
      <c r="DD199" s="53" t="str">
        <f t="shared" si="264"/>
        <v/>
      </c>
      <c r="DE199" t="s">
        <v>0</v>
      </c>
      <c r="DF199" s="128" t="str">
        <f t="shared" si="265"/>
        <v>O</v>
      </c>
      <c r="DG199" t="s">
        <v>0</v>
      </c>
      <c r="DH199" s="52" t="str">
        <f t="shared" si="266"/>
        <v/>
      </c>
      <c r="DI199" s="66" t="str">
        <f t="shared" si="267"/>
        <v/>
      </c>
      <c r="DJ199" t="s">
        <v>0</v>
      </c>
      <c r="DK199" s="19" t="str">
        <f t="shared" si="268"/>
        <v/>
      </c>
      <c r="DL199" s="47" t="s">
        <v>0</v>
      </c>
      <c r="DM199" s="19" t="str">
        <f t="shared" si="269"/>
        <v/>
      </c>
      <c r="DN199" s="47" t="s">
        <v>0</v>
      </c>
      <c r="DO199" s="52" t="str">
        <f t="shared" si="209"/>
        <v>Maja – Katušić – OK Vihor – OPEN</v>
      </c>
      <c r="DP199" s="53" t="str">
        <f t="shared" si="210"/>
        <v>NEMA</v>
      </c>
      <c r="DQ199" s="47" t="s">
        <v>0</v>
      </c>
      <c r="DR199" s="52" t="str">
        <f t="shared" si="211"/>
        <v>Maja – Katušić – OK Vihor</v>
      </c>
      <c r="DS199" s="53">
        <f t="shared" si="212"/>
        <v>733</v>
      </c>
      <c r="DT199" s="47" t="s">
        <v>0</v>
      </c>
      <c r="DU199" s="52" t="str">
        <f t="shared" si="213"/>
        <v>Maja – Katušić</v>
      </c>
      <c r="DV199" s="53">
        <f t="shared" si="214"/>
        <v>733</v>
      </c>
      <c r="DW199" s="47" t="s">
        <v>0</v>
      </c>
      <c r="DX199" s="58">
        <f t="shared" si="257"/>
        <v>733</v>
      </c>
      <c r="DY199" s="53" cm="1">
        <f t="array" ref="DY199">IF(DX199&lt;&gt;"",INDEX(regNatjecatelj_id,DX199,0),IF(BD199&lt;&gt;"",BD199,""))</f>
        <v>1894</v>
      </c>
      <c r="DZ199" s="47" t="s">
        <v>0</v>
      </c>
      <c r="EA199" s="58" t="str">
        <f t="shared" si="215"/>
        <v>imepre</v>
      </c>
      <c r="EB199" s="73" t="str">
        <f t="shared" si="216"/>
        <v>klu</v>
      </c>
      <c r="EC199" s="73" t="str">
        <f t="shared" si="217"/>
        <v>kat</v>
      </c>
      <c r="ED199" s="73" t="str">
        <f t="shared" si="218"/>
        <v/>
      </c>
      <c r="EE199" s="66" t="str">
        <f t="shared" si="219"/>
        <v>imepre-klu-kat</v>
      </c>
      <c r="EF199" s="47" t="s">
        <v>0</v>
      </c>
      <c r="EG199" s="58">
        <f>IF(AL199="","",MAX(EG$12:EG198)+1)</f>
        <v>359</v>
      </c>
      <c r="EH199" s="73">
        <f t="shared" si="220"/>
        <v>34</v>
      </c>
      <c r="EI199" s="73">
        <f t="shared" si="258"/>
        <v>1894</v>
      </c>
      <c r="EJ199" s="73">
        <f t="shared" si="221"/>
        <v>8912</v>
      </c>
      <c r="EK199" s="73">
        <f t="shared" si="222"/>
        <v>3</v>
      </c>
      <c r="EL199" s="73">
        <f t="shared" si="259"/>
        <v>0</v>
      </c>
      <c r="EM199" s="73">
        <f t="shared" si="260"/>
        <v>1</v>
      </c>
      <c r="EN199" s="73" t="str">
        <f t="shared" si="223"/>
        <v>3</v>
      </c>
      <c r="EO199" s="73" t="str">
        <f t="shared" si="224"/>
        <v/>
      </c>
      <c r="EP199" s="73" t="str">
        <f t="shared" si="225"/>
        <v/>
      </c>
      <c r="EQ199" s="53" t="str">
        <f t="shared" si="226"/>
        <v/>
      </c>
      <c r="ER199" s="47" t="s">
        <v>0</v>
      </c>
      <c r="ES199" s="19" t="str">
        <f t="shared" si="261"/>
        <v>INSERT INTO rezultat(id,stazakategorija_id,imeprezime_id,vrijeme_sec,status_id,registracija,uparivanje_id,originalstatus_id,imeprezimealias_id,klubalias_id,kategorijaalias_id) VALUES (359,34,1894,8912,3,0,1,3,Null,Null,Null);</v>
      </c>
      <c r="ET199" s="47" t="s">
        <v>0</v>
      </c>
      <c r="EU199" s="19" t="str">
        <f t="shared" si="262"/>
        <v/>
      </c>
      <c r="EV199" s="47" t="s">
        <v>0</v>
      </c>
      <c r="EW199" s="180" t="str">
        <f t="shared" si="227"/>
        <v xml:space="preserve">
INSERT INTO rezultat(id,stazakategorija_id,imeprezime_id,vrijeme_sec,status_id,registracija,uparivanje_id,originalstatus_id,imeprezimealias_id,klubalias_id,kategorijaalias_id) VALUES (359,34,1894,8912,3,0,1,3,Null,Null,Null);</v>
      </c>
      <c r="EX199" s="47" t="s">
        <v>0</v>
      </c>
    </row>
    <row r="200" spans="1:154" x14ac:dyDescent="0.25">
      <c r="A200" t="s">
        <v>0</v>
      </c>
      <c r="B200" s="52" t="str">
        <f>IF(csv!F190="","",csv!T190)</f>
        <v>OPEN</v>
      </c>
      <c r="C200" s="31" t="s">
        <v>0</v>
      </c>
      <c r="D200" s="31" t="str">
        <f>IF(csv!F190="","",csv!F190)</f>
        <v>Petra</v>
      </c>
      <c r="E200" s="31" t="str">
        <f>IF(csv!E190="","",csv!E190)</f>
        <v>Jurić</v>
      </c>
      <c r="F200" s="31" t="s">
        <v>0</v>
      </c>
      <c r="G200" s="73" t="str">
        <f>IF(csv!M190="","",csv!M190)</f>
        <v>72:49</v>
      </c>
      <c r="H200" s="73" t="str">
        <f>IF(csv!N190="","",csv!N190)</f>
        <v>3</v>
      </c>
      <c r="I200" s="31" t="s">
        <v>0</v>
      </c>
      <c r="J200" s="31" t="str">
        <f>IF(csv!P190="","",csv!P190)</f>
        <v>Vihor</v>
      </c>
      <c r="K200" s="31" t="str">
        <f>IF(csv!Q190="","",csv!Q190)</f>
        <v>OK Vihor</v>
      </c>
      <c r="L200" s="31" t="s">
        <v>0</v>
      </c>
      <c r="M200" s="66" t="str">
        <f>IF(csv!R190="","",csv!R190)</f>
        <v>CRO</v>
      </c>
      <c r="N200" s="47" t="s">
        <v>0</v>
      </c>
      <c r="O200" s="246" t="str">
        <f t="shared" si="228"/>
        <v>ok</v>
      </c>
      <c r="P200" s="47"/>
      <c r="Q200" s="52" t="str">
        <f t="shared" si="229"/>
        <v>OPEN</v>
      </c>
      <c r="R200" s="73">
        <f>IF(Q200="","",IF(COUNTIF(Q$12:Q199,Q200)=0,R199+1,R199))</f>
        <v>12</v>
      </c>
      <c r="S200" s="73">
        <f t="shared" si="230"/>
        <v>291</v>
      </c>
      <c r="T200" s="73">
        <f t="shared" si="193"/>
        <v>29</v>
      </c>
      <c r="U200" s="66" t="str">
        <f t="shared" si="194"/>
        <v>Otvorena</v>
      </c>
      <c r="V200" s="47" t="s">
        <v>0</v>
      </c>
      <c r="W200" s="222" t="str">
        <f t="shared" si="195"/>
        <v>Otvorena</v>
      </c>
      <c r="X200" s="223">
        <f t="shared" si="196"/>
        <v>34</v>
      </c>
      <c r="Y200" s="47" t="s">
        <v>0</v>
      </c>
      <c r="Z200" s="52" t="str">
        <f t="shared" si="231"/>
        <v>CRO</v>
      </c>
      <c r="AA200" s="73">
        <f t="shared" si="197"/>
        <v>1</v>
      </c>
      <c r="AB200" s="31" t="str">
        <f t="shared" si="232"/>
        <v/>
      </c>
      <c r="AC200" s="66" t="str">
        <f>IF(AB200="","",MAX(AC$12:AC199)+1)</f>
        <v/>
      </c>
      <c r="AD200" s="47" t="s">
        <v>0</v>
      </c>
      <c r="AE200" s="125"/>
      <c r="AF200" s="47" t="s">
        <v>0</v>
      </c>
      <c r="AG200" s="19" t="str">
        <f t="shared" si="233"/>
        <v/>
      </c>
      <c r="AH200" s="47" t="s">
        <v>0</v>
      </c>
      <c r="AI200" s="143" t="str">
        <f t="shared" si="234"/>
        <v>CRO</v>
      </c>
      <c r="AJ200" s="47"/>
      <c r="AK200" s="52" t="str">
        <f t="shared" si="235"/>
        <v>Petra</v>
      </c>
      <c r="AL200" s="31" t="str">
        <f t="shared" si="236"/>
        <v>Jurić</v>
      </c>
      <c r="AM200" s="73">
        <f t="shared" si="237"/>
        <v>1893</v>
      </c>
      <c r="AN200" s="73" t="str">
        <f t="shared" si="238"/>
        <v/>
      </c>
      <c r="AO200" s="31" t="str">
        <f t="shared" si="198"/>
        <v>Petra</v>
      </c>
      <c r="AP200" s="66" t="str">
        <f t="shared" si="199"/>
        <v>Jurić</v>
      </c>
      <c r="AQ200" s="47" t="s">
        <v>0</v>
      </c>
      <c r="AR200" s="82" t="str">
        <f t="shared" si="239"/>
        <v/>
      </c>
      <c r="AS200" s="47" t="s">
        <v>0</v>
      </c>
      <c r="AT200" s="19" t="str">
        <f t="shared" si="240"/>
        <v/>
      </c>
      <c r="AU200" s="47" t="s">
        <v>0</v>
      </c>
      <c r="AV200" s="103"/>
      <c r="AW200" s="105"/>
      <c r="AX200" s="47" t="s">
        <v>0</v>
      </c>
      <c r="AY200" s="259" t="str">
        <f t="shared" si="263"/>
        <v/>
      </c>
      <c r="AZ200" s="47" t="s">
        <v>0</v>
      </c>
      <c r="BA200" s="52" t="str">
        <f t="shared" si="200"/>
        <v/>
      </c>
      <c r="BB200" s="73" t="str">
        <f>IF(AV200&amp;AW200="","",MAX(BB$12:BB199)+1)</f>
        <v/>
      </c>
      <c r="BC200" s="272" t="str">
        <f t="shared" si="201"/>
        <v/>
      </c>
      <c r="BD200" s="53" t="str">
        <f>IF(AND(AM200="NEMA",AN200="NEMA",OR(AV200&amp;AW200="",BC200="NEMA")),MAX(BD$12:BD199)+1,"")</f>
        <v/>
      </c>
      <c r="BE200" s="47" t="s">
        <v>0</v>
      </c>
      <c r="BF200" s="52" t="str">
        <f t="shared" si="241"/>
        <v>Petra</v>
      </c>
      <c r="BG200" s="66" t="str">
        <f t="shared" si="242"/>
        <v>Jurić</v>
      </c>
      <c r="BH200" s="47" t="s">
        <v>0</v>
      </c>
      <c r="BI200" s="52" t="str">
        <f t="shared" si="202"/>
        <v>Vihor</v>
      </c>
      <c r="BJ200" s="31" t="str">
        <f t="shared" si="203"/>
        <v>OK Vihor</v>
      </c>
      <c r="BK200" s="73" t="str">
        <f t="shared" si="204"/>
        <v/>
      </c>
      <c r="BL200" s="31" t="str" cm="1">
        <f t="array" ref="BL200">IF(BK200="",""&amp;BJ200,IF(BK200="NEMA",BJ200,INDEX(regKlub_naziv,MATCH(INDEX(regKlub_alias_klubId,BK200),regKlub_id,0))))</f>
        <v>OK Vihor</v>
      </c>
      <c r="BM200" s="31" t="str" cm="1">
        <f t="array" ref="BM200">IFERROR(""&amp;INDEX(regNatjecatelj_klub,DV200),"")</f>
        <v>OK Vihor</v>
      </c>
      <c r="BN200" s="88" t="str">
        <f t="shared" si="243"/>
        <v/>
      </c>
      <c r="BO200" s="66" t="str">
        <f t="shared" si="244"/>
        <v>OK Vihor</v>
      </c>
      <c r="BP200" s="47" t="s">
        <v>0</v>
      </c>
      <c r="BQ200" s="52" t="str">
        <f>IF(X200&lt;&gt;"NEMA","",IF(IFERROR(MATCH(W200,W$12:W199,0),0)&lt;&gt;0,"",W200))</f>
        <v/>
      </c>
      <c r="BR200" s="73" t="str">
        <f t="shared" si="245"/>
        <v/>
      </c>
      <c r="BS200" s="31" t="str">
        <f>IF(OR(BR200="",BR200&lt;&gt;"NEMA"),"",MAX(BS$12:BS199)+1)</f>
        <v/>
      </c>
      <c r="BT200" s="66" t="str">
        <f t="shared" si="246"/>
        <v/>
      </c>
      <c r="BU200" s="47" t="s">
        <v>0</v>
      </c>
      <c r="BV200" s="19" t="str">
        <f t="shared" si="247"/>
        <v/>
      </c>
      <c r="BW200" s="47" t="s">
        <v>0</v>
      </c>
      <c r="BX200" s="82" t="str">
        <f>IF(BK200&lt;&gt;"NEMA","",IF(IFERROR(MATCH(BJ200,BJ$12:BJ199,0),0)&lt;&gt;0,"",BJ200))</f>
        <v/>
      </c>
      <c r="BY200" s="47" t="s">
        <v>0</v>
      </c>
      <c r="BZ200" s="125"/>
      <c r="CA200" s="47" t="s">
        <v>0</v>
      </c>
      <c r="CB200" s="58" t="str">
        <f t="shared" si="248"/>
        <v/>
      </c>
      <c r="CC200" s="31" t="str">
        <f t="shared" si="249"/>
        <v/>
      </c>
      <c r="CD200" s="31" t="str">
        <f>IF(CC200="","",MAX(CD$12:CD199)+1)</f>
        <v/>
      </c>
      <c r="CE200" s="31" t="str">
        <f t="shared" si="205"/>
        <v/>
      </c>
      <c r="CF200" s="31" t="str">
        <f t="shared" si="250"/>
        <v/>
      </c>
      <c r="CG200" s="31" t="str">
        <f>IF(BZ200="","",MAX(CG$12:CG199)+1)</f>
        <v/>
      </c>
      <c r="CH200" s="31" t="str">
        <f t="shared" si="251"/>
        <v/>
      </c>
      <c r="CI200" s="66" t="str">
        <f t="shared" si="252"/>
        <v/>
      </c>
      <c r="CJ200" s="47" t="s">
        <v>0</v>
      </c>
      <c r="CK200" s="73" t="str">
        <f t="shared" si="206"/>
        <v/>
      </c>
      <c r="CL200" s="47"/>
      <c r="CM200" s="19" t="str">
        <f t="shared" si="253"/>
        <v/>
      </c>
      <c r="CN200" s="47" t="s">
        <v>0</v>
      </c>
      <c r="CO200" s="143" t="str">
        <f t="shared" si="254"/>
        <v>OK Vihor</v>
      </c>
      <c r="CP200" s="47" t="s">
        <v>0</v>
      </c>
      <c r="CQ200" s="58" t="str">
        <f t="shared" si="270"/>
        <v>72:49</v>
      </c>
      <c r="CR200" s="73" t="str">
        <f t="shared" si="271"/>
        <v>3</v>
      </c>
      <c r="CS200" s="229" t="str">
        <f t="shared" si="207"/>
        <v/>
      </c>
      <c r="CT200" s="230">
        <f t="shared" si="272"/>
        <v>4369</v>
      </c>
      <c r="CU200" s="163">
        <f t="shared" si="208"/>
        <v>3</v>
      </c>
      <c r="CV200" s="47" t="s">
        <v>0</v>
      </c>
      <c r="CW200" s="222" t="str">
        <f t="shared" si="255"/>
        <v xml:space="preserve">
</v>
      </c>
      <c r="CX200" s="223">
        <f t="shared" si="256"/>
        <v>3</v>
      </c>
      <c r="CY200" s="47" t="s">
        <v>0</v>
      </c>
      <c r="CZ200" s="47"/>
      <c r="DA200" s="47"/>
      <c r="DB200" s="47"/>
      <c r="DC200" s="47" t="s">
        <v>0</v>
      </c>
      <c r="DD200" s="53" t="str">
        <f t="shared" si="264"/>
        <v/>
      </c>
      <c r="DE200" t="s">
        <v>0</v>
      </c>
      <c r="DF200" s="128" t="str">
        <f t="shared" si="265"/>
        <v>O</v>
      </c>
      <c r="DG200" t="s">
        <v>0</v>
      </c>
      <c r="DH200" s="52" t="str">
        <f t="shared" si="266"/>
        <v/>
      </c>
      <c r="DI200" s="66" t="str">
        <f t="shared" si="267"/>
        <v/>
      </c>
      <c r="DJ200" t="s">
        <v>0</v>
      </c>
      <c r="DK200" s="19" t="str">
        <f t="shared" si="268"/>
        <v/>
      </c>
      <c r="DL200" s="47" t="s">
        <v>0</v>
      </c>
      <c r="DM200" s="19" t="str">
        <f t="shared" si="269"/>
        <v/>
      </c>
      <c r="DN200" s="47" t="s">
        <v>0</v>
      </c>
      <c r="DO200" s="52" t="str">
        <f t="shared" si="209"/>
        <v>Petra – Jurić – OK Vihor – OPEN</v>
      </c>
      <c r="DP200" s="53" t="str">
        <f t="shared" si="210"/>
        <v>NEMA</v>
      </c>
      <c r="DQ200" s="47" t="s">
        <v>0</v>
      </c>
      <c r="DR200" s="52" t="str">
        <f t="shared" si="211"/>
        <v>Petra – Jurić – OK Vihor</v>
      </c>
      <c r="DS200" s="53">
        <f t="shared" si="212"/>
        <v>726</v>
      </c>
      <c r="DT200" s="47" t="s">
        <v>0</v>
      </c>
      <c r="DU200" s="52" t="str">
        <f t="shared" si="213"/>
        <v>Petra – Jurić</v>
      </c>
      <c r="DV200" s="53">
        <f t="shared" si="214"/>
        <v>726</v>
      </c>
      <c r="DW200" s="47" t="s">
        <v>0</v>
      </c>
      <c r="DX200" s="58">
        <f t="shared" si="257"/>
        <v>726</v>
      </c>
      <c r="DY200" s="53" cm="1">
        <f t="array" ref="DY200">IF(DX200&lt;&gt;"",INDEX(regNatjecatelj_id,DX200,0),IF(BD200&lt;&gt;"",BD200,""))</f>
        <v>1893</v>
      </c>
      <c r="DZ200" s="47" t="s">
        <v>0</v>
      </c>
      <c r="EA200" s="58" t="str">
        <f t="shared" si="215"/>
        <v>imepre</v>
      </c>
      <c r="EB200" s="73" t="str">
        <f t="shared" si="216"/>
        <v>klu</v>
      </c>
      <c r="EC200" s="73" t="str">
        <f t="shared" si="217"/>
        <v>kat</v>
      </c>
      <c r="ED200" s="73" t="str">
        <f t="shared" si="218"/>
        <v/>
      </c>
      <c r="EE200" s="66" t="str">
        <f t="shared" si="219"/>
        <v>imepre-klu-kat</v>
      </c>
      <c r="EF200" s="47" t="s">
        <v>0</v>
      </c>
      <c r="EG200" s="58">
        <f>IF(AL200="","",MAX(EG$12:EG199)+1)</f>
        <v>360</v>
      </c>
      <c r="EH200" s="73">
        <f t="shared" si="220"/>
        <v>34</v>
      </c>
      <c r="EI200" s="73">
        <f t="shared" si="258"/>
        <v>1893</v>
      </c>
      <c r="EJ200" s="73">
        <f t="shared" si="221"/>
        <v>4369</v>
      </c>
      <c r="EK200" s="73">
        <f t="shared" si="222"/>
        <v>3</v>
      </c>
      <c r="EL200" s="73">
        <f t="shared" si="259"/>
        <v>0</v>
      </c>
      <c r="EM200" s="73">
        <f t="shared" si="260"/>
        <v>1</v>
      </c>
      <c r="EN200" s="73" t="str">
        <f t="shared" si="223"/>
        <v>3</v>
      </c>
      <c r="EO200" s="73" t="str">
        <f t="shared" si="224"/>
        <v/>
      </c>
      <c r="EP200" s="73" t="str">
        <f t="shared" si="225"/>
        <v/>
      </c>
      <c r="EQ200" s="53" t="str">
        <f t="shared" si="226"/>
        <v/>
      </c>
      <c r="ER200" s="47" t="s">
        <v>0</v>
      </c>
      <c r="ES200" s="19" t="str">
        <f t="shared" si="261"/>
        <v>INSERT INTO rezultat(id,stazakategorija_id,imeprezime_id,vrijeme_sec,status_id,registracija,uparivanje_id,originalstatus_id,imeprezimealias_id,klubalias_id,kategorijaalias_id) VALUES (360,34,1893,4369,3,0,1,3,Null,Null,Null);</v>
      </c>
      <c r="ET200" s="47" t="s">
        <v>0</v>
      </c>
      <c r="EU200" s="19" t="str">
        <f t="shared" si="262"/>
        <v/>
      </c>
      <c r="EV200" s="47" t="s">
        <v>0</v>
      </c>
      <c r="EW200" s="180" t="str">
        <f t="shared" si="227"/>
        <v xml:space="preserve">
INSERT INTO rezultat(id,stazakategorija_id,imeprezime_id,vrijeme_sec,status_id,registracija,uparivanje_id,originalstatus_id,imeprezimealias_id,klubalias_id,kategorijaalias_id) VALUES (360,34,1893,4369,3,0,1,3,Null,Null,Null);</v>
      </c>
      <c r="EX200" s="47" t="s">
        <v>0</v>
      </c>
    </row>
    <row r="201" spans="1:154" x14ac:dyDescent="0.25">
      <c r="A201" t="s">
        <v>0</v>
      </c>
      <c r="B201" s="52" t="str">
        <f>IF(csv!F191="","",csv!T191)</f>
        <v>OPEN</v>
      </c>
      <c r="C201" s="31" t="s">
        <v>0</v>
      </c>
      <c r="D201" s="31" t="str">
        <f>IF(csv!F191="","",csv!F191)</f>
        <v>Maša</v>
      </c>
      <c r="E201" s="31" t="str">
        <f>IF(csv!E191="","",csv!E191)</f>
        <v>Miščević</v>
      </c>
      <c r="F201" s="31" t="s">
        <v>0</v>
      </c>
      <c r="G201" s="73" t="str">
        <f>IF(csv!M191="","",csv!M191)</f>
        <v/>
      </c>
      <c r="H201" s="73" t="str">
        <f>IF(csv!N191="","",csv!N191)</f>
        <v>1</v>
      </c>
      <c r="I201" s="31" t="s">
        <v>0</v>
      </c>
      <c r="J201" s="31" t="str">
        <f>IF(csv!P191="","",csv!P191)</f>
        <v>Vihor</v>
      </c>
      <c r="K201" s="31" t="str">
        <f>IF(csv!Q191="","",csv!Q191)</f>
        <v>OK Vihor</v>
      </c>
      <c r="L201" s="31" t="s">
        <v>0</v>
      </c>
      <c r="M201" s="66" t="str">
        <f>IF(csv!R191="","",csv!R191)</f>
        <v>CRO</v>
      </c>
      <c r="N201" s="47" t="s">
        <v>0</v>
      </c>
      <c r="O201" s="246" t="str">
        <f t="shared" si="228"/>
        <v>ok</v>
      </c>
      <c r="P201" s="47"/>
      <c r="Q201" s="52" t="str">
        <f t="shared" si="229"/>
        <v>OPEN</v>
      </c>
      <c r="R201" s="73">
        <f>IF(Q201="","",IF(COUNTIF(Q$12:Q200,Q201)=0,R200+1,R200))</f>
        <v>12</v>
      </c>
      <c r="S201" s="73">
        <f t="shared" si="230"/>
        <v>291</v>
      </c>
      <c r="T201" s="73">
        <f t="shared" si="193"/>
        <v>29</v>
      </c>
      <c r="U201" s="66" t="str">
        <f t="shared" si="194"/>
        <v>Otvorena</v>
      </c>
      <c r="V201" s="47" t="s">
        <v>0</v>
      </c>
      <c r="W201" s="222" t="str">
        <f t="shared" si="195"/>
        <v>Otvorena</v>
      </c>
      <c r="X201" s="223">
        <f t="shared" si="196"/>
        <v>34</v>
      </c>
      <c r="Y201" s="47" t="s">
        <v>0</v>
      </c>
      <c r="Z201" s="52" t="str">
        <f t="shared" si="231"/>
        <v>CRO</v>
      </c>
      <c r="AA201" s="73">
        <f t="shared" si="197"/>
        <v>1</v>
      </c>
      <c r="AB201" s="31" t="str">
        <f t="shared" si="232"/>
        <v/>
      </c>
      <c r="AC201" s="66" t="str">
        <f>IF(AB201="","",MAX(AC$12:AC200)+1)</f>
        <v/>
      </c>
      <c r="AD201" s="47" t="s">
        <v>0</v>
      </c>
      <c r="AE201" s="125"/>
      <c r="AF201" s="47" t="s">
        <v>0</v>
      </c>
      <c r="AG201" s="19" t="str">
        <f t="shared" si="233"/>
        <v/>
      </c>
      <c r="AH201" s="47" t="s">
        <v>0</v>
      </c>
      <c r="AI201" s="143" t="str">
        <f t="shared" si="234"/>
        <v>CRO</v>
      </c>
      <c r="AJ201" s="47"/>
      <c r="AK201" s="52" t="str">
        <f t="shared" si="235"/>
        <v>Maša</v>
      </c>
      <c r="AL201" s="31" t="str">
        <f t="shared" si="236"/>
        <v>Miščević</v>
      </c>
      <c r="AM201" s="73">
        <f t="shared" si="237"/>
        <v>1902</v>
      </c>
      <c r="AN201" s="73" t="str">
        <f t="shared" si="238"/>
        <v/>
      </c>
      <c r="AO201" s="31" t="str">
        <f t="shared" si="198"/>
        <v>Maša</v>
      </c>
      <c r="AP201" s="66" t="str">
        <f t="shared" si="199"/>
        <v>Miščević</v>
      </c>
      <c r="AQ201" s="47" t="s">
        <v>0</v>
      </c>
      <c r="AR201" s="82" t="str">
        <f t="shared" si="239"/>
        <v/>
      </c>
      <c r="AS201" s="47" t="s">
        <v>0</v>
      </c>
      <c r="AT201" s="19" t="str">
        <f t="shared" si="240"/>
        <v/>
      </c>
      <c r="AU201" s="47" t="s">
        <v>0</v>
      </c>
      <c r="AV201" s="103"/>
      <c r="AW201" s="105"/>
      <c r="AX201" s="47" t="s">
        <v>0</v>
      </c>
      <c r="AY201" s="259" t="str">
        <f t="shared" si="263"/>
        <v/>
      </c>
      <c r="AZ201" s="47" t="s">
        <v>0</v>
      </c>
      <c r="BA201" s="52" t="str">
        <f t="shared" si="200"/>
        <v/>
      </c>
      <c r="BB201" s="73" t="str">
        <f>IF(AV201&amp;AW201="","",MAX(BB$12:BB200)+1)</f>
        <v/>
      </c>
      <c r="BC201" s="272" t="str">
        <f t="shared" si="201"/>
        <v/>
      </c>
      <c r="BD201" s="53" t="str">
        <f>IF(AND(AM201="NEMA",AN201="NEMA",OR(AV201&amp;AW201="",BC201="NEMA")),MAX(BD$12:BD200)+1,"")</f>
        <v/>
      </c>
      <c r="BE201" s="47" t="s">
        <v>0</v>
      </c>
      <c r="BF201" s="52" t="str">
        <f t="shared" si="241"/>
        <v>Maša</v>
      </c>
      <c r="BG201" s="66" t="str">
        <f t="shared" si="242"/>
        <v>Miščević</v>
      </c>
      <c r="BH201" s="47" t="s">
        <v>0</v>
      </c>
      <c r="BI201" s="52" t="str">
        <f t="shared" si="202"/>
        <v>Vihor</v>
      </c>
      <c r="BJ201" s="31" t="str">
        <f t="shared" si="203"/>
        <v>OK Vihor</v>
      </c>
      <c r="BK201" s="73" t="str">
        <f t="shared" si="204"/>
        <v/>
      </c>
      <c r="BL201" s="31" t="str" cm="1">
        <f t="array" ref="BL201">IF(BK201="",""&amp;BJ201,IF(BK201="NEMA",BJ201,INDEX(regKlub_naziv,MATCH(INDEX(regKlub_alias_klubId,BK201),regKlub_id,0))))</f>
        <v>OK Vihor</v>
      </c>
      <c r="BM201" s="31" t="str" cm="1">
        <f t="array" ref="BM201">IFERROR(""&amp;INDEX(regNatjecatelj_klub,DV201),"")</f>
        <v>OK Vihor</v>
      </c>
      <c r="BN201" s="88" t="str">
        <f t="shared" si="243"/>
        <v/>
      </c>
      <c r="BO201" s="66" t="str">
        <f t="shared" si="244"/>
        <v>OK Vihor</v>
      </c>
      <c r="BP201" s="47" t="s">
        <v>0</v>
      </c>
      <c r="BQ201" s="52" t="str">
        <f>IF(X201&lt;&gt;"NEMA","",IF(IFERROR(MATCH(W201,W$12:W200,0),0)&lt;&gt;0,"",W201))</f>
        <v/>
      </c>
      <c r="BR201" s="73" t="str">
        <f t="shared" si="245"/>
        <v/>
      </c>
      <c r="BS201" s="31" t="str">
        <f>IF(OR(BR201="",BR201&lt;&gt;"NEMA"),"",MAX(BS$12:BS200)+1)</f>
        <v/>
      </c>
      <c r="BT201" s="66" t="str">
        <f t="shared" si="246"/>
        <v/>
      </c>
      <c r="BU201" s="47" t="s">
        <v>0</v>
      </c>
      <c r="BV201" s="19" t="str">
        <f t="shared" si="247"/>
        <v/>
      </c>
      <c r="BW201" s="47" t="s">
        <v>0</v>
      </c>
      <c r="BX201" s="82" t="str">
        <f>IF(BK201&lt;&gt;"NEMA","",IF(IFERROR(MATCH(BJ201,BJ$12:BJ200,0),0)&lt;&gt;0,"",BJ201))</f>
        <v/>
      </c>
      <c r="BY201" s="47" t="s">
        <v>0</v>
      </c>
      <c r="BZ201" s="125"/>
      <c r="CA201" s="47" t="s">
        <v>0</v>
      </c>
      <c r="CB201" s="58" t="str">
        <f t="shared" si="248"/>
        <v/>
      </c>
      <c r="CC201" s="31" t="str">
        <f t="shared" si="249"/>
        <v/>
      </c>
      <c r="CD201" s="31" t="str">
        <f>IF(CC201="","",MAX(CD$12:CD200)+1)</f>
        <v/>
      </c>
      <c r="CE201" s="31" t="str">
        <f t="shared" si="205"/>
        <v/>
      </c>
      <c r="CF201" s="31" t="str">
        <f t="shared" si="250"/>
        <v/>
      </c>
      <c r="CG201" s="31" t="str">
        <f>IF(BZ201="","",MAX(CG$12:CG200)+1)</f>
        <v/>
      </c>
      <c r="CH201" s="31" t="str">
        <f t="shared" si="251"/>
        <v/>
      </c>
      <c r="CI201" s="66" t="str">
        <f t="shared" si="252"/>
        <v/>
      </c>
      <c r="CJ201" s="47" t="s">
        <v>0</v>
      </c>
      <c r="CK201" s="73" t="str">
        <f t="shared" si="206"/>
        <v/>
      </c>
      <c r="CL201" s="47"/>
      <c r="CM201" s="19" t="str">
        <f t="shared" si="253"/>
        <v/>
      </c>
      <c r="CN201" s="47" t="s">
        <v>0</v>
      </c>
      <c r="CO201" s="143" t="str">
        <f t="shared" si="254"/>
        <v>OK Vihor</v>
      </c>
      <c r="CP201" s="47" t="s">
        <v>0</v>
      </c>
      <c r="CQ201" s="58" t="str">
        <f t="shared" si="270"/>
        <v/>
      </c>
      <c r="CR201" s="73" t="str">
        <f t="shared" si="271"/>
        <v>1</v>
      </c>
      <c r="CS201" s="229" t="str">
        <f t="shared" si="207"/>
        <v/>
      </c>
      <c r="CT201" s="230" t="str">
        <f t="shared" si="272"/>
        <v/>
      </c>
      <c r="CU201" s="163">
        <f t="shared" si="208"/>
        <v>6</v>
      </c>
      <c r="CV201" s="47" t="s">
        <v>0</v>
      </c>
      <c r="CW201" s="222" t="str">
        <f t="shared" si="255"/>
        <v xml:space="preserve">
</v>
      </c>
      <c r="CX201" s="223" t="e">
        <f t="shared" si="256"/>
        <v>#N/A</v>
      </c>
      <c r="CY201" s="47" t="s">
        <v>0</v>
      </c>
      <c r="CZ201" s="47"/>
      <c r="DA201" s="47"/>
      <c r="DB201" s="47"/>
      <c r="DC201" s="47" t="s">
        <v>0</v>
      </c>
      <c r="DD201" s="53" t="str">
        <f t="shared" si="264"/>
        <v/>
      </c>
      <c r="DE201" t="s">
        <v>0</v>
      </c>
      <c r="DF201" s="128" t="str">
        <f t="shared" si="265"/>
        <v>O</v>
      </c>
      <c r="DG201" t="s">
        <v>0</v>
      </c>
      <c r="DH201" s="52" t="str">
        <f t="shared" si="266"/>
        <v/>
      </c>
      <c r="DI201" s="66" t="str">
        <f t="shared" si="267"/>
        <v/>
      </c>
      <c r="DJ201" t="s">
        <v>0</v>
      </c>
      <c r="DK201" s="19" t="str">
        <f t="shared" si="268"/>
        <v/>
      </c>
      <c r="DL201" s="47" t="s">
        <v>0</v>
      </c>
      <c r="DM201" s="19" t="str">
        <f t="shared" si="269"/>
        <v/>
      </c>
      <c r="DN201" s="47" t="s">
        <v>0</v>
      </c>
      <c r="DO201" s="52" t="str">
        <f t="shared" si="209"/>
        <v>Maša – Miščević – OK Vihor – OPEN</v>
      </c>
      <c r="DP201" s="53" t="str">
        <f t="shared" si="210"/>
        <v>NEMA</v>
      </c>
      <c r="DQ201" s="47" t="s">
        <v>0</v>
      </c>
      <c r="DR201" s="52" t="str">
        <f t="shared" si="211"/>
        <v>Maša – Miščević – OK Vihor</v>
      </c>
      <c r="DS201" s="53">
        <f t="shared" si="212"/>
        <v>815</v>
      </c>
      <c r="DT201" s="47" t="s">
        <v>0</v>
      </c>
      <c r="DU201" s="52" t="str">
        <f t="shared" si="213"/>
        <v>Maša – Miščević</v>
      </c>
      <c r="DV201" s="53">
        <f t="shared" si="214"/>
        <v>815</v>
      </c>
      <c r="DW201" s="47" t="s">
        <v>0</v>
      </c>
      <c r="DX201" s="58">
        <f t="shared" si="257"/>
        <v>815</v>
      </c>
      <c r="DY201" s="53" cm="1">
        <f t="array" ref="DY201">IF(DX201&lt;&gt;"",INDEX(regNatjecatelj_id,DX201,0),IF(BD201&lt;&gt;"",BD201,""))</f>
        <v>1902</v>
      </c>
      <c r="DZ201" s="47" t="s">
        <v>0</v>
      </c>
      <c r="EA201" s="58" t="str">
        <f t="shared" si="215"/>
        <v>imepre</v>
      </c>
      <c r="EB201" s="73" t="str">
        <f t="shared" si="216"/>
        <v>klu</v>
      </c>
      <c r="EC201" s="73" t="str">
        <f t="shared" si="217"/>
        <v>kat</v>
      </c>
      <c r="ED201" s="73" t="str">
        <f t="shared" si="218"/>
        <v/>
      </c>
      <c r="EE201" s="66" t="str">
        <f t="shared" si="219"/>
        <v>imepre-klu-kat</v>
      </c>
      <c r="EF201" s="47" t="s">
        <v>0</v>
      </c>
      <c r="EG201" s="58">
        <f>IF(AL201="","",MAX(EG$12:EG200)+1)</f>
        <v>361</v>
      </c>
      <c r="EH201" s="73">
        <f t="shared" si="220"/>
        <v>34</v>
      </c>
      <c r="EI201" s="73">
        <f t="shared" si="258"/>
        <v>1902</v>
      </c>
      <c r="EJ201" s="73" t="str">
        <f t="shared" si="221"/>
        <v/>
      </c>
      <c r="EK201" s="73">
        <f t="shared" si="222"/>
        <v>6</v>
      </c>
      <c r="EL201" s="73">
        <f t="shared" si="259"/>
        <v>0</v>
      </c>
      <c r="EM201" s="73">
        <f t="shared" si="260"/>
        <v>1</v>
      </c>
      <c r="EN201" s="73" t="str">
        <f t="shared" si="223"/>
        <v>1</v>
      </c>
      <c r="EO201" s="73" t="str">
        <f t="shared" si="224"/>
        <v/>
      </c>
      <c r="EP201" s="73" t="str">
        <f t="shared" si="225"/>
        <v/>
      </c>
      <c r="EQ201" s="53" t="str">
        <f t="shared" si="226"/>
        <v/>
      </c>
      <c r="ER201" s="47" t="s">
        <v>0</v>
      </c>
      <c r="ES201" s="19" t="str">
        <f t="shared" si="261"/>
        <v>INSERT INTO rezultat(id,stazakategorija_id,imeprezime_id,vrijeme_sec,status_id,registracija,uparivanje_id,originalstatus_id,imeprezimealias_id,klubalias_id,kategorijaalias_id) VALUES (361,34,1902,Null,6,0,1,1,Null,Null,Null);</v>
      </c>
      <c r="ET201" s="47" t="s">
        <v>0</v>
      </c>
      <c r="EU201" s="19" t="str">
        <f t="shared" si="262"/>
        <v/>
      </c>
      <c r="EV201" s="47" t="s">
        <v>0</v>
      </c>
      <c r="EW201" s="180" t="str">
        <f t="shared" si="227"/>
        <v xml:space="preserve">
INSERT INTO rezultat(id,stazakategorija_id,imeprezime_id,vrijeme_sec,status_id,registracija,uparivanje_id,originalstatus_id,imeprezimealias_id,klubalias_id,kategorijaalias_id) VALUES (361,34,1902,Null,6,0,1,1,Null,Null,Null);</v>
      </c>
      <c r="EX201" s="47" t="s">
        <v>0</v>
      </c>
    </row>
    <row r="202" spans="1:154" x14ac:dyDescent="0.25">
      <c r="A202" t="s">
        <v>0</v>
      </c>
      <c r="B202" s="52" t="str">
        <f>IF(csv!F192="","",csv!T192)</f>
        <v>OPEN</v>
      </c>
      <c r="C202" s="31" t="s">
        <v>0</v>
      </c>
      <c r="D202" s="31" t="str">
        <f>IF(csv!F192="","",csv!F192)</f>
        <v>Ivan</v>
      </c>
      <c r="E202" s="31" t="str">
        <f>IF(csv!E192="","",csv!E192)</f>
        <v>Majnarić</v>
      </c>
      <c r="F202" s="31" t="s">
        <v>0</v>
      </c>
      <c r="G202" s="73" t="str">
        <f>IF(csv!M192="","",csv!M192)</f>
        <v>118:32</v>
      </c>
      <c r="H202" s="73" t="str">
        <f>IF(csv!N192="","",csv!N192)</f>
        <v>3</v>
      </c>
      <c r="I202" s="31" t="s">
        <v>0</v>
      </c>
      <c r="J202" s="31" t="str">
        <f>IF(csv!P192="","",csv!P192)</f>
        <v>Vihor</v>
      </c>
      <c r="K202" s="31" t="str">
        <f>IF(csv!Q192="","",csv!Q192)</f>
        <v>OK Vihor</v>
      </c>
      <c r="L202" s="31" t="s">
        <v>0</v>
      </c>
      <c r="M202" s="66" t="str">
        <f>IF(csv!R192="","",csv!R192)</f>
        <v>CRO</v>
      </c>
      <c r="N202" s="47" t="s">
        <v>0</v>
      </c>
      <c r="O202" s="246" t="str">
        <f t="shared" si="228"/>
        <v>ok</v>
      </c>
      <c r="P202" s="47"/>
      <c r="Q202" s="52" t="str">
        <f t="shared" si="229"/>
        <v>OPEN</v>
      </c>
      <c r="R202" s="73">
        <f>IF(Q202="","",IF(COUNTIF(Q$12:Q201,Q202)=0,R201+1,R201))</f>
        <v>12</v>
      </c>
      <c r="S202" s="73">
        <f t="shared" si="230"/>
        <v>291</v>
      </c>
      <c r="T202" s="73">
        <f t="shared" si="193"/>
        <v>29</v>
      </c>
      <c r="U202" s="66" t="str">
        <f t="shared" si="194"/>
        <v>Otvorena</v>
      </c>
      <c r="V202" s="47" t="s">
        <v>0</v>
      </c>
      <c r="W202" s="222" t="str">
        <f t="shared" si="195"/>
        <v>Otvorena</v>
      </c>
      <c r="X202" s="223">
        <f t="shared" si="196"/>
        <v>34</v>
      </c>
      <c r="Y202" s="47" t="s">
        <v>0</v>
      </c>
      <c r="Z202" s="52" t="str">
        <f t="shared" si="231"/>
        <v>CRO</v>
      </c>
      <c r="AA202" s="73">
        <f t="shared" si="197"/>
        <v>1</v>
      </c>
      <c r="AB202" s="31" t="str">
        <f t="shared" si="232"/>
        <v/>
      </c>
      <c r="AC202" s="66" t="str">
        <f>IF(AB202="","",MAX(AC$12:AC201)+1)</f>
        <v/>
      </c>
      <c r="AD202" s="47" t="s">
        <v>0</v>
      </c>
      <c r="AE202" s="125"/>
      <c r="AF202" s="47" t="s">
        <v>0</v>
      </c>
      <c r="AG202" s="19" t="str">
        <f t="shared" si="233"/>
        <v/>
      </c>
      <c r="AH202" s="47" t="s">
        <v>0</v>
      </c>
      <c r="AI202" s="143" t="str">
        <f t="shared" si="234"/>
        <v>CRO</v>
      </c>
      <c r="AJ202" s="47"/>
      <c r="AK202" s="52" t="str">
        <f t="shared" si="235"/>
        <v>Ivan</v>
      </c>
      <c r="AL202" s="31" t="str">
        <f t="shared" si="236"/>
        <v>Majnarić</v>
      </c>
      <c r="AM202" s="73">
        <f t="shared" si="237"/>
        <v>1899</v>
      </c>
      <c r="AN202" s="73" t="str">
        <f t="shared" si="238"/>
        <v/>
      </c>
      <c r="AO202" s="31" t="str">
        <f t="shared" si="198"/>
        <v>Ivan</v>
      </c>
      <c r="AP202" s="66" t="str">
        <f t="shared" si="199"/>
        <v>Majnarić</v>
      </c>
      <c r="AQ202" s="47" t="s">
        <v>0</v>
      </c>
      <c r="AR202" s="82" t="str">
        <f t="shared" si="239"/>
        <v/>
      </c>
      <c r="AS202" s="47" t="s">
        <v>0</v>
      </c>
      <c r="AT202" s="19" t="str">
        <f t="shared" si="240"/>
        <v/>
      </c>
      <c r="AU202" s="47" t="s">
        <v>0</v>
      </c>
      <c r="AV202" s="103"/>
      <c r="AW202" s="105"/>
      <c r="AX202" s="47" t="s">
        <v>0</v>
      </c>
      <c r="AY202" s="259" t="str">
        <f t="shared" si="263"/>
        <v/>
      </c>
      <c r="AZ202" s="47" t="s">
        <v>0</v>
      </c>
      <c r="BA202" s="52" t="str">
        <f t="shared" si="200"/>
        <v/>
      </c>
      <c r="BB202" s="73" t="str">
        <f>IF(AV202&amp;AW202="","",MAX(BB$12:BB201)+1)</f>
        <v/>
      </c>
      <c r="BC202" s="272" t="str">
        <f t="shared" si="201"/>
        <v/>
      </c>
      <c r="BD202" s="53" t="str">
        <f>IF(AND(AM202="NEMA",AN202="NEMA",OR(AV202&amp;AW202="",BC202="NEMA")),MAX(BD$12:BD201)+1,"")</f>
        <v/>
      </c>
      <c r="BE202" s="47" t="s">
        <v>0</v>
      </c>
      <c r="BF202" s="52" t="str">
        <f t="shared" si="241"/>
        <v>Ivan</v>
      </c>
      <c r="BG202" s="66" t="str">
        <f t="shared" si="242"/>
        <v>Majnarić</v>
      </c>
      <c r="BH202" s="47" t="s">
        <v>0</v>
      </c>
      <c r="BI202" s="52" t="str">
        <f t="shared" si="202"/>
        <v>Vihor</v>
      </c>
      <c r="BJ202" s="31" t="str">
        <f t="shared" si="203"/>
        <v>OK Vihor</v>
      </c>
      <c r="BK202" s="73" t="str">
        <f t="shared" si="204"/>
        <v/>
      </c>
      <c r="BL202" s="31" t="str" cm="1">
        <f t="array" ref="BL202">IF(BK202="",""&amp;BJ202,IF(BK202="NEMA",BJ202,INDEX(regKlub_naziv,MATCH(INDEX(regKlub_alias_klubId,BK202),regKlub_id,0))))</f>
        <v>OK Vihor</v>
      </c>
      <c r="BM202" s="31" t="str" cm="1">
        <f t="array" ref="BM202">IFERROR(""&amp;INDEX(regNatjecatelj_klub,DV202),"")</f>
        <v>OK Vihor</v>
      </c>
      <c r="BN202" s="88" t="str">
        <f t="shared" si="243"/>
        <v/>
      </c>
      <c r="BO202" s="66" t="str">
        <f t="shared" si="244"/>
        <v>OK Vihor</v>
      </c>
      <c r="BP202" s="47" t="s">
        <v>0</v>
      </c>
      <c r="BQ202" s="52" t="str">
        <f>IF(X202&lt;&gt;"NEMA","",IF(IFERROR(MATCH(W202,W$12:W201,0),0)&lt;&gt;0,"",W202))</f>
        <v/>
      </c>
      <c r="BR202" s="73" t="str">
        <f t="shared" si="245"/>
        <v/>
      </c>
      <c r="BS202" s="31" t="str">
        <f>IF(OR(BR202="",BR202&lt;&gt;"NEMA"),"",MAX(BS$12:BS201)+1)</f>
        <v/>
      </c>
      <c r="BT202" s="66" t="str">
        <f t="shared" si="246"/>
        <v/>
      </c>
      <c r="BU202" s="47" t="s">
        <v>0</v>
      </c>
      <c r="BV202" s="19" t="str">
        <f t="shared" si="247"/>
        <v/>
      </c>
      <c r="BW202" s="47" t="s">
        <v>0</v>
      </c>
      <c r="BX202" s="82" t="str">
        <f>IF(BK202&lt;&gt;"NEMA","",IF(IFERROR(MATCH(BJ202,BJ$12:BJ201,0),0)&lt;&gt;0,"",BJ202))</f>
        <v/>
      </c>
      <c r="BY202" s="47" t="s">
        <v>0</v>
      </c>
      <c r="BZ202" s="125"/>
      <c r="CA202" s="47" t="s">
        <v>0</v>
      </c>
      <c r="CB202" s="58" t="str">
        <f t="shared" si="248"/>
        <v/>
      </c>
      <c r="CC202" s="31" t="str">
        <f t="shared" si="249"/>
        <v/>
      </c>
      <c r="CD202" s="31" t="str">
        <f>IF(CC202="","",MAX(CD$12:CD201)+1)</f>
        <v/>
      </c>
      <c r="CE202" s="31" t="str">
        <f t="shared" si="205"/>
        <v/>
      </c>
      <c r="CF202" s="31" t="str">
        <f t="shared" si="250"/>
        <v/>
      </c>
      <c r="CG202" s="31" t="str">
        <f>IF(BZ202="","",MAX(CG$12:CG201)+1)</f>
        <v/>
      </c>
      <c r="CH202" s="31" t="str">
        <f t="shared" si="251"/>
        <v/>
      </c>
      <c r="CI202" s="66" t="str">
        <f t="shared" si="252"/>
        <v/>
      </c>
      <c r="CJ202" s="47" t="s">
        <v>0</v>
      </c>
      <c r="CK202" s="73" t="str">
        <f t="shared" si="206"/>
        <v/>
      </c>
      <c r="CL202" s="47"/>
      <c r="CM202" s="19" t="str">
        <f t="shared" si="253"/>
        <v/>
      </c>
      <c r="CN202" s="47" t="s">
        <v>0</v>
      </c>
      <c r="CO202" s="143" t="str">
        <f t="shared" si="254"/>
        <v>OK Vihor</v>
      </c>
      <c r="CP202" s="47" t="s">
        <v>0</v>
      </c>
      <c r="CQ202" s="58" t="str">
        <f t="shared" si="270"/>
        <v>118:32</v>
      </c>
      <c r="CR202" s="73" t="str">
        <f t="shared" si="271"/>
        <v>3</v>
      </c>
      <c r="CS202" s="229" t="str">
        <f t="shared" si="207"/>
        <v/>
      </c>
      <c r="CT202" s="230">
        <f t="shared" si="272"/>
        <v>7112</v>
      </c>
      <c r="CU202" s="163">
        <f t="shared" si="208"/>
        <v>3</v>
      </c>
      <c r="CV202" s="47" t="s">
        <v>0</v>
      </c>
      <c r="CW202" s="222" t="str">
        <f t="shared" si="255"/>
        <v xml:space="preserve">
</v>
      </c>
      <c r="CX202" s="223">
        <f t="shared" si="256"/>
        <v>3</v>
      </c>
      <c r="CY202" s="47" t="s">
        <v>0</v>
      </c>
      <c r="CZ202" s="47"/>
      <c r="DA202" s="47"/>
      <c r="DB202" s="47"/>
      <c r="DC202" s="47" t="s">
        <v>0</v>
      </c>
      <c r="DD202" s="53" t="str">
        <f t="shared" si="264"/>
        <v/>
      </c>
      <c r="DE202" t="s">
        <v>0</v>
      </c>
      <c r="DF202" s="128" t="str">
        <f t="shared" si="265"/>
        <v>O</v>
      </c>
      <c r="DG202" t="s">
        <v>0</v>
      </c>
      <c r="DH202" s="52" t="str">
        <f t="shared" si="266"/>
        <v/>
      </c>
      <c r="DI202" s="66" t="str">
        <f t="shared" si="267"/>
        <v/>
      </c>
      <c r="DJ202" t="s">
        <v>0</v>
      </c>
      <c r="DK202" s="19" t="str">
        <f t="shared" si="268"/>
        <v/>
      </c>
      <c r="DL202" s="47" t="s">
        <v>0</v>
      </c>
      <c r="DM202" s="19" t="str">
        <f t="shared" si="269"/>
        <v/>
      </c>
      <c r="DN202" s="47" t="s">
        <v>0</v>
      </c>
      <c r="DO202" s="52" t="str">
        <f t="shared" si="209"/>
        <v>Ivan – Majnarić – OK Vihor – OPEN</v>
      </c>
      <c r="DP202" s="53" t="str">
        <f t="shared" si="210"/>
        <v>NEMA</v>
      </c>
      <c r="DQ202" s="47" t="s">
        <v>0</v>
      </c>
      <c r="DR202" s="52" t="str">
        <f t="shared" si="211"/>
        <v>Ivan – Majnarić – OK Vihor</v>
      </c>
      <c r="DS202" s="53">
        <f t="shared" si="212"/>
        <v>779</v>
      </c>
      <c r="DT202" s="47" t="s">
        <v>0</v>
      </c>
      <c r="DU202" s="52" t="str">
        <f t="shared" si="213"/>
        <v>Ivan – Majnarić</v>
      </c>
      <c r="DV202" s="53">
        <f t="shared" si="214"/>
        <v>779</v>
      </c>
      <c r="DW202" s="47" t="s">
        <v>0</v>
      </c>
      <c r="DX202" s="58">
        <f t="shared" si="257"/>
        <v>779</v>
      </c>
      <c r="DY202" s="53" cm="1">
        <f t="array" ref="DY202">IF(DX202&lt;&gt;"",INDEX(regNatjecatelj_id,DX202,0),IF(BD202&lt;&gt;"",BD202,""))</f>
        <v>1899</v>
      </c>
      <c r="DZ202" s="47" t="s">
        <v>0</v>
      </c>
      <c r="EA202" s="58" t="str">
        <f t="shared" si="215"/>
        <v>imepre</v>
      </c>
      <c r="EB202" s="73" t="str">
        <f t="shared" si="216"/>
        <v>klu</v>
      </c>
      <c r="EC202" s="73" t="str">
        <f t="shared" si="217"/>
        <v>kat</v>
      </c>
      <c r="ED202" s="73" t="str">
        <f t="shared" si="218"/>
        <v/>
      </c>
      <c r="EE202" s="66" t="str">
        <f t="shared" si="219"/>
        <v>imepre-klu-kat</v>
      </c>
      <c r="EF202" s="47" t="s">
        <v>0</v>
      </c>
      <c r="EG202" s="58">
        <f>IF(AL202="","",MAX(EG$12:EG201)+1)</f>
        <v>362</v>
      </c>
      <c r="EH202" s="73">
        <f t="shared" si="220"/>
        <v>34</v>
      </c>
      <c r="EI202" s="73">
        <f t="shared" si="258"/>
        <v>1899</v>
      </c>
      <c r="EJ202" s="73">
        <f t="shared" si="221"/>
        <v>7112</v>
      </c>
      <c r="EK202" s="73">
        <f t="shared" si="222"/>
        <v>3</v>
      </c>
      <c r="EL202" s="73">
        <f t="shared" si="259"/>
        <v>0</v>
      </c>
      <c r="EM202" s="73">
        <f t="shared" si="260"/>
        <v>1</v>
      </c>
      <c r="EN202" s="73" t="str">
        <f t="shared" si="223"/>
        <v>3</v>
      </c>
      <c r="EO202" s="73" t="str">
        <f t="shared" si="224"/>
        <v/>
      </c>
      <c r="EP202" s="73" t="str">
        <f t="shared" si="225"/>
        <v/>
      </c>
      <c r="EQ202" s="53" t="str">
        <f t="shared" si="226"/>
        <v/>
      </c>
      <c r="ER202" s="47" t="s">
        <v>0</v>
      </c>
      <c r="ES202" s="19" t="str">
        <f t="shared" si="261"/>
        <v>INSERT INTO rezultat(id,stazakategorija_id,imeprezime_id,vrijeme_sec,status_id,registracija,uparivanje_id,originalstatus_id,imeprezimealias_id,klubalias_id,kategorijaalias_id) VALUES (362,34,1899,7112,3,0,1,3,Null,Null,Null);</v>
      </c>
      <c r="ET202" s="47" t="s">
        <v>0</v>
      </c>
      <c r="EU202" s="19" t="str">
        <f t="shared" si="262"/>
        <v/>
      </c>
      <c r="EV202" s="47" t="s">
        <v>0</v>
      </c>
      <c r="EW202" s="180" t="str">
        <f t="shared" si="227"/>
        <v xml:space="preserve">
INSERT INTO rezultat(id,stazakategorija_id,imeprezime_id,vrijeme_sec,status_id,registracija,uparivanje_id,originalstatus_id,imeprezimealias_id,klubalias_id,kategorijaalias_id) VALUES (362,34,1899,7112,3,0,1,3,Null,Null,Null);</v>
      </c>
      <c r="EX202" s="47" t="s">
        <v>0</v>
      </c>
    </row>
    <row r="203" spans="1:154" x14ac:dyDescent="0.25">
      <c r="A203" t="s">
        <v>0</v>
      </c>
      <c r="B203" s="52" t="str">
        <f>IF(csv!F193="","",csv!T193)</f>
        <v>OPEN</v>
      </c>
      <c r="C203" s="31" t="s">
        <v>0</v>
      </c>
      <c r="D203" s="31" t="str">
        <f>IF(csv!F193="","",csv!F193)</f>
        <v>Luka</v>
      </c>
      <c r="E203" s="31" t="str">
        <f>IF(csv!E193="","",csv!E193)</f>
        <v>Hajnić</v>
      </c>
      <c r="F203" s="31" t="s">
        <v>0</v>
      </c>
      <c r="G203" s="73" t="str">
        <f>IF(csv!M193="","",csv!M193)</f>
        <v/>
      </c>
      <c r="H203" s="73" t="str">
        <f>IF(csv!N193="","",csv!N193)</f>
        <v>1</v>
      </c>
      <c r="I203" s="31" t="s">
        <v>0</v>
      </c>
      <c r="J203" s="31" t="str">
        <f>IF(csv!P193="","",csv!P193)</f>
        <v/>
      </c>
      <c r="K203" s="31" t="str">
        <f>IF(csv!Q193="","",csv!Q193)</f>
        <v/>
      </c>
      <c r="L203" s="31" t="s">
        <v>0</v>
      </c>
      <c r="M203" s="66" t="str">
        <f>IF(csv!R193="","",csv!R193)</f>
        <v/>
      </c>
      <c r="N203" s="47" t="s">
        <v>0</v>
      </c>
      <c r="O203" s="246" t="str">
        <f t="shared" si="228"/>
        <v>ok</v>
      </c>
      <c r="P203" s="47"/>
      <c r="Q203" s="52" t="str">
        <f t="shared" si="229"/>
        <v>OPEN</v>
      </c>
      <c r="R203" s="73">
        <f>IF(Q203="","",IF(COUNTIF(Q$12:Q202,Q203)=0,R202+1,R202))</f>
        <v>12</v>
      </c>
      <c r="S203" s="73">
        <f t="shared" si="230"/>
        <v>291</v>
      </c>
      <c r="T203" s="73">
        <f t="shared" si="193"/>
        <v>29</v>
      </c>
      <c r="U203" s="66" t="str">
        <f t="shared" si="194"/>
        <v>Otvorena</v>
      </c>
      <c r="V203" s="47" t="s">
        <v>0</v>
      </c>
      <c r="W203" s="222" t="str">
        <f t="shared" si="195"/>
        <v>Otvorena</v>
      </c>
      <c r="X203" s="223">
        <f t="shared" si="196"/>
        <v>34</v>
      </c>
      <c r="Y203" s="47" t="s">
        <v>0</v>
      </c>
      <c r="Z203" s="52" t="str">
        <f t="shared" si="231"/>
        <v/>
      </c>
      <c r="AA203" s="73" t="str">
        <f t="shared" si="197"/>
        <v/>
      </c>
      <c r="AB203" s="31" t="str">
        <f t="shared" si="232"/>
        <v/>
      </c>
      <c r="AC203" s="66" t="str">
        <f>IF(AB203="","",MAX(AC$12:AC202)+1)</f>
        <v/>
      </c>
      <c r="AD203" s="47" t="s">
        <v>0</v>
      </c>
      <c r="AE203" s="125"/>
      <c r="AF203" s="47" t="s">
        <v>0</v>
      </c>
      <c r="AG203" s="19" t="str">
        <f t="shared" si="233"/>
        <v/>
      </c>
      <c r="AH203" s="47" t="s">
        <v>0</v>
      </c>
      <c r="AI203" s="143" t="str">
        <f t="shared" si="234"/>
        <v/>
      </c>
      <c r="AJ203" s="47"/>
      <c r="AK203" s="52" t="str">
        <f t="shared" si="235"/>
        <v>Luka</v>
      </c>
      <c r="AL203" s="31" t="str">
        <f t="shared" si="236"/>
        <v>Hajnić</v>
      </c>
      <c r="AM203" s="73" t="str">
        <f t="shared" si="237"/>
        <v>NEMA</v>
      </c>
      <c r="AN203" s="73" t="str">
        <f t="shared" si="238"/>
        <v>NEMA</v>
      </c>
      <c r="AO203" s="31" t="str">
        <f t="shared" si="198"/>
        <v>Luka</v>
      </c>
      <c r="AP203" s="66" t="str">
        <f t="shared" si="199"/>
        <v>Hajnić</v>
      </c>
      <c r="AQ203" s="47" t="s">
        <v>0</v>
      </c>
      <c r="AR203" s="82" t="str">
        <f t="shared" si="239"/>
        <v>Luka Hajnić</v>
      </c>
      <c r="AS203" s="47" t="s">
        <v>0</v>
      </c>
      <c r="AT203" s="19" t="str">
        <f t="shared" si="240"/>
        <v>SELECT 'Luka – Hajnić', ime, prezime FROM imeprezime WHERE ime LIKE '%uk%' Or prezime LIKE '%ajni%' Or ime LIKE '%ajni%' Or prezime LIKE '%uk%' ORDER BY ime, prezime;</v>
      </c>
      <c r="AU203" s="47" t="s">
        <v>0</v>
      </c>
      <c r="AV203" s="103"/>
      <c r="AW203" s="105"/>
      <c r="AX203" s="47" t="s">
        <v>0</v>
      </c>
      <c r="AY203" s="259" t="str">
        <f t="shared" si="263"/>
        <v/>
      </c>
      <c r="AZ203" s="47" t="s">
        <v>0</v>
      </c>
      <c r="BA203" s="52" t="str">
        <f t="shared" si="200"/>
        <v/>
      </c>
      <c r="BB203" s="73" t="str">
        <f>IF(AV203&amp;AW203="","",MAX(BB$12:BB202)+1)</f>
        <v/>
      </c>
      <c r="BC203" s="272" t="str">
        <f t="shared" si="201"/>
        <v/>
      </c>
      <c r="BD203" s="53">
        <f>IF(AND(AM203="NEMA",AN203="NEMA",OR(AV203&amp;AW203="",BC203="NEMA")),MAX(BD$12:BD202)+1,"")</f>
        <v>1968</v>
      </c>
      <c r="BE203" s="47" t="s">
        <v>0</v>
      </c>
      <c r="BF203" s="52" t="str">
        <f t="shared" si="241"/>
        <v>Luka</v>
      </c>
      <c r="BG203" s="66" t="str">
        <f t="shared" si="242"/>
        <v>Hajnić</v>
      </c>
      <c r="BH203" s="47" t="s">
        <v>0</v>
      </c>
      <c r="BI203" s="52" t="str">
        <f t="shared" si="202"/>
        <v/>
      </c>
      <c r="BJ203" s="31" t="str">
        <f t="shared" si="203"/>
        <v/>
      </c>
      <c r="BK203" s="73" t="str">
        <f t="shared" si="204"/>
        <v/>
      </c>
      <c r="BL203" s="31" t="str" cm="1">
        <f t="array" ref="BL203">IF(BK203="",""&amp;BJ203,IF(BK203="NEMA",BJ203,INDEX(regKlub_naziv,MATCH(INDEX(regKlub_alias_klubId,BK203),regKlub_id,0))))</f>
        <v/>
      </c>
      <c r="BM203" s="31" t="str" cm="1">
        <f t="array" ref="BM203">IFERROR(""&amp;INDEX(regNatjecatelj_klub,DV203),"")</f>
        <v/>
      </c>
      <c r="BN203" s="88" t="str">
        <f t="shared" si="243"/>
        <v/>
      </c>
      <c r="BO203" s="66" t="str">
        <f t="shared" si="244"/>
        <v/>
      </c>
      <c r="BP203" s="47" t="s">
        <v>0</v>
      </c>
      <c r="BQ203" s="52" t="str">
        <f>IF(X203&lt;&gt;"NEMA","",IF(IFERROR(MATCH(W203,W$12:W202,0),0)&lt;&gt;0,"",W203))</f>
        <v/>
      </c>
      <c r="BR203" s="73" t="str">
        <f t="shared" si="245"/>
        <v/>
      </c>
      <c r="BS203" s="31" t="str">
        <f>IF(OR(BR203="",BR203&lt;&gt;"NEMA"),"",MAX(BS$12:BS202)+1)</f>
        <v/>
      </c>
      <c r="BT203" s="66" t="str">
        <f t="shared" si="246"/>
        <v/>
      </c>
      <c r="BU203" s="47" t="s">
        <v>0</v>
      </c>
      <c r="BV203" s="19" t="str">
        <f t="shared" si="247"/>
        <v/>
      </c>
      <c r="BW203" s="47" t="s">
        <v>0</v>
      </c>
      <c r="BX203" s="82" t="str">
        <f>IF(BK203&lt;&gt;"NEMA","",IF(IFERROR(MATCH(BJ203,BJ$12:BJ202,0),0)&lt;&gt;0,"",BJ203))</f>
        <v/>
      </c>
      <c r="BY203" s="47" t="s">
        <v>0</v>
      </c>
      <c r="BZ203" s="125"/>
      <c r="CA203" s="47" t="s">
        <v>0</v>
      </c>
      <c r="CB203" s="58" t="str">
        <f t="shared" si="248"/>
        <v/>
      </c>
      <c r="CC203" s="31" t="str">
        <f t="shared" si="249"/>
        <v/>
      </c>
      <c r="CD203" s="31" t="str">
        <f>IF(CC203="","",MAX(CD$12:CD202)+1)</f>
        <v/>
      </c>
      <c r="CE203" s="31" t="str">
        <f t="shared" si="205"/>
        <v/>
      </c>
      <c r="CF203" s="31" t="str">
        <f t="shared" si="250"/>
        <v/>
      </c>
      <c r="CG203" s="31" t="str">
        <f>IF(BZ203="","",MAX(CG$12:CG202)+1)</f>
        <v/>
      </c>
      <c r="CH203" s="31" t="str">
        <f t="shared" si="251"/>
        <v/>
      </c>
      <c r="CI203" s="66" t="str">
        <f t="shared" si="252"/>
        <v/>
      </c>
      <c r="CJ203" s="47" t="s">
        <v>0</v>
      </c>
      <c r="CK203" s="73" t="str">
        <f t="shared" si="206"/>
        <v/>
      </c>
      <c r="CL203" s="47"/>
      <c r="CM203" s="19" t="str">
        <f t="shared" si="253"/>
        <v/>
      </c>
      <c r="CN203" s="47" t="s">
        <v>0</v>
      </c>
      <c r="CO203" s="143" t="str">
        <f t="shared" si="254"/>
        <v/>
      </c>
      <c r="CP203" s="47" t="s">
        <v>0</v>
      </c>
      <c r="CQ203" s="58" t="str">
        <f t="shared" si="270"/>
        <v/>
      </c>
      <c r="CR203" s="73" t="str">
        <f t="shared" si="271"/>
        <v>1</v>
      </c>
      <c r="CS203" s="229" t="str">
        <f t="shared" si="207"/>
        <v/>
      </c>
      <c r="CT203" s="230" t="str">
        <f t="shared" si="272"/>
        <v/>
      </c>
      <c r="CU203" s="163">
        <f t="shared" si="208"/>
        <v>6</v>
      </c>
      <c r="CV203" s="47" t="s">
        <v>0</v>
      </c>
      <c r="CW203" s="222" t="str">
        <f t="shared" si="255"/>
        <v xml:space="preserve">
</v>
      </c>
      <c r="CX203" s="223" t="str">
        <f t="shared" si="256"/>
        <v/>
      </c>
      <c r="CY203" s="47" t="s">
        <v>0</v>
      </c>
      <c r="CZ203" s="47"/>
      <c r="DA203" s="47"/>
      <c r="DB203" s="47"/>
      <c r="DC203" s="47" t="s">
        <v>0</v>
      </c>
      <c r="DD203" s="53">
        <f t="shared" si="264"/>
        <v>1</v>
      </c>
      <c r="DE203" t="s">
        <v>0</v>
      </c>
      <c r="DF203" s="128" t="str">
        <f t="shared" si="265"/>
        <v>O</v>
      </c>
      <c r="DG203" t="s">
        <v>0</v>
      </c>
      <c r="DH203" s="52" t="str">
        <f t="shared" si="266"/>
        <v/>
      </c>
      <c r="DI203" s="66" t="str">
        <f t="shared" si="267"/>
        <v>INSERT INTO imeprezime (id,osoba_id,rbr,ime,prezime,klub_id,identitet_id,sintaksa_id,info,aktivno,dnevnik_id) VALUES (1968,Null,1,'Luka','Hajnić',(SELECT id FROM klub WHERE naziv = ''),Null,1,'',1,882);</v>
      </c>
      <c r="DJ203" t="s">
        <v>0</v>
      </c>
      <c r="DK203" s="19" t="str">
        <f t="shared" si="268"/>
        <v>INSERT INTO imeprezime (id,osoba_id,rbr,ime,prezime,klub_id,identitet_id,sintaksa_id,info,aktivno,dnevnik_id) VALUES (1968,Null,1,'Luka','Hajnić',(SELECT id FROM klub WHERE naziv = ''),Null,1,'',1,882);</v>
      </c>
      <c r="DL203" s="47" t="s">
        <v>0</v>
      </c>
      <c r="DM203" s="19" t="str">
        <f t="shared" si="269"/>
        <v/>
      </c>
      <c r="DN203" s="47" t="s">
        <v>0</v>
      </c>
      <c r="DO203" s="52" t="str">
        <f t="shared" si="209"/>
        <v>Luka – Hajnić – OPEN</v>
      </c>
      <c r="DP203" s="53" t="str">
        <f t="shared" si="210"/>
        <v>NEMA</v>
      </c>
      <c r="DQ203" s="47" t="s">
        <v>0</v>
      </c>
      <c r="DR203" s="52" t="str">
        <f t="shared" si="211"/>
        <v>Luka – Hajnić</v>
      </c>
      <c r="DS203" s="53" t="str">
        <f t="shared" si="212"/>
        <v>NEMA</v>
      </c>
      <c r="DT203" s="47" t="s">
        <v>0</v>
      </c>
      <c r="DU203" s="52" t="str">
        <f t="shared" si="213"/>
        <v>Luka – Hajnić</v>
      </c>
      <c r="DV203" s="53" t="str">
        <f t="shared" si="214"/>
        <v>NEMA</v>
      </c>
      <c r="DW203" s="47" t="s">
        <v>0</v>
      </c>
      <c r="DX203" s="58" t="str">
        <f t="shared" si="257"/>
        <v/>
      </c>
      <c r="DY203" s="53" cm="1">
        <f t="array" ref="DY203">IF(DX203&lt;&gt;"",INDEX(regNatjecatelj_id,DX203,0),IF(BD203&lt;&gt;"",BD203,""))</f>
        <v>1968</v>
      </c>
      <c r="DZ203" s="47" t="s">
        <v>0</v>
      </c>
      <c r="EA203" s="58" t="str">
        <f t="shared" si="215"/>
        <v>novo</v>
      </c>
      <c r="EB203" s="73" t="str">
        <f t="shared" si="216"/>
        <v/>
      </c>
      <c r="EC203" s="73" t="str">
        <f t="shared" si="217"/>
        <v>kat</v>
      </c>
      <c r="ED203" s="73" t="str">
        <f t="shared" si="218"/>
        <v/>
      </c>
      <c r="EE203" s="66" t="str">
        <f t="shared" si="219"/>
        <v>novo</v>
      </c>
      <c r="EF203" s="47" t="s">
        <v>0</v>
      </c>
      <c r="EG203" s="58">
        <f>IF(AL203="","",MAX(EG$12:EG202)+1)</f>
        <v>363</v>
      </c>
      <c r="EH203" s="73">
        <f t="shared" si="220"/>
        <v>34</v>
      </c>
      <c r="EI203" s="73">
        <f t="shared" si="258"/>
        <v>1968</v>
      </c>
      <c r="EJ203" s="73" t="str">
        <f t="shared" si="221"/>
        <v/>
      </c>
      <c r="EK203" s="73">
        <f t="shared" si="222"/>
        <v>6</v>
      </c>
      <c r="EL203" s="73">
        <f t="shared" si="259"/>
        <v>0</v>
      </c>
      <c r="EM203" s="73">
        <f t="shared" si="260"/>
        <v>33</v>
      </c>
      <c r="EN203" s="73" t="str">
        <f t="shared" si="223"/>
        <v>1</v>
      </c>
      <c r="EO203" s="73" t="str">
        <f t="shared" si="224"/>
        <v/>
      </c>
      <c r="EP203" s="73" t="str">
        <f t="shared" si="225"/>
        <v/>
      </c>
      <c r="EQ203" s="53" t="str">
        <f t="shared" si="226"/>
        <v/>
      </c>
      <c r="ER203" s="47" t="s">
        <v>0</v>
      </c>
      <c r="ES203" s="19" t="str">
        <f t="shared" si="261"/>
        <v>INSERT INTO rezultat(id,stazakategorija_id,imeprezime_id,vrijeme_sec,status_id,registracija,uparivanje_id,originalstatus_id,imeprezimealias_id,klubalias_id,kategorijaalias_id) VALUES (363,34,1968,Null,6,0,33,1,Null,Null,Null);</v>
      </c>
      <c r="ET203" s="47" t="s">
        <v>0</v>
      </c>
      <c r="EU203" s="19" t="str">
        <f t="shared" si="262"/>
        <v/>
      </c>
      <c r="EV203" s="47" t="s">
        <v>0</v>
      </c>
      <c r="EW203" s="180" t="str">
        <f t="shared" si="227"/>
        <v xml:space="preserve">
INSERT INTO imeprezime (id,osoba_id,rbr,ime,prezime,klub_id,identitet_id,sintaksa_id,info,aktivno,dnevnik_id) VALUES (1968,Null,1,'Luka','Hajnić',(SELECT id FROM klub WHERE naziv = ''),Null,1,'',1,882);
INSERT INTO rezultat(id,stazakategorija_id,imeprezime_id,vrijeme_sec,status_id,registracija,uparivanje_id,originalstatus_id,imeprezimealias_id,klubalias_id,kategorijaalias_id) VALUES (363,34,1968,Null,6,0,33,1,Null,Null,Null);</v>
      </c>
      <c r="EX203" s="47" t="s">
        <v>0</v>
      </c>
    </row>
    <row r="204" spans="1:154" x14ac:dyDescent="0.25">
      <c r="A204" t="s">
        <v>0</v>
      </c>
      <c r="B204" s="52" t="str">
        <f>IF(csv!F194="","",csv!T194)</f>
        <v>OPEN</v>
      </c>
      <c r="C204" s="31" t="s">
        <v>0</v>
      </c>
      <c r="D204" s="31" t="str">
        <f>IF(csv!F194="","",csv!F194)</f>
        <v>Nikola</v>
      </c>
      <c r="E204" s="31" t="str">
        <f>IF(csv!E194="","",csv!E194)</f>
        <v>Pavić</v>
      </c>
      <c r="F204" s="31" t="s">
        <v>0</v>
      </c>
      <c r="G204" s="73" t="str">
        <f>IF(csv!M194="","",csv!M194)</f>
        <v/>
      </c>
      <c r="H204" s="73" t="str">
        <f>IF(csv!N194="","",csv!N194)</f>
        <v>0</v>
      </c>
      <c r="I204" s="31" t="s">
        <v>0</v>
      </c>
      <c r="J204" s="31" t="str">
        <f>IF(csv!P194="","",csv!P194)</f>
        <v>OK Varaždin</v>
      </c>
      <c r="K204" s="31" t="str">
        <f>IF(csv!Q194="","",csv!Q194)</f>
        <v>OK Varaždin</v>
      </c>
      <c r="L204" s="31" t="s">
        <v>0</v>
      </c>
      <c r="M204" s="66" t="str">
        <f>IF(csv!R194="","",csv!R194)</f>
        <v>CRO</v>
      </c>
      <c r="N204" s="47" t="s">
        <v>0</v>
      </c>
      <c r="O204" s="246" t="str">
        <f t="shared" si="228"/>
        <v>ok</v>
      </c>
      <c r="P204" s="47"/>
      <c r="Q204" s="52" t="str">
        <f t="shared" si="229"/>
        <v>OPEN</v>
      </c>
      <c r="R204" s="73">
        <f>IF(Q204="","",IF(COUNTIF(Q$12:Q203,Q204)=0,R203+1,R203))</f>
        <v>12</v>
      </c>
      <c r="S204" s="73">
        <f t="shared" si="230"/>
        <v>291</v>
      </c>
      <c r="T204" s="73">
        <f t="shared" si="193"/>
        <v>29</v>
      </c>
      <c r="U204" s="66" t="str">
        <f t="shared" si="194"/>
        <v>Otvorena</v>
      </c>
      <c r="V204" s="47" t="s">
        <v>0</v>
      </c>
      <c r="W204" s="222" t="str">
        <f t="shared" si="195"/>
        <v>Otvorena</v>
      </c>
      <c r="X204" s="223">
        <f t="shared" si="196"/>
        <v>34</v>
      </c>
      <c r="Y204" s="47" t="s">
        <v>0</v>
      </c>
      <c r="Z204" s="52" t="str">
        <f t="shared" si="231"/>
        <v>CRO</v>
      </c>
      <c r="AA204" s="73">
        <f t="shared" si="197"/>
        <v>1</v>
      </c>
      <c r="AB204" s="31" t="str">
        <f t="shared" si="232"/>
        <v/>
      </c>
      <c r="AC204" s="66" t="str">
        <f>IF(AB204="","",MAX(AC$12:AC203)+1)</f>
        <v/>
      </c>
      <c r="AD204" s="47" t="s">
        <v>0</v>
      </c>
      <c r="AE204" s="125"/>
      <c r="AF204" s="47" t="s">
        <v>0</v>
      </c>
      <c r="AG204" s="19" t="str">
        <f t="shared" si="233"/>
        <v/>
      </c>
      <c r="AH204" s="47" t="s">
        <v>0</v>
      </c>
      <c r="AI204" s="143" t="str">
        <f t="shared" si="234"/>
        <v>CRO</v>
      </c>
      <c r="AJ204" s="47"/>
      <c r="AK204" s="52" t="str">
        <f t="shared" si="235"/>
        <v>Nikola</v>
      </c>
      <c r="AL204" s="31" t="str">
        <f t="shared" si="236"/>
        <v>Pavić</v>
      </c>
      <c r="AM204" s="73">
        <f t="shared" si="237"/>
        <v>1933</v>
      </c>
      <c r="AN204" s="73" t="str">
        <f t="shared" si="238"/>
        <v/>
      </c>
      <c r="AO204" s="31" t="str">
        <f t="shared" si="198"/>
        <v>Nikola</v>
      </c>
      <c r="AP204" s="66" t="str">
        <f t="shared" si="199"/>
        <v>Pavić</v>
      </c>
      <c r="AQ204" s="47" t="s">
        <v>0</v>
      </c>
      <c r="AR204" s="82" t="str">
        <f t="shared" si="239"/>
        <v/>
      </c>
      <c r="AS204" s="47" t="s">
        <v>0</v>
      </c>
      <c r="AT204" s="19" t="str">
        <f t="shared" si="240"/>
        <v/>
      </c>
      <c r="AU204" s="47" t="s">
        <v>0</v>
      </c>
      <c r="AV204" s="103"/>
      <c r="AW204" s="105"/>
      <c r="AX204" s="47" t="s">
        <v>0</v>
      </c>
      <c r="AY204" s="259" t="str">
        <f t="shared" si="263"/>
        <v/>
      </c>
      <c r="AZ204" s="47" t="s">
        <v>0</v>
      </c>
      <c r="BA204" s="52" t="str">
        <f t="shared" si="200"/>
        <v/>
      </c>
      <c r="BB204" s="73" t="str">
        <f>IF(AV204&amp;AW204="","",MAX(BB$12:BB203)+1)</f>
        <v/>
      </c>
      <c r="BC204" s="272" t="str">
        <f t="shared" si="201"/>
        <v/>
      </c>
      <c r="BD204" s="53" t="str">
        <f>IF(AND(AM204="NEMA",AN204="NEMA",OR(AV204&amp;AW204="",BC204="NEMA")),MAX(BD$12:BD203)+1,"")</f>
        <v/>
      </c>
      <c r="BE204" s="47" t="s">
        <v>0</v>
      </c>
      <c r="BF204" s="52" t="str">
        <f t="shared" si="241"/>
        <v>Nikola</v>
      </c>
      <c r="BG204" s="66" t="str">
        <f t="shared" si="242"/>
        <v>Pavić</v>
      </c>
      <c r="BH204" s="47" t="s">
        <v>0</v>
      </c>
      <c r="BI204" s="52" t="str">
        <f t="shared" si="202"/>
        <v>OK Varaždin</v>
      </c>
      <c r="BJ204" s="31" t="str">
        <f t="shared" si="203"/>
        <v>OK Varaždin</v>
      </c>
      <c r="BK204" s="73" t="str">
        <f t="shared" si="204"/>
        <v/>
      </c>
      <c r="BL204" s="31" t="str" cm="1">
        <f t="array" ref="BL204">IF(BK204="",""&amp;BJ204,IF(BK204="NEMA",BJ204,INDEX(regKlub_naziv,MATCH(INDEX(regKlub_alias_klubId,BK204),regKlub_id,0))))</f>
        <v>OK Varaždin</v>
      </c>
      <c r="BM204" s="31" t="str" cm="1">
        <f t="array" ref="BM204">IFERROR(""&amp;INDEX(regNatjecatelj_klub,DV204),"")</f>
        <v>OK Varaždin</v>
      </c>
      <c r="BN204" s="88" t="str">
        <f t="shared" si="243"/>
        <v/>
      </c>
      <c r="BO204" s="66" t="str">
        <f t="shared" si="244"/>
        <v>OK Varaždin</v>
      </c>
      <c r="BP204" s="47" t="s">
        <v>0</v>
      </c>
      <c r="BQ204" s="52" t="str">
        <f>IF(X204&lt;&gt;"NEMA","",IF(IFERROR(MATCH(W204,W$12:W203,0),0)&lt;&gt;0,"",W204))</f>
        <v/>
      </c>
      <c r="BR204" s="73" t="str">
        <f t="shared" si="245"/>
        <v/>
      </c>
      <c r="BS204" s="31" t="str">
        <f>IF(OR(BR204="",BR204&lt;&gt;"NEMA"),"",MAX(BS$12:BS203)+1)</f>
        <v/>
      </c>
      <c r="BT204" s="66" t="str">
        <f t="shared" si="246"/>
        <v/>
      </c>
      <c r="BU204" s="47" t="s">
        <v>0</v>
      </c>
      <c r="BV204" s="19" t="str">
        <f t="shared" si="247"/>
        <v/>
      </c>
      <c r="BW204" s="47" t="s">
        <v>0</v>
      </c>
      <c r="BX204" s="82" t="str">
        <f>IF(BK204&lt;&gt;"NEMA","",IF(IFERROR(MATCH(BJ204,BJ$12:BJ203,0),0)&lt;&gt;0,"",BJ204))</f>
        <v/>
      </c>
      <c r="BY204" s="47" t="s">
        <v>0</v>
      </c>
      <c r="BZ204" s="125"/>
      <c r="CA204" s="47" t="s">
        <v>0</v>
      </c>
      <c r="CB204" s="58" t="str">
        <f t="shared" si="248"/>
        <v/>
      </c>
      <c r="CC204" s="31" t="str">
        <f t="shared" si="249"/>
        <v/>
      </c>
      <c r="CD204" s="31" t="str">
        <f>IF(CC204="","",MAX(CD$12:CD203)+1)</f>
        <v/>
      </c>
      <c r="CE204" s="31" t="str">
        <f t="shared" si="205"/>
        <v/>
      </c>
      <c r="CF204" s="31" t="str">
        <f t="shared" si="250"/>
        <v/>
      </c>
      <c r="CG204" s="31" t="str">
        <f>IF(BZ204="","",MAX(CG$12:CG203)+1)</f>
        <v/>
      </c>
      <c r="CH204" s="31" t="str">
        <f t="shared" si="251"/>
        <v/>
      </c>
      <c r="CI204" s="66" t="str">
        <f t="shared" si="252"/>
        <v/>
      </c>
      <c r="CJ204" s="47" t="s">
        <v>0</v>
      </c>
      <c r="CK204" s="73" t="str">
        <f t="shared" si="206"/>
        <v/>
      </c>
      <c r="CL204" s="47"/>
      <c r="CM204" s="19" t="str">
        <f t="shared" si="253"/>
        <v/>
      </c>
      <c r="CN204" s="47" t="s">
        <v>0</v>
      </c>
      <c r="CO204" s="143" t="str">
        <f t="shared" si="254"/>
        <v>OK Varaždin</v>
      </c>
      <c r="CP204" s="47" t="s">
        <v>0</v>
      </c>
      <c r="CQ204" s="58" t="str">
        <f t="shared" si="270"/>
        <v/>
      </c>
      <c r="CR204" s="73" t="str">
        <f t="shared" si="271"/>
        <v>0</v>
      </c>
      <c r="CS204" s="229" t="str">
        <f t="shared" si="207"/>
        <v>GREŠKA</v>
      </c>
      <c r="CT204" s="230" t="str">
        <f t="shared" si="272"/>
        <v/>
      </c>
      <c r="CU204" s="163">
        <f t="shared" si="208"/>
        <v>1</v>
      </c>
      <c r="CV204" s="47" t="s">
        <v>0</v>
      </c>
      <c r="CW204" s="222" t="str">
        <f t="shared" si="255"/>
        <v xml:space="preserve">Nikola Pavić – Molim u OEventu provjeriti i ispraviti rezultat – vrijeme (nije upisano) i classifier (0).
</v>
      </c>
      <c r="CX204" s="223">
        <f t="shared" si="256"/>
        <v>6</v>
      </c>
      <c r="CY204" s="47" t="s">
        <v>0</v>
      </c>
      <c r="CZ204" s="47"/>
      <c r="DA204" s="47"/>
      <c r="DB204" s="47"/>
      <c r="DC204" s="47" t="s">
        <v>0</v>
      </c>
      <c r="DD204" s="53" t="str">
        <f t="shared" si="264"/>
        <v/>
      </c>
      <c r="DE204" t="s">
        <v>0</v>
      </c>
      <c r="DF204" s="128" t="str">
        <f t="shared" si="265"/>
        <v>O</v>
      </c>
      <c r="DG204" t="s">
        <v>0</v>
      </c>
      <c r="DH204" s="52" t="str">
        <f t="shared" si="266"/>
        <v/>
      </c>
      <c r="DI204" s="66" t="str">
        <f t="shared" si="267"/>
        <v/>
      </c>
      <c r="DJ204" t="s">
        <v>0</v>
      </c>
      <c r="DK204" s="19" t="str">
        <f t="shared" si="268"/>
        <v/>
      </c>
      <c r="DL204" s="47" t="s">
        <v>0</v>
      </c>
      <c r="DM204" s="19" t="str">
        <f t="shared" si="269"/>
        <v/>
      </c>
      <c r="DN204" s="47" t="s">
        <v>0</v>
      </c>
      <c r="DO204" s="52" t="str">
        <f t="shared" si="209"/>
        <v>Nikola – Pavić – OK Varaždin – OPEN</v>
      </c>
      <c r="DP204" s="53" t="str">
        <f t="shared" si="210"/>
        <v>NEMA</v>
      </c>
      <c r="DQ204" s="47" t="s">
        <v>0</v>
      </c>
      <c r="DR204" s="52" t="str">
        <f t="shared" si="211"/>
        <v>Nikola – Pavić – OK Varaždin</v>
      </c>
      <c r="DS204" s="53">
        <f t="shared" si="212"/>
        <v>571</v>
      </c>
      <c r="DT204" s="47" t="s">
        <v>0</v>
      </c>
      <c r="DU204" s="52" t="str">
        <f t="shared" si="213"/>
        <v>Nikola – Pavić</v>
      </c>
      <c r="DV204" s="53">
        <f t="shared" si="214"/>
        <v>571</v>
      </c>
      <c r="DW204" s="47" t="s">
        <v>0</v>
      </c>
      <c r="DX204" s="58">
        <f t="shared" si="257"/>
        <v>571</v>
      </c>
      <c r="DY204" s="53" cm="1">
        <f t="array" ref="DY204">IF(DX204&lt;&gt;"",INDEX(regNatjecatelj_id,DX204,0),IF(BD204&lt;&gt;"",BD204,""))</f>
        <v>1933</v>
      </c>
      <c r="DZ204" s="47" t="s">
        <v>0</v>
      </c>
      <c r="EA204" s="58" t="str">
        <f t="shared" si="215"/>
        <v>imepre</v>
      </c>
      <c r="EB204" s="73" t="str">
        <f t="shared" si="216"/>
        <v>klu</v>
      </c>
      <c r="EC204" s="73" t="str">
        <f t="shared" si="217"/>
        <v>kat</v>
      </c>
      <c r="ED204" s="73" t="str">
        <f t="shared" si="218"/>
        <v>ot</v>
      </c>
      <c r="EE204" s="66" t="str">
        <f t="shared" si="219"/>
        <v>imepre-klu-kat-ot</v>
      </c>
      <c r="EF204" s="47" t="s">
        <v>0</v>
      </c>
      <c r="EG204" s="58">
        <f>IF(AL204="","",MAX(EG$12:EG203)+1)</f>
        <v>364</v>
      </c>
      <c r="EH204" s="73">
        <f t="shared" si="220"/>
        <v>34</v>
      </c>
      <c r="EI204" s="73">
        <f t="shared" si="258"/>
        <v>1933</v>
      </c>
      <c r="EJ204" s="73" t="str">
        <f t="shared" si="221"/>
        <v/>
      </c>
      <c r="EK204" s="73">
        <f t="shared" si="222"/>
        <v>6</v>
      </c>
      <c r="EL204" s="73">
        <f t="shared" si="259"/>
        <v>0</v>
      </c>
      <c r="EM204" s="73">
        <f t="shared" si="260"/>
        <v>2</v>
      </c>
      <c r="EN204" s="73" t="str">
        <f t="shared" si="223"/>
        <v>0</v>
      </c>
      <c r="EO204" s="73" t="str">
        <f t="shared" si="224"/>
        <v/>
      </c>
      <c r="EP204" s="73" t="str">
        <f t="shared" si="225"/>
        <v/>
      </c>
      <c r="EQ204" s="53" t="str">
        <f t="shared" si="226"/>
        <v/>
      </c>
      <c r="ER204" s="47" t="s">
        <v>0</v>
      </c>
      <c r="ES204" s="19" t="str">
        <f t="shared" si="261"/>
        <v>INSERT INTO rezultat(id,stazakategorija_id,imeprezime_id,vrijeme_sec,status_id,registracija,uparivanje_id,originalstatus_id,imeprezimealias_id,klubalias_id,kategorijaalias_id) VALUES (364,34,1933,Null,6,0,2,0,Null,Null,Null);</v>
      </c>
      <c r="ET204" s="47" t="s">
        <v>0</v>
      </c>
      <c r="EU204" s="19" t="str">
        <f t="shared" si="262"/>
        <v/>
      </c>
      <c r="EV204" s="47" t="s">
        <v>0</v>
      </c>
      <c r="EW204" s="180" t="str">
        <f t="shared" si="227"/>
        <v xml:space="preserve">
INSERT INTO rezultat(id,stazakategorija_id,imeprezime_id,vrijeme_sec,status_id,registracija,uparivanje_id,originalstatus_id,imeprezimealias_id,klubalias_id,kategorijaalias_id) VALUES (364,34,1933,Null,6,0,2,0,Null,Null,Null);</v>
      </c>
      <c r="EX204" s="47" t="s">
        <v>0</v>
      </c>
    </row>
    <row r="205" spans="1:154" x14ac:dyDescent="0.25">
      <c r="A205" t="s">
        <v>0</v>
      </c>
      <c r="B205" s="52" t="str">
        <f>IF(csv!F195="","",csv!T195)</f>
        <v>OPEN</v>
      </c>
      <c r="C205" s="31" t="s">
        <v>0</v>
      </c>
      <c r="D205" s="31" t="str">
        <f>IF(csv!F195="","",csv!F195)</f>
        <v>Mirjana</v>
      </c>
      <c r="E205" s="31" t="str">
        <f>IF(csv!E195="","",csv!E195)</f>
        <v>Jurić</v>
      </c>
      <c r="F205" s="31" t="s">
        <v>0</v>
      </c>
      <c r="G205" s="73" t="str">
        <f>IF(csv!M195="","",csv!M195)</f>
        <v/>
      </c>
      <c r="H205" s="73" t="str">
        <f>IF(csv!N195="","",csv!N195)</f>
        <v>1</v>
      </c>
      <c r="I205" s="31" t="s">
        <v>0</v>
      </c>
      <c r="J205" s="31" t="str">
        <f>IF(csv!P195="","",csv!P195)</f>
        <v>Vihor</v>
      </c>
      <c r="K205" s="31" t="str">
        <f>IF(csv!Q195="","",csv!Q195)</f>
        <v>OK Vihor</v>
      </c>
      <c r="L205" s="31" t="s">
        <v>0</v>
      </c>
      <c r="M205" s="66" t="str">
        <f>IF(csv!R195="","",csv!R195)</f>
        <v>CRO</v>
      </c>
      <c r="N205" s="47" t="s">
        <v>0</v>
      </c>
      <c r="O205" s="246" t="str">
        <f t="shared" si="228"/>
        <v>ok</v>
      </c>
      <c r="P205" s="47"/>
      <c r="Q205" s="52" t="str">
        <f t="shared" si="229"/>
        <v>OPEN</v>
      </c>
      <c r="R205" s="73">
        <f>IF(Q205="","",IF(COUNTIF(Q$12:Q204,Q205)=0,R204+1,R204))</f>
        <v>12</v>
      </c>
      <c r="S205" s="73">
        <f t="shared" si="230"/>
        <v>291</v>
      </c>
      <c r="T205" s="73">
        <f t="shared" ref="T205:T268" si="273">IF(Q205="","",IFERROR(INDEX(natStaza_id,MATCH(Q205,natStaza_kategorija,0)),""))</f>
        <v>29</v>
      </c>
      <c r="U205" s="66" t="str">
        <f t="shared" ref="U205:U268" si="274">IF(T205="","",INDEX(natStaza_naziv,MATCH(T205,natStaza_id,0)))</f>
        <v>Otvorena</v>
      </c>
      <c r="V205" s="47" t="s">
        <v>0</v>
      </c>
      <c r="W205" s="222" t="str">
        <f t="shared" ref="W205:W268" si="275">IF(O205="","",INDEX(regKategorija_oznaka,MATCH(S205,regKategorija_id,0)))</f>
        <v>Otvorena</v>
      </c>
      <c r="X205" s="223">
        <f t="shared" ref="X205:X268" si="276">IF(W205="","",INDEX(natKategorija_stazaKatId,MATCH(S205,natKategorija_katRegId,0)))</f>
        <v>34</v>
      </c>
      <c r="Y205" s="47" t="s">
        <v>0</v>
      </c>
      <c r="Z205" s="52" t="str">
        <f t="shared" si="231"/>
        <v>CRO</v>
      </c>
      <c r="AA205" s="73">
        <f t="shared" ref="AA205:AA268" si="277">IF(Z205="","",IFERROR(INDEX(regDrzava_id,MATCH(Z205,regDrzava_oznaka,0)),"NEMA"))</f>
        <v>1</v>
      </c>
      <c r="AB205" s="31" t="str">
        <f t="shared" si="232"/>
        <v/>
      </c>
      <c r="AC205" s="66" t="str">
        <f>IF(AB205="","",MAX(AC$12:AC204)+1)</f>
        <v/>
      </c>
      <c r="AD205" s="47" t="s">
        <v>0</v>
      </c>
      <c r="AE205" s="125"/>
      <c r="AF205" s="47" t="s">
        <v>0</v>
      </c>
      <c r="AG205" s="19" t="str">
        <f t="shared" si="233"/>
        <v/>
      </c>
      <c r="AH205" s="47" t="s">
        <v>0</v>
      </c>
      <c r="AI205" s="143" t="str">
        <f t="shared" si="234"/>
        <v>CRO</v>
      </c>
      <c r="AJ205" s="47"/>
      <c r="AK205" s="52" t="str">
        <f t="shared" si="235"/>
        <v>Mirjana</v>
      </c>
      <c r="AL205" s="31" t="str">
        <f t="shared" si="236"/>
        <v>Jurić</v>
      </c>
      <c r="AM205" s="73">
        <f t="shared" si="237"/>
        <v>1891</v>
      </c>
      <c r="AN205" s="73" t="str">
        <f t="shared" si="238"/>
        <v/>
      </c>
      <c r="AO205" s="31" t="str">
        <f t="shared" ref="AO205:AO268" si="278">IF(O205="","",IF(OR(AN205="",AN205="NEMA"),AK205,INDEX(regNatjecatelj_ime,MATCH(AN205,regNatjecatelj_id,0))))</f>
        <v>Mirjana</v>
      </c>
      <c r="AP205" s="66" t="str">
        <f t="shared" ref="AP205:AP268" si="279">IF(O205="","",IF(OR(AN205="",AN205="NEMA"),AL205,INDEX(regNatjecatelj_prezime,MATCH(AN205,regNatjecatelj_id,0))))</f>
        <v>Jurić</v>
      </c>
      <c r="AQ205" s="47" t="s">
        <v>0</v>
      </c>
      <c r="AR205" s="82" t="str">
        <f t="shared" si="239"/>
        <v/>
      </c>
      <c r="AS205" s="47" t="s">
        <v>0</v>
      </c>
      <c r="AT205" s="19" t="str">
        <f t="shared" si="240"/>
        <v/>
      </c>
      <c r="AU205" s="47" t="s">
        <v>0</v>
      </c>
      <c r="AV205" s="103"/>
      <c r="AW205" s="105"/>
      <c r="AX205" s="47" t="s">
        <v>0</v>
      </c>
      <c r="AY205" s="259" t="str">
        <f t="shared" si="263"/>
        <v/>
      </c>
      <c r="AZ205" s="47" t="s">
        <v>0</v>
      </c>
      <c r="BA205" s="52" t="str">
        <f t="shared" ref="BA205:BA268" si="280">IF(AV205&amp;AW205="","",AR205)</f>
        <v/>
      </c>
      <c r="BB205" s="73" t="str">
        <f>IF(AV205&amp;AW205="","",MAX(BB$12:BB204)+1)</f>
        <v/>
      </c>
      <c r="BC205" s="272" t="str">
        <f t="shared" ref="BC205:BC268" si="281">IF(AV205&amp;AW205="","",IFERROR(INDEX(regNatjecatelj_id,MATCH(AV205&amp;" – "&amp;AW205,regNatjecatelj_imePrezime,0)),"NEMA"))</f>
        <v/>
      </c>
      <c r="BD205" s="53" t="str">
        <f>IF(AND(AM205="NEMA",AN205="NEMA",OR(AV205&amp;AW205="",BC205="NEMA")),MAX(BD$12:BD204)+1,"")</f>
        <v/>
      </c>
      <c r="BE205" s="47" t="s">
        <v>0</v>
      </c>
      <c r="BF205" s="52" t="str">
        <f t="shared" si="241"/>
        <v>Mirjana</v>
      </c>
      <c r="BG205" s="66" t="str">
        <f t="shared" si="242"/>
        <v>Jurić</v>
      </c>
      <c r="BH205" s="47" t="s">
        <v>0</v>
      </c>
      <c r="BI205" s="52" t="str">
        <f t="shared" ref="BI205:BI268" si="282">IF(O205="","",J205)</f>
        <v>Vihor</v>
      </c>
      <c r="BJ205" s="31" t="str">
        <f t="shared" ref="BJ205:BJ268" si="283">IF(O205="","",K205)</f>
        <v>OK Vihor</v>
      </c>
      <c r="BK205" s="73" t="str">
        <f t="shared" ref="BK205:BK268" si="284">IF(BJ205="","",IF(IFERROR(MATCH(BJ205,regKlub_naziv,0),"")&lt;&gt;"","",IFERROR(MATCH(BJ205,regKlub_alias_alias,0),"NEMA")))</f>
        <v/>
      </c>
      <c r="BL205" s="31" t="str" cm="1">
        <f t="array" ref="BL205">IF(BK205="",""&amp;BJ205,IF(BK205="NEMA",BJ205,INDEX(regKlub_naziv,MATCH(INDEX(regKlub_alias_klubId,BK205),regKlub_id,0))))</f>
        <v>OK Vihor</v>
      </c>
      <c r="BM205" s="31" t="str" cm="1">
        <f t="array" ref="BM205">IFERROR(""&amp;INDEX(regNatjecatelj_klub,DV205),"")</f>
        <v>OK Vihor</v>
      </c>
      <c r="BN205" s="88" t="str">
        <f t="shared" si="243"/>
        <v/>
      </c>
      <c r="BO205" s="66" t="str">
        <f t="shared" si="244"/>
        <v>OK Vihor</v>
      </c>
      <c r="BP205" s="47" t="s">
        <v>0</v>
      </c>
      <c r="BQ205" s="52" t="str">
        <f>IF(X205&lt;&gt;"NEMA","",IF(IFERROR(MATCH(W205,W$12:W204,0),0)&lt;&gt;0,"",W205))</f>
        <v/>
      </c>
      <c r="BR205" s="73" t="str">
        <f t="shared" si="245"/>
        <v/>
      </c>
      <c r="BS205" s="31" t="str">
        <f>IF(OR(BR205="",BR205&lt;&gt;"NEMA"),"",MAX(BS$12:BS204)+1)</f>
        <v/>
      </c>
      <c r="BT205" s="66" t="str">
        <f t="shared" si="246"/>
        <v/>
      </c>
      <c r="BU205" s="47" t="s">
        <v>0</v>
      </c>
      <c r="BV205" s="19" t="str">
        <f t="shared" si="247"/>
        <v/>
      </c>
      <c r="BW205" s="47" t="s">
        <v>0</v>
      </c>
      <c r="BX205" s="82" t="str">
        <f>IF(BK205&lt;&gt;"NEMA","",IF(IFERROR(MATCH(BJ205,BJ$12:BJ204,0),0)&lt;&gt;0,"",BJ205))</f>
        <v/>
      </c>
      <c r="BY205" s="47" t="s">
        <v>0</v>
      </c>
      <c r="BZ205" s="125"/>
      <c r="CA205" s="47" t="s">
        <v>0</v>
      </c>
      <c r="CB205" s="58" t="str">
        <f t="shared" si="248"/>
        <v/>
      </c>
      <c r="CC205" s="31" t="str">
        <f t="shared" si="249"/>
        <v/>
      </c>
      <c r="CD205" s="31" t="str">
        <f>IF(CC205="","",MAX(CD$12:CD204)+1)</f>
        <v/>
      </c>
      <c r="CE205" s="31" t="str">
        <f t="shared" ref="CE205:CE268" si="285">IF(CC205="","",IF(AA205="","",IF(AA205="NEMA",AC205,AA205)))</f>
        <v/>
      </c>
      <c r="CF205" s="31" t="str">
        <f t="shared" si="250"/>
        <v/>
      </c>
      <c r="CG205" s="31" t="str">
        <f>IF(BZ205="","",MAX(CG$12:CG204)+1)</f>
        <v/>
      </c>
      <c r="CH205" s="31" t="str">
        <f t="shared" si="251"/>
        <v/>
      </c>
      <c r="CI205" s="66" t="str">
        <f t="shared" si="252"/>
        <v/>
      </c>
      <c r="CJ205" s="47" t="s">
        <v>0</v>
      </c>
      <c r="CK205" s="73" t="str">
        <f t="shared" ref="CK205:CK268" si="286">IF(BK205="","",IF(BK205&lt;&gt;"NEMA","",IFERROR(INDEX(nat_klubAliasId,MATCH(BJ205,nat_noviKluboviAliasi,0)),"")))</f>
        <v/>
      </c>
      <c r="CL205" s="47"/>
      <c r="CM205" s="19" t="str">
        <f t="shared" si="253"/>
        <v/>
      </c>
      <c r="CN205" s="47" t="s">
        <v>0</v>
      </c>
      <c r="CO205" s="143" t="str">
        <f t="shared" si="254"/>
        <v>OK Vihor</v>
      </c>
      <c r="CP205" s="47" t="s">
        <v>0</v>
      </c>
      <c r="CQ205" s="58" t="str">
        <f t="shared" si="270"/>
        <v/>
      </c>
      <c r="CR205" s="73" t="str">
        <f t="shared" si="271"/>
        <v>1</v>
      </c>
      <c r="CS205" s="229" t="str">
        <f t="shared" ref="CS205:CS268" si="287">IF(CQ205="",IF(OR(AL205="",CR205&lt;&gt;"0"),"","GREŠKA"),IF(AND(65535&gt;=VALUE(LEFT(CQ205,SEARCH(":",CQ205)-1))*60+VALUE(RIGHT(CQ205,2)),OR(CR205="0",CR205="1",CR205="2",CR205="3",CR205="4")),"","GREŠKA"))</f>
        <v/>
      </c>
      <c r="CT205" s="230" t="str">
        <f t="shared" si="272"/>
        <v/>
      </c>
      <c r="CU205" s="163">
        <f t="shared" ref="CU205:CU268" si="288">IF(DU205="","",IF(AND(CR205="0",N(CT205)&gt;data_max_minuta*60),2,INDEX(regStatusRezultat_id,MATCH(VALUE(CR205),regStatusRezultat_oEvent,0))))</f>
        <v>6</v>
      </c>
      <c r="CV205" s="47" t="s">
        <v>0</v>
      </c>
      <c r="CW205" s="222" t="str">
        <f t="shared" si="255"/>
        <v xml:space="preserve">
</v>
      </c>
      <c r="CX205" s="223" t="e">
        <f t="shared" si="256"/>
        <v>#N/A</v>
      </c>
      <c r="CY205" s="47" t="s">
        <v>0</v>
      </c>
      <c r="CZ205" s="47"/>
      <c r="DA205" s="47"/>
      <c r="DB205" s="47"/>
      <c r="DC205" s="47" t="s">
        <v>0</v>
      </c>
      <c r="DD205" s="53" t="str">
        <f t="shared" si="264"/>
        <v/>
      </c>
      <c r="DE205" t="s">
        <v>0</v>
      </c>
      <c r="DF205" s="128" t="str">
        <f t="shared" si="265"/>
        <v>O</v>
      </c>
      <c r="DG205" t="s">
        <v>0</v>
      </c>
      <c r="DH205" s="52" t="str">
        <f t="shared" si="266"/>
        <v/>
      </c>
      <c r="DI205" s="66" t="str">
        <f t="shared" si="267"/>
        <v/>
      </c>
      <c r="DJ205" t="s">
        <v>0</v>
      </c>
      <c r="DK205" s="19" t="str">
        <f t="shared" si="268"/>
        <v/>
      </c>
      <c r="DL205" s="47" t="s">
        <v>0</v>
      </c>
      <c r="DM205" s="19" t="str">
        <f t="shared" si="269"/>
        <v/>
      </c>
      <c r="DN205" s="47" t="s">
        <v>0</v>
      </c>
      <c r="DO205" s="52" t="str">
        <f t="shared" ref="DO205:DO268" si="289">IF(AL205="","",DR205 &amp; IF(Q205="",""," – " &amp; Q205))</f>
        <v>Mirjana – Jurić – OK Vihor – OPEN</v>
      </c>
      <c r="DP205" s="53" t="str">
        <f t="shared" ref="DP205:DP268" si="290">IF(DO205="","",IFERROR(MATCH(DO205,regNatjecatelj_imePrezimeKlubKategorija,0),"NEMA"))</f>
        <v>NEMA</v>
      </c>
      <c r="DQ205" s="47" t="s">
        <v>0</v>
      </c>
      <c r="DR205" s="52" t="str">
        <f t="shared" ref="DR205:DR268" si="291">IF(AL205="","",DU205 &amp; IF(CO205="",""," – " &amp; CO205))</f>
        <v>Mirjana – Jurić – OK Vihor</v>
      </c>
      <c r="DS205" s="53">
        <f t="shared" ref="DS205:DS268" si="292">IF(DR205="","",IFERROR(MATCH(DR205,regNatjecatelj_imePrezimeKlub,0),"NEMA"))</f>
        <v>724</v>
      </c>
      <c r="DT205" s="47" t="s">
        <v>0</v>
      </c>
      <c r="DU205" s="52" t="str">
        <f t="shared" ref="DU205:DU268" si="293">IF(BG205="","",BF205&amp;" – "&amp;BG205)</f>
        <v>Mirjana – Jurić</v>
      </c>
      <c r="DV205" s="53">
        <f t="shared" ref="DV205:DV268" si="294">IF(DU205="","",IFERROR(MATCH(DU205,regNatjecatelj_imePrezime,0),"NEMA"))</f>
        <v>724</v>
      </c>
      <c r="DW205" s="47" t="s">
        <v>0</v>
      </c>
      <c r="DX205" s="58">
        <f t="shared" si="257"/>
        <v>724</v>
      </c>
      <c r="DY205" s="53" cm="1">
        <f t="array" ref="DY205">IF(DX205&lt;&gt;"",INDEX(regNatjecatelj_id,DX205,0),IF(BD205&lt;&gt;"",BD205,""))</f>
        <v>1891</v>
      </c>
      <c r="DZ205" s="47" t="s">
        <v>0</v>
      </c>
      <c r="EA205" s="58" t="str">
        <f t="shared" ref="EA205:EA268" si="295">IF(AL205="","",IF(BD205&lt;&gt;"","novo",IF(AN205="","imepre","imepre(ali)")))</f>
        <v>imepre</v>
      </c>
      <c r="EB205" s="73" t="str">
        <f t="shared" ref="EB205:EB268" si="296">IF(AL205="","",IF(BJ205="",IF(IFERROR(INDEX(regNatjecatelj_klub,MATCH(DY205,regNatjecatelj_id,0)),"NEMA")="","klu",""),IF(OR(AND(BK205&lt;&gt;"",BK205&lt;&gt;"NEMA"),CH205&lt;&gt;""),"klu(ali)",IF(AND(BM205&lt;&gt;"",BM205&lt;&gt;BL205),"(raz-klu)","klu"))))</f>
        <v>klu</v>
      </c>
      <c r="EC205" s="73" t="str">
        <f t="shared" ref="EC205:EC268" si="297">IF(AL205="","","kat"&amp;IF(AND(W205&lt;&gt;Q205,Q205&lt;&gt;"Open"),"(ali)",""))</f>
        <v>kat</v>
      </c>
      <c r="ED205" s="73" t="str">
        <f t="shared" ref="ED205:ED268" si="298">IF(OR(CS205&lt;&gt;"",CU205=2),"ot","")</f>
        <v/>
      </c>
      <c r="EE205" s="66" t="str">
        <f t="shared" ref="EE205:EE268" si="299">IF(AL205="","",EA205&amp;IF(EA205="novo","","-"&amp;EB205&amp;"-"&amp;EC205)&amp;IF(ED205="","","-"&amp;ED205))</f>
        <v>imepre-klu-kat</v>
      </c>
      <c r="EF205" s="47" t="s">
        <v>0</v>
      </c>
      <c r="EG205" s="58">
        <f>IF(AL205="","",MAX(EG$12:EG204)+1)</f>
        <v>365</v>
      </c>
      <c r="EH205" s="73">
        <f t="shared" ref="EH205:EH268" si="300">IF(AO205="","",X205)</f>
        <v>34</v>
      </c>
      <c r="EI205" s="73">
        <f t="shared" si="258"/>
        <v>1891</v>
      </c>
      <c r="EJ205" s="73" t="str">
        <f t="shared" ref="EJ205:EJ268" si="301">IF(CT205="","",CT205)</f>
        <v/>
      </c>
      <c r="EK205" s="73">
        <f t="shared" ref="EK205:EK268" si="302">IF(CU205="","",IF(AND(EJ205="",CU205=1),6,CU205))</f>
        <v>6</v>
      </c>
      <c r="EL205" s="73">
        <f t="shared" si="259"/>
        <v>0</v>
      </c>
      <c r="EM205" s="73">
        <f t="shared" si="260"/>
        <v>1</v>
      </c>
      <c r="EN205" s="73" t="str">
        <f t="shared" ref="EN205:EN268" si="303">IF(CU205="","",CR205)</f>
        <v>1</v>
      </c>
      <c r="EO205" s="73" t="str">
        <f t="shared" ref="EO205:EO268" si="304">IF(OR(AN205="",AN205="NEMA"),BB205,AN205)</f>
        <v/>
      </c>
      <c r="EP205" s="73" t="str">
        <f t="shared" ref="EP205:EP268" si="305">IF(AND(BK205&lt;&gt;"",BK205&lt;&gt;"NEMA"),BK205,IF(CK205&lt;&gt;"",CK205,IF(AND(BR205&lt;&gt;"",BR205&lt;&gt;"NEMA"),BR205,IF(BS205&lt;&gt;"",BS205,""))))</f>
        <v/>
      </c>
      <c r="EQ205" s="53" t="str">
        <f t="shared" ref="EQ205:EQ268" si="306">IF(INDEX(natKategorija_alias_Id,MATCH(S205,natKategorija_katRegId,0))="","",INDEX(natKategorija_alias_Id,MATCH(S205,natKategorija_katRegId,0)))</f>
        <v/>
      </c>
      <c r="ER205" s="47" t="s">
        <v>0</v>
      </c>
      <c r="ES205" s="19" t="str">
        <f t="shared" si="261"/>
        <v>INSERT INTO rezultat(id,stazakategorija_id,imeprezime_id,vrijeme_sec,status_id,registracija,uparivanje_id,originalstatus_id,imeprezimealias_id,klubalias_id,kategorijaalias_id) VALUES (365,34,1891,Null,6,0,1,1,Null,Null,Null);</v>
      </c>
      <c r="ET205" s="47" t="s">
        <v>0</v>
      </c>
      <c r="EU205" s="19" t="str">
        <f t="shared" si="262"/>
        <v/>
      </c>
      <c r="EV205" s="47" t="s">
        <v>0</v>
      </c>
      <c r="EW205" s="180" t="str">
        <f t="shared" ref="EW205:EW268" si="307">AG205&amp;IF(BV205="","","
")&amp;BV205&amp;IF(CM205="","","
")&amp;CM205&amp;IF(DK205="","","
")&amp;DK205&amp;IF(DM205="","","
")&amp;DM205&amp;IF(ES205="","","
")&amp;ES205&amp;IF(EU205="","","
")&amp;EU205</f>
        <v xml:space="preserve">
INSERT INTO rezultat(id,stazakategorija_id,imeprezime_id,vrijeme_sec,status_id,registracija,uparivanje_id,originalstatus_id,imeprezimealias_id,klubalias_id,kategorijaalias_id) VALUES (365,34,1891,Null,6,0,1,1,Null,Null,Null);</v>
      </c>
      <c r="EX205" s="47" t="s">
        <v>0</v>
      </c>
    </row>
    <row r="206" spans="1:154" x14ac:dyDescent="0.25">
      <c r="A206" t="s">
        <v>0</v>
      </c>
      <c r="B206" s="52" t="str">
        <f>IF(csv!F196="","",csv!T196)</f>
        <v>OPEN</v>
      </c>
      <c r="C206" s="31" t="s">
        <v>0</v>
      </c>
      <c r="D206" s="31" t="str">
        <f>IF(csv!F196="","",csv!F196)</f>
        <v>Nika</v>
      </c>
      <c r="E206" s="31" t="str">
        <f>IF(csv!E196="","",csv!E196)</f>
        <v>Juričan</v>
      </c>
      <c r="F206" s="31" t="s">
        <v>0</v>
      </c>
      <c r="G206" s="73" t="str">
        <f>IF(csv!M196="","",csv!M196)</f>
        <v/>
      </c>
      <c r="H206" s="73" t="str">
        <f>IF(csv!N196="","",csv!N196)</f>
        <v>2</v>
      </c>
      <c r="I206" s="31" t="s">
        <v>0</v>
      </c>
      <c r="J206" s="31" t="str">
        <f>IF(csv!P196="","",csv!P196)</f>
        <v>OK Varaždin</v>
      </c>
      <c r="K206" s="31" t="str">
        <f>IF(csv!Q196="","",csv!Q196)</f>
        <v>OK Varaždin</v>
      </c>
      <c r="L206" s="31" t="s">
        <v>0</v>
      </c>
      <c r="M206" s="66" t="str">
        <f>IF(csv!R196="","",csv!R196)</f>
        <v>CRO</v>
      </c>
      <c r="N206" s="47" t="s">
        <v>0</v>
      </c>
      <c r="O206" s="246" t="str">
        <f t="shared" ref="O206:O269" si="308">IF(E206="","","ok")</f>
        <v>ok</v>
      </c>
      <c r="P206" s="47"/>
      <c r="Q206" s="52" t="str">
        <f t="shared" ref="Q206:Q269" si="309">IF(B206="","",B206)</f>
        <v>OPEN</v>
      </c>
      <c r="R206" s="73">
        <f>IF(Q206="","",IF(COUNTIF(Q$12:Q205,Q206)=0,R205+1,R205))</f>
        <v>12</v>
      </c>
      <c r="S206" s="73">
        <f t="shared" ref="S206:S269" si="310">IF(Q206="","",IFERROR(INDEX(regKategorija_id,MATCH(Q206,regKategorija_oznaka,0)),IFERROR(INDEX(regKategorija_alias_id,MATCH(Q206,regKategorija_alias_oznaka,0)),INDEX(natKategorija_katRegId,MATCH(Q206,natKategorija_kategorija,0)))))</f>
        <v>291</v>
      </c>
      <c r="T206" s="73">
        <f t="shared" si="273"/>
        <v>29</v>
      </c>
      <c r="U206" s="66" t="str">
        <f t="shared" si="274"/>
        <v>Otvorena</v>
      </c>
      <c r="V206" s="47" t="s">
        <v>0</v>
      </c>
      <c r="W206" s="222" t="str">
        <f t="shared" si="275"/>
        <v>Otvorena</v>
      </c>
      <c r="X206" s="223">
        <f t="shared" si="276"/>
        <v>34</v>
      </c>
      <c r="Y206" s="47" t="s">
        <v>0</v>
      </c>
      <c r="Z206" s="52" t="str">
        <f t="shared" ref="Z206:Z269" si="311">IF(O206="","",M206)</f>
        <v>CRO</v>
      </c>
      <c r="AA206" s="73">
        <f t="shared" si="277"/>
        <v>1</v>
      </c>
      <c r="AB206" s="31" t="str">
        <f t="shared" ref="AB206:AB269" si="312">IF(OR(AA206="",AA206&lt;&gt;"NEMA"),"",Z206)</f>
        <v/>
      </c>
      <c r="AC206" s="66" t="str">
        <f>IF(AB206="","",MAX(AC$12:AC205)+1)</f>
        <v/>
      </c>
      <c r="AD206" s="47" t="s">
        <v>0</v>
      </c>
      <c r="AE206" s="125"/>
      <c r="AF206" s="47" t="s">
        <v>0</v>
      </c>
      <c r="AG206" s="19" t="str">
        <f t="shared" ref="AG206:AG269" si="313">IF(AB206="","","INSERT INTO drzava(id,naziv,oznaka) VALUES ("&amp;AC206&amp;",'"&amp;AE206&amp;"','"&amp;UPPER(LEFT(AB206,1))&amp;LOWER(RIGHT(AB206,2))&amp;"');")</f>
        <v/>
      </c>
      <c r="AH206" s="47" t="s">
        <v>0</v>
      </c>
      <c r="AI206" s="143" t="str">
        <f t="shared" ref="AI206:AI269" si="314">IF(AA206="","",IF(AA206="NEMA",AB206,Z206))</f>
        <v>CRO</v>
      </c>
      <c r="AJ206" s="47"/>
      <c r="AK206" s="52" t="str">
        <f t="shared" ref="AK206:AK269" si="315">IF(O206="","",D206)</f>
        <v>Nika</v>
      </c>
      <c r="AL206" s="31" t="str">
        <f t="shared" ref="AL206:AL269" si="316">IF(O206="","",E206)</f>
        <v>Juričan</v>
      </c>
      <c r="AM206" s="73">
        <f t="shared" ref="AM206:AM269" si="317">IF(AL206="","",IFERROR(INDEX(regNatjecatelj_id,MATCH(AK206&amp;" – "&amp;AL206,regNatjecatelj_imePrezime,0)),"NEMA"))</f>
        <v>1401</v>
      </c>
      <c r="AN206" s="73" t="str">
        <f t="shared" ref="AN206:AN269" si="318">IF(AM206&lt;&gt;"NEMA","",IFERROR(INDEX(regNatjecatelj_alias_natjecateljId,MATCH(AK206&amp;" "&amp;AL206,regNatjecatelj_alias_alias,0)),"NEMA"))</f>
        <v/>
      </c>
      <c r="AO206" s="31" t="str">
        <f t="shared" si="278"/>
        <v>Nika</v>
      </c>
      <c r="AP206" s="66" t="str">
        <f t="shared" si="279"/>
        <v>Juričan</v>
      </c>
      <c r="AQ206" s="47" t="s">
        <v>0</v>
      </c>
      <c r="AR206" s="82" t="str">
        <f t="shared" ref="AR206:AR269" si="319">IF(OR(O206="",AN206&lt;&gt;"NEMA"),"",AK206&amp;" "&amp;AL206)</f>
        <v/>
      </c>
      <c r="AS206" s="47" t="s">
        <v>0</v>
      </c>
      <c r="AT206" s="19" t="str">
        <f t="shared" ref="AT206:AT269" si="320">IF(OR(AM206&lt;&gt;"NEMA",AN206&lt;&gt;"NEMA"),"","SELECT '"&amp;AO206&amp;" – "&amp;AP206&amp;"', ime, prezime FROM imeprezime WHERE ime LIKE '%"&amp;MID(AO206,2,LEN(AO206)-2)&amp;"%' Or prezime LIKE '%"&amp;MID(AP206,2,LEN(AP206)-2)&amp;"%' Or ime LIKE '%"&amp;MID(AP206,2,LEN(AP206)-2)&amp;"%' Or prezime LIKE '%"&amp;MID(AO206,2,LEN(AO206)-2)&amp;"%' ORDER BY ime, prezime;")</f>
        <v/>
      </c>
      <c r="AU206" s="47" t="s">
        <v>0</v>
      </c>
      <c r="AV206" s="103"/>
      <c r="AW206" s="105"/>
      <c r="AX206" s="47" t="s">
        <v>0</v>
      </c>
      <c r="AY206" s="259" t="str">
        <f t="shared" si="263"/>
        <v/>
      </c>
      <c r="AZ206" s="47" t="s">
        <v>0</v>
      </c>
      <c r="BA206" s="52" t="str">
        <f t="shared" si="280"/>
        <v/>
      </c>
      <c r="BB206" s="73" t="str">
        <f>IF(AV206&amp;AW206="","",MAX(BB$12:BB205)+1)</f>
        <v/>
      </c>
      <c r="BC206" s="272" t="str">
        <f t="shared" si="281"/>
        <v/>
      </c>
      <c r="BD206" s="53" t="str">
        <f>IF(AND(AM206="NEMA",AN206="NEMA",OR(AV206&amp;AW206="",BC206="NEMA")),MAX(BD$12:BD205)+1,"")</f>
        <v/>
      </c>
      <c r="BE206" s="47" t="s">
        <v>0</v>
      </c>
      <c r="BF206" s="52" t="str">
        <f t="shared" ref="BF206:BF269" si="321">IF(AL206="","",IF(BC206="",AO206,IF(BC206="NEMA",AV206,INDEX(regNatjecatelj_ime,MATCH(BC206,regNatjecatelj_id,0)))))</f>
        <v>Nika</v>
      </c>
      <c r="BG206" s="66" t="str">
        <f t="shared" ref="BG206:BG269" si="322">IF(AL206="","",IF(BC206="",AP206,IF(BC206="NEMA",AW206,INDEX(regNatjecatelj_prezime,MATCH(BC206,regNatjecatelj_id,0)))))</f>
        <v>Juričan</v>
      </c>
      <c r="BH206" s="47" t="s">
        <v>0</v>
      </c>
      <c r="BI206" s="52" t="str">
        <f t="shared" si="282"/>
        <v>OK Varaždin</v>
      </c>
      <c r="BJ206" s="31" t="str">
        <f t="shared" si="283"/>
        <v>OK Varaždin</v>
      </c>
      <c r="BK206" s="73" t="str">
        <f t="shared" si="284"/>
        <v/>
      </c>
      <c r="BL206" s="31" t="str" cm="1">
        <f t="array" ref="BL206">IF(BK206="",""&amp;BJ206,IF(BK206="NEMA",BJ206,INDEX(regKlub_naziv,MATCH(INDEX(regKlub_alias_klubId,BK206),regKlub_id,0))))</f>
        <v>OK Varaždin</v>
      </c>
      <c r="BM206" s="31" t="str" cm="1">
        <f t="array" ref="BM206">IFERROR(""&amp;INDEX(regNatjecatelj_klub,DV206),"")</f>
        <v>OK Varaždin</v>
      </c>
      <c r="BN206" s="88" t="str">
        <f t="shared" ref="BN206:BN269" si="323">IF(BL206=BM206,"",IF(BM206="","",1))</f>
        <v/>
      </c>
      <c r="BO206" s="66" t="str">
        <f t="shared" ref="BO206:BO269" si="324">IF(AND(BM206&lt;&gt;"",BM206&lt;&gt;BL206),BM206,""&amp;BL206)</f>
        <v>OK Varaždin</v>
      </c>
      <c r="BP206" s="47" t="s">
        <v>0</v>
      </c>
      <c r="BQ206" s="52" t="str">
        <f>IF(X206&lt;&gt;"NEMA","",IF(IFERROR(MATCH(W206,W$12:W205,0),0)&lt;&gt;0,"",W206))</f>
        <v/>
      </c>
      <c r="BR206" s="73" t="str">
        <f t="shared" ref="BR206:BR269" si="325">IF(BQ206="","",IFERROR(INDEX(regKlub_alias_id,MATCH(BQ206,regKlub_alias_alias,0)),"NEMA"))</f>
        <v/>
      </c>
      <c r="BS206" s="31" t="str">
        <f>IF(OR(BR206="",BR206&lt;&gt;"NEMA"),"",MAX(BS$12:BS205)+1)</f>
        <v/>
      </c>
      <c r="BT206" s="66" t="str">
        <f t="shared" ref="BT206:BT269" si="326">IF(OR(BR206="",BR206&lt;&gt;"NEMA"),"",INDEX(regKlub_id,MATCH(BQ206,regKlub_naziv,0)))</f>
        <v/>
      </c>
      <c r="BU206" s="47" t="s">
        <v>0</v>
      </c>
      <c r="BV206" s="19" t="str">
        <f t="shared" ref="BV206:BV269" si="327">IF(OR(BR206="",BR206&lt;&gt;"NEMA"),"","INSERT INTO klub_alias(id,alias,klub_id) VALUES ("&amp;BS206&amp;",'"&amp;BQ206&amp;"',"&amp;BT206&amp;");")</f>
        <v/>
      </c>
      <c r="BW206" s="47" t="s">
        <v>0</v>
      </c>
      <c r="BX206" s="82" t="str">
        <f>IF(BK206&lt;&gt;"NEMA","",IF(IFERROR(MATCH(BJ206,BJ$12:BJ205,0),0)&lt;&gt;0,"",BJ206))</f>
        <v/>
      </c>
      <c r="BY206" s="47" t="s">
        <v>0</v>
      </c>
      <c r="BZ206" s="125"/>
      <c r="CA206" s="47" t="s">
        <v>0</v>
      </c>
      <c r="CB206" s="58" t="str">
        <f t="shared" ref="CB206:CB269" si="328">IF(BZ206="","",IFERROR(INDEX(regKlub_id,MATCH(BZ206,regKlub_naziv,0)),"NEMA"))</f>
        <v/>
      </c>
      <c r="CC206" s="31" t="str">
        <f t="shared" ref="CC206:CC269" si="329">IF(BX206="","",IF(BZ206="",BX206,""))</f>
        <v/>
      </c>
      <c r="CD206" s="31" t="str">
        <f>IF(CC206="","",MAX(CD$12:CD205)+1)</f>
        <v/>
      </c>
      <c r="CE206" s="31" t="str">
        <f t="shared" si="285"/>
        <v/>
      </c>
      <c r="CF206" s="31" t="str">
        <f t="shared" ref="CF206:CF269" si="330">IF(CC206="","","INSERT INTO klub(id,naziv,drzava_id,aktivan) VALUES ("&amp;CD206&amp;",'"&amp;CC206&amp;"',"&amp;CE206&amp;",1);")</f>
        <v/>
      </c>
      <c r="CG206" s="31" t="str">
        <f>IF(BZ206="","",MAX(CG$12:CG205)+1)</f>
        <v/>
      </c>
      <c r="CH206" s="31" t="str">
        <f t="shared" ref="CH206:CH269" si="331">IF(BZ206="","",IF(CD206="",INDEX(regKlub_id,MATCH(BZ206,regKlub_naziv,0)),CD206))</f>
        <v/>
      </c>
      <c r="CI206" s="66" t="str">
        <f t="shared" ref="CI206:CI269" si="332">IF(BZ206="","","INSERT INTO klub_alias(id,alias,klub_id) VALUES ("&amp;CG206&amp;",'"&amp;BX206&amp;"',"&amp;CH206&amp;");")</f>
        <v/>
      </c>
      <c r="CJ206" s="47" t="s">
        <v>0</v>
      </c>
      <c r="CK206" s="73" t="str">
        <f t="shared" si="286"/>
        <v/>
      </c>
      <c r="CL206" s="47"/>
      <c r="CM206" s="19" t="str">
        <f t="shared" ref="CM206:CM269" si="333">""&amp;CF206&amp;IF(AND(CF206&lt;&gt;"",CI206&lt;&gt;""),"
","")&amp;CI206</f>
        <v/>
      </c>
      <c r="CN206" s="47" t="s">
        <v>0</v>
      </c>
      <c r="CO206" s="143" t="str">
        <f t="shared" ref="CO206:CO269" si="334">IF(BO206="","",IF(BZ206="",IF(IFERROR(MATCH(BO206,nat_noviKluboviAliasi,0),0)&gt;0,INDEX(nat_kluboviAliasi,MATCH(BO206,nat_noviKluboviAliasi,0)),BO206),BZ206))</f>
        <v>OK Varaždin</v>
      </c>
      <c r="CP206" s="47" t="s">
        <v>0</v>
      </c>
      <c r="CQ206" s="58" t="str">
        <f t="shared" si="270"/>
        <v/>
      </c>
      <c r="CR206" s="73" t="str">
        <f t="shared" si="271"/>
        <v>2</v>
      </c>
      <c r="CS206" s="229" t="str">
        <f t="shared" si="287"/>
        <v/>
      </c>
      <c r="CT206" s="230" t="str">
        <f t="shared" si="272"/>
        <v/>
      </c>
      <c r="CU206" s="163">
        <f t="shared" si="288"/>
        <v>4</v>
      </c>
      <c r="CV206" s="47" t="s">
        <v>0</v>
      </c>
      <c r="CW206" s="222" t="str">
        <f t="shared" ref="CW206:CW269" si="335">IF(CS206&lt;&gt;"GREŠKA","",AK206&amp;" "&amp;AL206&amp;" – Molim u OEventu provjeriti i ispraviti rezultat – vrijeme ("&amp;IF(CQ206="","nije upisano",CQ206)&amp;") i classifier ("&amp;CR206&amp;").")&amp;IF(OR(CS206&lt;&gt;"GREŠKA",CU206&lt;&gt;5),"
","")&amp;IF(CU206&lt;&gt;5,"",AK206&amp;" "&amp;AL206&amp;" – Molim u provjeriti je li natjecatelj zaista diskvalificiran. Ako je koje je obrazloženje, ako nije molim u OEventu ispraviti rezultat")</f>
        <v xml:space="preserve">
</v>
      </c>
      <c r="CX206" s="223">
        <f t="shared" ref="CX206:CX269" si="336">IF(DX206="","",IF(AND(CU206="0",N(CW206)&gt;data_max_minuta*60),2,INDEX(regStatusRezultat_id,MATCH(VALUE(CU206),regStatusRezultat_oEvent,0))))</f>
        <v>5</v>
      </c>
      <c r="CY206" s="47" t="s">
        <v>0</v>
      </c>
      <c r="CZ206" s="47"/>
      <c r="DA206" s="47"/>
      <c r="DB206" s="47"/>
      <c r="DC206" s="47" t="s">
        <v>0</v>
      </c>
      <c r="DD206" s="53" t="str">
        <f t="shared" si="264"/>
        <v/>
      </c>
      <c r="DE206" t="s">
        <v>0</v>
      </c>
      <c r="DF206" s="128" t="str">
        <f t="shared" si="265"/>
        <v>O</v>
      </c>
      <c r="DG206" t="s">
        <v>0</v>
      </c>
      <c r="DH206" s="52" t="str">
        <f t="shared" si="266"/>
        <v/>
      </c>
      <c r="DI206" s="66" t="str">
        <f t="shared" si="267"/>
        <v/>
      </c>
      <c r="DJ206" t="s">
        <v>0</v>
      </c>
      <c r="DK206" s="19" t="str">
        <f t="shared" si="268"/>
        <v/>
      </c>
      <c r="DL206" s="47" t="s">
        <v>0</v>
      </c>
      <c r="DM206" s="19" t="str">
        <f t="shared" si="269"/>
        <v/>
      </c>
      <c r="DN206" s="47" t="s">
        <v>0</v>
      </c>
      <c r="DO206" s="52" t="str">
        <f t="shared" si="289"/>
        <v>Nika – Juričan – OK Varaždin – OPEN</v>
      </c>
      <c r="DP206" s="53" t="str">
        <f t="shared" si="290"/>
        <v>NEMA</v>
      </c>
      <c r="DQ206" s="47" t="s">
        <v>0</v>
      </c>
      <c r="DR206" s="52" t="str">
        <f t="shared" si="291"/>
        <v>Nika – Juričan – OK Varaždin</v>
      </c>
      <c r="DS206" s="53">
        <f t="shared" si="292"/>
        <v>541</v>
      </c>
      <c r="DT206" s="47" t="s">
        <v>0</v>
      </c>
      <c r="DU206" s="52" t="str">
        <f t="shared" si="293"/>
        <v>Nika – Juričan</v>
      </c>
      <c r="DV206" s="53">
        <f t="shared" si="294"/>
        <v>541</v>
      </c>
      <c r="DW206" s="47" t="s">
        <v>0</v>
      </c>
      <c r="DX206" s="58">
        <f t="shared" ref="DX206:DX269" si="337">IF(DP206="","",IF(DP206&lt;&gt;"NEMA",DP206,IF(DS206&lt;&gt;"NEMA",DS206,IF(DV206&lt;&gt;"NEMA",DV206,""))))</f>
        <v>541</v>
      </c>
      <c r="DY206" s="53" cm="1">
        <f t="array" ref="DY206">IF(DX206&lt;&gt;"",INDEX(regNatjecatelj_id,DX206,0),IF(BD206&lt;&gt;"",BD206,""))</f>
        <v>1401</v>
      </c>
      <c r="DZ206" s="47" t="s">
        <v>0</v>
      </c>
      <c r="EA206" s="58" t="str">
        <f t="shared" si="295"/>
        <v>imepre</v>
      </c>
      <c r="EB206" s="73" t="str">
        <f t="shared" si="296"/>
        <v>klu</v>
      </c>
      <c r="EC206" s="73" t="str">
        <f t="shared" si="297"/>
        <v>kat</v>
      </c>
      <c r="ED206" s="73" t="str">
        <f t="shared" si="298"/>
        <v/>
      </c>
      <c r="EE206" s="66" t="str">
        <f t="shared" si="299"/>
        <v>imepre-klu-kat</v>
      </c>
      <c r="EF206" s="47" t="s">
        <v>0</v>
      </c>
      <c r="EG206" s="58">
        <f>IF(AL206="","",MAX(EG$12:EG205)+1)</f>
        <v>366</v>
      </c>
      <c r="EH206" s="73">
        <f t="shared" si="300"/>
        <v>34</v>
      </c>
      <c r="EI206" s="73">
        <f t="shared" ref="EI206:EI269" si="338">IF(DY206="","",DY206)</f>
        <v>1401</v>
      </c>
      <c r="EJ206" s="73" t="str">
        <f t="shared" si="301"/>
        <v/>
      </c>
      <c r="EK206" s="73">
        <f t="shared" si="302"/>
        <v>4</v>
      </c>
      <c r="EL206" s="73">
        <f t="shared" ref="EL206:EL269" si="339">IF(DU206="","",IF(data_trka_je_rangirana=0,0,IF(OR(DP206="",DP206="NEMA"),0,1)))</f>
        <v>0</v>
      </c>
      <c r="EM206" s="73">
        <f t="shared" ref="EM206:EM269" si="340">IF(EG206="","",INDEX(regUparivanje_id,MATCH(EE206,regUparivanje_oznaka,0)))</f>
        <v>1</v>
      </c>
      <c r="EN206" s="73" t="str">
        <f t="shared" si="303"/>
        <v>2</v>
      </c>
      <c r="EO206" s="73" t="str">
        <f t="shared" si="304"/>
        <v/>
      </c>
      <c r="EP206" s="73" t="str">
        <f t="shared" si="305"/>
        <v/>
      </c>
      <c r="EQ206" s="53" t="str">
        <f t="shared" si="306"/>
        <v/>
      </c>
      <c r="ER206" s="47" t="s">
        <v>0</v>
      </c>
      <c r="ES206" s="19" t="str">
        <f t="shared" ref="ES206:ES269" si="341">IF(EH206="","","INSERT INTO rezultat(id,stazakategorija_id,imeprezime_id,vrijeme_sec,status_id,registracija,uparivanje_id,originalstatus_id,imeprezimealias_id,klubalias_id,kategorijaalias_id) VALUES ("&amp;EG206&amp;","&amp;EH206&amp;","&amp;EI206&amp;","&amp;IF(EJ206="","Null",EJ206)&amp;","&amp;EK206&amp;","&amp;EL206&amp;","&amp;EM206&amp;","&amp;EN206&amp;","&amp;IF(EO206="","Null",EO206)&amp;","&amp;IF(EP206="","Null",EP206)&amp;","&amp;IF(EQ206="","Null",EQ206)&amp;");")</f>
        <v>INSERT INTO rezultat(id,stazakategorija_id,imeprezime_id,vrijeme_sec,status_id,registracija,uparivanje_id,originalstatus_id,imeprezimealias_id,klubalias_id,kategorijaalias_id) VALUES (366,34,1401,Null,4,0,1,2,Null,Null,Null);</v>
      </c>
      <c r="ET206" s="47" t="s">
        <v>0</v>
      </c>
      <c r="EU206" s="19" t="str">
        <f t="shared" ref="EU206:EU269" si="342">IF(EH206="","",IF(EL206=1,"UPDATE
	registar
SET
	potvrda = 1
WHERE
	imeprezime_id="&amp;EI206&amp;"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"&amp;EH206&amp;")
                         		AND
                         	kategorija_liga.liga_id = "&amp;data_liga_id&amp;")
		AND
	datum_od &lt;= '"&amp;data_datum_natjecanja&amp;"'
    	AND
    datum_do is Null;",""))</f>
        <v/>
      </c>
      <c r="EV206" s="47" t="s">
        <v>0</v>
      </c>
      <c r="EW206" s="180" t="str">
        <f t="shared" si="307"/>
        <v xml:space="preserve">
INSERT INTO rezultat(id,stazakategorija_id,imeprezime_id,vrijeme_sec,status_id,registracija,uparivanje_id,originalstatus_id,imeprezimealias_id,klubalias_id,kategorijaalias_id) VALUES (366,34,1401,Null,4,0,1,2,Null,Null,Null);</v>
      </c>
      <c r="EX206" s="47" t="s">
        <v>0</v>
      </c>
    </row>
    <row r="207" spans="1:154" x14ac:dyDescent="0.25">
      <c r="A207" t="s">
        <v>0</v>
      </c>
      <c r="B207" s="52" t="str">
        <f>IF(csv!F197="","",csv!T197)</f>
        <v>OPEN</v>
      </c>
      <c r="C207" s="31" t="s">
        <v>0</v>
      </c>
      <c r="D207" s="31" t="str">
        <f>IF(csv!F197="","",csv!F197)</f>
        <v>Jure</v>
      </c>
      <c r="E207" s="31" t="str">
        <f>IF(csv!E197="","",csv!E197)</f>
        <v>Janković</v>
      </c>
      <c r="F207" s="31" t="s">
        <v>0</v>
      </c>
      <c r="G207" s="73" t="str">
        <f>IF(csv!M197="","",csv!M197)</f>
        <v/>
      </c>
      <c r="H207" s="73" t="str">
        <f>IF(csv!N197="","",csv!N197)</f>
        <v>1</v>
      </c>
      <c r="I207" s="31" t="s">
        <v>0</v>
      </c>
      <c r="J207" s="31" t="str">
        <f>IF(csv!P197="","",csv!P197)</f>
        <v/>
      </c>
      <c r="K207" s="31" t="str">
        <f>IF(csv!Q197="","",csv!Q197)</f>
        <v/>
      </c>
      <c r="L207" s="31" t="s">
        <v>0</v>
      </c>
      <c r="M207" s="66" t="str">
        <f>IF(csv!R197="","",csv!R197)</f>
        <v/>
      </c>
      <c r="N207" s="47" t="s">
        <v>0</v>
      </c>
      <c r="O207" s="246" t="str">
        <f t="shared" si="308"/>
        <v>ok</v>
      </c>
      <c r="P207" s="47"/>
      <c r="Q207" s="52" t="str">
        <f t="shared" si="309"/>
        <v>OPEN</v>
      </c>
      <c r="R207" s="73">
        <f>IF(Q207="","",IF(COUNTIF(Q$12:Q206,Q207)=0,R206+1,R206))</f>
        <v>12</v>
      </c>
      <c r="S207" s="73">
        <f t="shared" si="310"/>
        <v>291</v>
      </c>
      <c r="T207" s="73">
        <f t="shared" si="273"/>
        <v>29</v>
      </c>
      <c r="U207" s="66" t="str">
        <f t="shared" si="274"/>
        <v>Otvorena</v>
      </c>
      <c r="V207" s="47" t="s">
        <v>0</v>
      </c>
      <c r="W207" s="222" t="str">
        <f t="shared" si="275"/>
        <v>Otvorena</v>
      </c>
      <c r="X207" s="223">
        <f t="shared" si="276"/>
        <v>34</v>
      </c>
      <c r="Y207" s="47" t="s">
        <v>0</v>
      </c>
      <c r="Z207" s="52" t="str">
        <f t="shared" si="311"/>
        <v/>
      </c>
      <c r="AA207" s="73" t="str">
        <f t="shared" si="277"/>
        <v/>
      </c>
      <c r="AB207" s="31" t="str">
        <f t="shared" si="312"/>
        <v/>
      </c>
      <c r="AC207" s="66" t="str">
        <f>IF(AB207="","",MAX(AC$12:AC206)+1)</f>
        <v/>
      </c>
      <c r="AD207" s="47" t="s">
        <v>0</v>
      </c>
      <c r="AE207" s="125"/>
      <c r="AF207" s="47" t="s">
        <v>0</v>
      </c>
      <c r="AG207" s="19" t="str">
        <f t="shared" si="313"/>
        <v/>
      </c>
      <c r="AH207" s="47" t="s">
        <v>0</v>
      </c>
      <c r="AI207" s="143" t="str">
        <f t="shared" si="314"/>
        <v/>
      </c>
      <c r="AJ207" s="47"/>
      <c r="AK207" s="52" t="str">
        <f t="shared" si="315"/>
        <v>Jure</v>
      </c>
      <c r="AL207" s="31" t="str">
        <f t="shared" si="316"/>
        <v>Janković</v>
      </c>
      <c r="AM207" s="73" t="str">
        <f t="shared" si="317"/>
        <v>NEMA</v>
      </c>
      <c r="AN207" s="73" t="str">
        <f t="shared" si="318"/>
        <v>NEMA</v>
      </c>
      <c r="AO207" s="31" t="str">
        <f t="shared" si="278"/>
        <v>Jure</v>
      </c>
      <c r="AP207" s="66" t="str">
        <f t="shared" si="279"/>
        <v>Janković</v>
      </c>
      <c r="AQ207" s="47" t="s">
        <v>0</v>
      </c>
      <c r="AR207" s="82" t="str">
        <f t="shared" si="319"/>
        <v>Jure Janković</v>
      </c>
      <c r="AS207" s="47" t="s">
        <v>0</v>
      </c>
      <c r="AT207" s="19" t="str">
        <f t="shared" si="320"/>
        <v>SELECT 'Jure – Janković', ime, prezime FROM imeprezime WHERE ime LIKE '%ur%' Or prezime LIKE '%ankovi%' Or ime LIKE '%ankovi%' Or prezime LIKE '%ur%' ORDER BY ime, prezime;</v>
      </c>
      <c r="AU207" s="47" t="s">
        <v>0</v>
      </c>
      <c r="AV207" s="103"/>
      <c r="AW207" s="105"/>
      <c r="AX207" s="47" t="s">
        <v>0</v>
      </c>
      <c r="AY207" s="259" t="str">
        <f t="shared" si="263"/>
        <v/>
      </c>
      <c r="AZ207" s="47" t="s">
        <v>0</v>
      </c>
      <c r="BA207" s="52" t="str">
        <f t="shared" si="280"/>
        <v/>
      </c>
      <c r="BB207" s="73" t="str">
        <f>IF(AV207&amp;AW207="","",MAX(BB$12:BB206)+1)</f>
        <v/>
      </c>
      <c r="BC207" s="272" t="str">
        <f t="shared" si="281"/>
        <v/>
      </c>
      <c r="BD207" s="53">
        <f>IF(AND(AM207="NEMA",AN207="NEMA",OR(AV207&amp;AW207="",BC207="NEMA")),MAX(BD$12:BD206)+1,"")</f>
        <v>1969</v>
      </c>
      <c r="BE207" s="47" t="s">
        <v>0</v>
      </c>
      <c r="BF207" s="52" t="str">
        <f t="shared" si="321"/>
        <v>Jure</v>
      </c>
      <c r="BG207" s="66" t="str">
        <f t="shared" si="322"/>
        <v>Janković</v>
      </c>
      <c r="BH207" s="47" t="s">
        <v>0</v>
      </c>
      <c r="BI207" s="52" t="str">
        <f t="shared" si="282"/>
        <v/>
      </c>
      <c r="BJ207" s="31" t="str">
        <f t="shared" si="283"/>
        <v/>
      </c>
      <c r="BK207" s="73" t="str">
        <f t="shared" si="284"/>
        <v/>
      </c>
      <c r="BL207" s="31" t="str" cm="1">
        <f t="array" ref="BL207">IF(BK207="",""&amp;BJ207,IF(BK207="NEMA",BJ207,INDEX(regKlub_naziv,MATCH(INDEX(regKlub_alias_klubId,BK207),regKlub_id,0))))</f>
        <v/>
      </c>
      <c r="BM207" s="31" t="str" cm="1">
        <f t="array" ref="BM207">IFERROR(""&amp;INDEX(regNatjecatelj_klub,DV207),"")</f>
        <v/>
      </c>
      <c r="BN207" s="88" t="str">
        <f t="shared" si="323"/>
        <v/>
      </c>
      <c r="BO207" s="66" t="str">
        <f t="shared" si="324"/>
        <v/>
      </c>
      <c r="BP207" s="47" t="s">
        <v>0</v>
      </c>
      <c r="BQ207" s="52" t="str">
        <f>IF(X207&lt;&gt;"NEMA","",IF(IFERROR(MATCH(W207,W$12:W206,0),0)&lt;&gt;0,"",W207))</f>
        <v/>
      </c>
      <c r="BR207" s="73" t="str">
        <f t="shared" si="325"/>
        <v/>
      </c>
      <c r="BS207" s="31" t="str">
        <f>IF(OR(BR207="",BR207&lt;&gt;"NEMA"),"",MAX(BS$12:BS206)+1)</f>
        <v/>
      </c>
      <c r="BT207" s="66" t="str">
        <f t="shared" si="326"/>
        <v/>
      </c>
      <c r="BU207" s="47" t="s">
        <v>0</v>
      </c>
      <c r="BV207" s="19" t="str">
        <f t="shared" si="327"/>
        <v/>
      </c>
      <c r="BW207" s="47" t="s">
        <v>0</v>
      </c>
      <c r="BX207" s="82" t="str">
        <f>IF(BK207&lt;&gt;"NEMA","",IF(IFERROR(MATCH(BJ207,BJ$12:BJ206,0),0)&lt;&gt;0,"",BJ207))</f>
        <v/>
      </c>
      <c r="BY207" s="47" t="s">
        <v>0</v>
      </c>
      <c r="BZ207" s="125"/>
      <c r="CA207" s="47" t="s">
        <v>0</v>
      </c>
      <c r="CB207" s="58" t="str">
        <f t="shared" si="328"/>
        <v/>
      </c>
      <c r="CC207" s="31" t="str">
        <f t="shared" si="329"/>
        <v/>
      </c>
      <c r="CD207" s="31" t="str">
        <f>IF(CC207="","",MAX(CD$12:CD206)+1)</f>
        <v/>
      </c>
      <c r="CE207" s="31" t="str">
        <f t="shared" si="285"/>
        <v/>
      </c>
      <c r="CF207" s="31" t="str">
        <f t="shared" si="330"/>
        <v/>
      </c>
      <c r="CG207" s="31" t="str">
        <f>IF(BZ207="","",MAX(CG$12:CG206)+1)</f>
        <v/>
      </c>
      <c r="CH207" s="31" t="str">
        <f t="shared" si="331"/>
        <v/>
      </c>
      <c r="CI207" s="66" t="str">
        <f t="shared" si="332"/>
        <v/>
      </c>
      <c r="CJ207" s="47" t="s">
        <v>0</v>
      </c>
      <c r="CK207" s="73" t="str">
        <f t="shared" si="286"/>
        <v/>
      </c>
      <c r="CL207" s="47"/>
      <c r="CM207" s="19" t="str">
        <f t="shared" si="333"/>
        <v/>
      </c>
      <c r="CN207" s="47" t="s">
        <v>0</v>
      </c>
      <c r="CO207" s="143" t="str">
        <f t="shared" si="334"/>
        <v/>
      </c>
      <c r="CP207" s="47" t="s">
        <v>0</v>
      </c>
      <c r="CQ207" s="58" t="str">
        <f t="shared" si="270"/>
        <v/>
      </c>
      <c r="CR207" s="73" t="str">
        <f t="shared" si="271"/>
        <v>1</v>
      </c>
      <c r="CS207" s="229" t="str">
        <f t="shared" si="287"/>
        <v/>
      </c>
      <c r="CT207" s="230" t="str">
        <f t="shared" si="272"/>
        <v/>
      </c>
      <c r="CU207" s="163">
        <f t="shared" si="288"/>
        <v>6</v>
      </c>
      <c r="CV207" s="47" t="s">
        <v>0</v>
      </c>
      <c r="CW207" s="222" t="str">
        <f t="shared" si="335"/>
        <v xml:space="preserve">
</v>
      </c>
      <c r="CX207" s="223" t="str">
        <f t="shared" si="336"/>
        <v/>
      </c>
      <c r="CY207" s="47" t="s">
        <v>0</v>
      </c>
      <c r="CZ207" s="47"/>
      <c r="DA207" s="47"/>
      <c r="DB207" s="47"/>
      <c r="DC207" s="47" t="s">
        <v>0</v>
      </c>
      <c r="DD207" s="53">
        <f t="shared" si="264"/>
        <v>1</v>
      </c>
      <c r="DE207" t="s">
        <v>0</v>
      </c>
      <c r="DF207" s="128" t="str">
        <f t="shared" si="265"/>
        <v>O</v>
      </c>
      <c r="DG207" t="s">
        <v>0</v>
      </c>
      <c r="DH207" s="52" t="str">
        <f t="shared" si="266"/>
        <v/>
      </c>
      <c r="DI207" s="66" t="str">
        <f t="shared" si="267"/>
        <v>INSERT INTO imeprezime (id,osoba_id,rbr,ime,prezime,klub_id,identitet_id,sintaksa_id,info,aktivno,dnevnik_id) VALUES (1969,Null,1,'Jure','Janković',(SELECT id FROM klub WHERE naziv = ''),Null,1,'',1,882);</v>
      </c>
      <c r="DJ207" t="s">
        <v>0</v>
      </c>
      <c r="DK207" s="19" t="str">
        <f t="shared" si="268"/>
        <v>INSERT INTO imeprezime (id,osoba_id,rbr,ime,prezime,klub_id,identitet_id,sintaksa_id,info,aktivno,dnevnik_id) VALUES (1969,Null,1,'Jure','Janković',(SELECT id FROM klub WHERE naziv = ''),Null,1,'',1,882);</v>
      </c>
      <c r="DL207" s="47" t="s">
        <v>0</v>
      </c>
      <c r="DM207" s="19" t="str">
        <f t="shared" si="269"/>
        <v/>
      </c>
      <c r="DN207" s="47" t="s">
        <v>0</v>
      </c>
      <c r="DO207" s="52" t="str">
        <f t="shared" si="289"/>
        <v>Jure – Janković – OPEN</v>
      </c>
      <c r="DP207" s="53" t="str">
        <f t="shared" si="290"/>
        <v>NEMA</v>
      </c>
      <c r="DQ207" s="47" t="s">
        <v>0</v>
      </c>
      <c r="DR207" s="52" t="str">
        <f t="shared" si="291"/>
        <v>Jure – Janković</v>
      </c>
      <c r="DS207" s="53" t="str">
        <f t="shared" si="292"/>
        <v>NEMA</v>
      </c>
      <c r="DT207" s="47" t="s">
        <v>0</v>
      </c>
      <c r="DU207" s="52" t="str">
        <f t="shared" si="293"/>
        <v>Jure – Janković</v>
      </c>
      <c r="DV207" s="53" t="str">
        <f t="shared" si="294"/>
        <v>NEMA</v>
      </c>
      <c r="DW207" s="47" t="s">
        <v>0</v>
      </c>
      <c r="DX207" s="58" t="str">
        <f t="shared" si="337"/>
        <v/>
      </c>
      <c r="DY207" s="53" cm="1">
        <f t="array" ref="DY207">IF(DX207&lt;&gt;"",INDEX(regNatjecatelj_id,DX207,0),IF(BD207&lt;&gt;"",BD207,""))</f>
        <v>1969</v>
      </c>
      <c r="DZ207" s="47" t="s">
        <v>0</v>
      </c>
      <c r="EA207" s="58" t="str">
        <f t="shared" si="295"/>
        <v>novo</v>
      </c>
      <c r="EB207" s="73" t="str">
        <f t="shared" si="296"/>
        <v/>
      </c>
      <c r="EC207" s="73" t="str">
        <f t="shared" si="297"/>
        <v>kat</v>
      </c>
      <c r="ED207" s="73" t="str">
        <f t="shared" si="298"/>
        <v/>
      </c>
      <c r="EE207" s="66" t="str">
        <f t="shared" si="299"/>
        <v>novo</v>
      </c>
      <c r="EF207" s="47" t="s">
        <v>0</v>
      </c>
      <c r="EG207" s="58">
        <f>IF(AL207="","",MAX(EG$12:EG206)+1)</f>
        <v>367</v>
      </c>
      <c r="EH207" s="73">
        <f t="shared" si="300"/>
        <v>34</v>
      </c>
      <c r="EI207" s="73">
        <f t="shared" si="338"/>
        <v>1969</v>
      </c>
      <c r="EJ207" s="73" t="str">
        <f t="shared" si="301"/>
        <v/>
      </c>
      <c r="EK207" s="73">
        <f t="shared" si="302"/>
        <v>6</v>
      </c>
      <c r="EL207" s="73">
        <f t="shared" si="339"/>
        <v>0</v>
      </c>
      <c r="EM207" s="73">
        <f t="shared" si="340"/>
        <v>33</v>
      </c>
      <c r="EN207" s="73" t="str">
        <f t="shared" si="303"/>
        <v>1</v>
      </c>
      <c r="EO207" s="73" t="str">
        <f t="shared" si="304"/>
        <v/>
      </c>
      <c r="EP207" s="73" t="str">
        <f t="shared" si="305"/>
        <v/>
      </c>
      <c r="EQ207" s="53" t="str">
        <f t="shared" si="306"/>
        <v/>
      </c>
      <c r="ER207" s="47" t="s">
        <v>0</v>
      </c>
      <c r="ES207" s="19" t="str">
        <f t="shared" si="341"/>
        <v>INSERT INTO rezultat(id,stazakategorija_id,imeprezime_id,vrijeme_sec,status_id,registracija,uparivanje_id,originalstatus_id,imeprezimealias_id,klubalias_id,kategorijaalias_id) VALUES (367,34,1969,Null,6,0,33,1,Null,Null,Null);</v>
      </c>
      <c r="ET207" s="47" t="s">
        <v>0</v>
      </c>
      <c r="EU207" s="19" t="str">
        <f t="shared" si="342"/>
        <v/>
      </c>
      <c r="EV207" s="47" t="s">
        <v>0</v>
      </c>
      <c r="EW207" s="180" t="str">
        <f t="shared" si="307"/>
        <v xml:space="preserve">
INSERT INTO imeprezime (id,osoba_id,rbr,ime,prezime,klub_id,identitet_id,sintaksa_id,info,aktivno,dnevnik_id) VALUES (1969,Null,1,'Jure','Janković',(SELECT id FROM klub WHERE naziv = ''),Null,1,'',1,882);
INSERT INTO rezultat(id,stazakategorija_id,imeprezime_id,vrijeme_sec,status_id,registracija,uparivanje_id,originalstatus_id,imeprezimealias_id,klubalias_id,kategorijaalias_id) VALUES (367,34,1969,Null,6,0,33,1,Null,Null,Null);</v>
      </c>
      <c r="EX207" s="47" t="s">
        <v>0</v>
      </c>
    </row>
    <row r="208" spans="1:154" x14ac:dyDescent="0.25">
      <c r="A208" t="s">
        <v>0</v>
      </c>
      <c r="B208" s="52" t="str">
        <f>IF(csv!F198="","",csv!T198)</f>
        <v>OPEN</v>
      </c>
      <c r="C208" s="31" t="s">
        <v>0</v>
      </c>
      <c r="D208" s="31" t="str">
        <f>IF(csv!F198="","",csv!F198)</f>
        <v>Petar</v>
      </c>
      <c r="E208" s="31" t="str">
        <f>IF(csv!E198="","",csv!E198)</f>
        <v>Barulek</v>
      </c>
      <c r="F208" s="31" t="s">
        <v>0</v>
      </c>
      <c r="G208" s="73" t="str">
        <f>IF(csv!M198="","",csv!M198)</f>
        <v/>
      </c>
      <c r="H208" s="73" t="str">
        <f>IF(csv!N198="","",csv!N198)</f>
        <v>1</v>
      </c>
      <c r="I208" s="31" t="s">
        <v>0</v>
      </c>
      <c r="J208" s="31" t="str">
        <f>IF(csv!P198="","",csv!P198)</f>
        <v>OK Varaždin</v>
      </c>
      <c r="K208" s="31" t="str">
        <f>IF(csv!Q198="","",csv!Q198)</f>
        <v>OK Varaždin</v>
      </c>
      <c r="L208" s="31" t="s">
        <v>0</v>
      </c>
      <c r="M208" s="66" t="str">
        <f>IF(csv!R198="","",csv!R198)</f>
        <v>CRO</v>
      </c>
      <c r="N208" s="47" t="s">
        <v>0</v>
      </c>
      <c r="O208" s="246" t="str">
        <f t="shared" si="308"/>
        <v>ok</v>
      </c>
      <c r="P208" s="47"/>
      <c r="Q208" s="52" t="str">
        <f t="shared" si="309"/>
        <v>OPEN</v>
      </c>
      <c r="R208" s="73">
        <f>IF(Q208="","",IF(COUNTIF(Q$12:Q207,Q208)=0,R207+1,R207))</f>
        <v>12</v>
      </c>
      <c r="S208" s="73">
        <f t="shared" si="310"/>
        <v>291</v>
      </c>
      <c r="T208" s="73">
        <f t="shared" si="273"/>
        <v>29</v>
      </c>
      <c r="U208" s="66" t="str">
        <f t="shared" si="274"/>
        <v>Otvorena</v>
      </c>
      <c r="V208" s="47" t="s">
        <v>0</v>
      </c>
      <c r="W208" s="222" t="str">
        <f t="shared" si="275"/>
        <v>Otvorena</v>
      </c>
      <c r="X208" s="223">
        <f t="shared" si="276"/>
        <v>34</v>
      </c>
      <c r="Y208" s="47" t="s">
        <v>0</v>
      </c>
      <c r="Z208" s="52" t="str">
        <f t="shared" si="311"/>
        <v>CRO</v>
      </c>
      <c r="AA208" s="73">
        <f t="shared" si="277"/>
        <v>1</v>
      </c>
      <c r="AB208" s="31" t="str">
        <f t="shared" si="312"/>
        <v/>
      </c>
      <c r="AC208" s="66" t="str">
        <f>IF(AB208="","",MAX(AC$12:AC207)+1)</f>
        <v/>
      </c>
      <c r="AD208" s="47" t="s">
        <v>0</v>
      </c>
      <c r="AE208" s="125"/>
      <c r="AF208" s="47" t="s">
        <v>0</v>
      </c>
      <c r="AG208" s="19" t="str">
        <f t="shared" si="313"/>
        <v/>
      </c>
      <c r="AH208" s="47" t="s">
        <v>0</v>
      </c>
      <c r="AI208" s="143" t="str">
        <f t="shared" si="314"/>
        <v>CRO</v>
      </c>
      <c r="AJ208" s="47"/>
      <c r="AK208" s="52" t="str">
        <f t="shared" si="315"/>
        <v>Petar</v>
      </c>
      <c r="AL208" s="31" t="str">
        <f t="shared" si="316"/>
        <v>Barulek</v>
      </c>
      <c r="AM208" s="73">
        <f t="shared" si="317"/>
        <v>1379</v>
      </c>
      <c r="AN208" s="73" t="str">
        <f t="shared" si="318"/>
        <v/>
      </c>
      <c r="AO208" s="31" t="str">
        <f t="shared" si="278"/>
        <v>Petar</v>
      </c>
      <c r="AP208" s="66" t="str">
        <f t="shared" si="279"/>
        <v>Barulek</v>
      </c>
      <c r="AQ208" s="47" t="s">
        <v>0</v>
      </c>
      <c r="AR208" s="82" t="str">
        <f t="shared" si="319"/>
        <v/>
      </c>
      <c r="AS208" s="47" t="s">
        <v>0</v>
      </c>
      <c r="AT208" s="19" t="str">
        <f t="shared" si="320"/>
        <v/>
      </c>
      <c r="AU208" s="47" t="s">
        <v>0</v>
      </c>
      <c r="AV208" s="103"/>
      <c r="AW208" s="105"/>
      <c r="AX208" s="47" t="s">
        <v>0</v>
      </c>
      <c r="AY208" s="259" t="str">
        <f t="shared" si="263"/>
        <v/>
      </c>
      <c r="AZ208" s="47" t="s">
        <v>0</v>
      </c>
      <c r="BA208" s="52" t="str">
        <f t="shared" si="280"/>
        <v/>
      </c>
      <c r="BB208" s="73" t="str">
        <f>IF(AV208&amp;AW208="","",MAX(BB$12:BB207)+1)</f>
        <v/>
      </c>
      <c r="BC208" s="272" t="str">
        <f t="shared" si="281"/>
        <v/>
      </c>
      <c r="BD208" s="53" t="str">
        <f>IF(AND(AM208="NEMA",AN208="NEMA",OR(AV208&amp;AW208="",BC208="NEMA")),MAX(BD$12:BD207)+1,"")</f>
        <v/>
      </c>
      <c r="BE208" s="47" t="s">
        <v>0</v>
      </c>
      <c r="BF208" s="52" t="str">
        <f t="shared" si="321"/>
        <v>Petar</v>
      </c>
      <c r="BG208" s="66" t="str">
        <f t="shared" si="322"/>
        <v>Barulek</v>
      </c>
      <c r="BH208" s="47" t="s">
        <v>0</v>
      </c>
      <c r="BI208" s="52" t="str">
        <f t="shared" si="282"/>
        <v>OK Varaždin</v>
      </c>
      <c r="BJ208" s="31" t="str">
        <f t="shared" si="283"/>
        <v>OK Varaždin</v>
      </c>
      <c r="BK208" s="73" t="str">
        <f t="shared" si="284"/>
        <v/>
      </c>
      <c r="BL208" s="31" t="str" cm="1">
        <f t="array" ref="BL208">IF(BK208="",""&amp;BJ208,IF(BK208="NEMA",BJ208,INDEX(regKlub_naziv,MATCH(INDEX(regKlub_alias_klubId,BK208),regKlub_id,0))))</f>
        <v>OK Varaždin</v>
      </c>
      <c r="BM208" s="31" t="str" cm="1">
        <f t="array" ref="BM208">IFERROR(""&amp;INDEX(regNatjecatelj_klub,DV208),"")</f>
        <v>OK Varaždin</v>
      </c>
      <c r="BN208" s="88" t="str">
        <f t="shared" si="323"/>
        <v/>
      </c>
      <c r="BO208" s="66" t="str">
        <f t="shared" si="324"/>
        <v>OK Varaždin</v>
      </c>
      <c r="BP208" s="47" t="s">
        <v>0</v>
      </c>
      <c r="BQ208" s="52" t="str">
        <f>IF(X208&lt;&gt;"NEMA","",IF(IFERROR(MATCH(W208,W$12:W207,0),0)&lt;&gt;0,"",W208))</f>
        <v/>
      </c>
      <c r="BR208" s="73" t="str">
        <f t="shared" si="325"/>
        <v/>
      </c>
      <c r="BS208" s="31" t="str">
        <f>IF(OR(BR208="",BR208&lt;&gt;"NEMA"),"",MAX(BS$12:BS207)+1)</f>
        <v/>
      </c>
      <c r="BT208" s="66" t="str">
        <f t="shared" si="326"/>
        <v/>
      </c>
      <c r="BU208" s="47" t="s">
        <v>0</v>
      </c>
      <c r="BV208" s="19" t="str">
        <f t="shared" si="327"/>
        <v/>
      </c>
      <c r="BW208" s="47" t="s">
        <v>0</v>
      </c>
      <c r="BX208" s="82" t="str">
        <f>IF(BK208&lt;&gt;"NEMA","",IF(IFERROR(MATCH(BJ208,BJ$12:BJ207,0),0)&lt;&gt;0,"",BJ208))</f>
        <v/>
      </c>
      <c r="BY208" s="47" t="s">
        <v>0</v>
      </c>
      <c r="BZ208" s="125"/>
      <c r="CA208" s="47" t="s">
        <v>0</v>
      </c>
      <c r="CB208" s="58" t="str">
        <f t="shared" si="328"/>
        <v/>
      </c>
      <c r="CC208" s="31" t="str">
        <f t="shared" si="329"/>
        <v/>
      </c>
      <c r="CD208" s="31" t="str">
        <f>IF(CC208="","",MAX(CD$12:CD207)+1)</f>
        <v/>
      </c>
      <c r="CE208" s="31" t="str">
        <f t="shared" si="285"/>
        <v/>
      </c>
      <c r="CF208" s="31" t="str">
        <f t="shared" si="330"/>
        <v/>
      </c>
      <c r="CG208" s="31" t="str">
        <f>IF(BZ208="","",MAX(CG$12:CG207)+1)</f>
        <v/>
      </c>
      <c r="CH208" s="31" t="str">
        <f t="shared" si="331"/>
        <v/>
      </c>
      <c r="CI208" s="66" t="str">
        <f t="shared" si="332"/>
        <v/>
      </c>
      <c r="CJ208" s="47" t="s">
        <v>0</v>
      </c>
      <c r="CK208" s="73" t="str">
        <f t="shared" si="286"/>
        <v/>
      </c>
      <c r="CL208" s="47"/>
      <c r="CM208" s="19" t="str">
        <f t="shared" si="333"/>
        <v/>
      </c>
      <c r="CN208" s="47" t="s">
        <v>0</v>
      </c>
      <c r="CO208" s="143" t="str">
        <f t="shared" si="334"/>
        <v>OK Varaždin</v>
      </c>
      <c r="CP208" s="47" t="s">
        <v>0</v>
      </c>
      <c r="CQ208" s="58" t="str">
        <f t="shared" si="270"/>
        <v/>
      </c>
      <c r="CR208" s="73" t="str">
        <f t="shared" si="271"/>
        <v>1</v>
      </c>
      <c r="CS208" s="229" t="str">
        <f t="shared" si="287"/>
        <v/>
      </c>
      <c r="CT208" s="230" t="str">
        <f t="shared" si="272"/>
        <v/>
      </c>
      <c r="CU208" s="163">
        <f t="shared" si="288"/>
        <v>6</v>
      </c>
      <c r="CV208" s="47" t="s">
        <v>0</v>
      </c>
      <c r="CW208" s="222" t="str">
        <f t="shared" si="335"/>
        <v xml:space="preserve">
</v>
      </c>
      <c r="CX208" s="223" t="e">
        <f t="shared" si="336"/>
        <v>#N/A</v>
      </c>
      <c r="CY208" s="47" t="s">
        <v>0</v>
      </c>
      <c r="CZ208" s="47"/>
      <c r="DA208" s="47"/>
      <c r="DB208" s="47"/>
      <c r="DC208" s="47" t="s">
        <v>0</v>
      </c>
      <c r="DD208" s="53" t="str">
        <f t="shared" si="264"/>
        <v/>
      </c>
      <c r="DE208" t="s">
        <v>0</v>
      </c>
      <c r="DF208" s="128" t="str">
        <f t="shared" si="265"/>
        <v>O</v>
      </c>
      <c r="DG208" t="s">
        <v>0</v>
      </c>
      <c r="DH208" s="52" t="str">
        <f t="shared" si="266"/>
        <v/>
      </c>
      <c r="DI208" s="66" t="str">
        <f t="shared" si="267"/>
        <v/>
      </c>
      <c r="DJ208" t="s">
        <v>0</v>
      </c>
      <c r="DK208" s="19" t="str">
        <f t="shared" si="268"/>
        <v/>
      </c>
      <c r="DL208" s="47" t="s">
        <v>0</v>
      </c>
      <c r="DM208" s="19" t="str">
        <f t="shared" si="269"/>
        <v/>
      </c>
      <c r="DN208" s="47" t="s">
        <v>0</v>
      </c>
      <c r="DO208" s="52" t="str">
        <f t="shared" si="289"/>
        <v>Petar – Barulek – OK Varaždin – OPEN</v>
      </c>
      <c r="DP208" s="53" t="str">
        <f t="shared" si="290"/>
        <v>NEMA</v>
      </c>
      <c r="DQ208" s="47" t="s">
        <v>0</v>
      </c>
      <c r="DR208" s="52" t="str">
        <f t="shared" si="291"/>
        <v>Petar – Barulek – OK Varaždin</v>
      </c>
      <c r="DS208" s="53">
        <f t="shared" si="292"/>
        <v>521</v>
      </c>
      <c r="DT208" s="47" t="s">
        <v>0</v>
      </c>
      <c r="DU208" s="52" t="str">
        <f t="shared" si="293"/>
        <v>Petar – Barulek</v>
      </c>
      <c r="DV208" s="53">
        <f t="shared" si="294"/>
        <v>521</v>
      </c>
      <c r="DW208" s="47" t="s">
        <v>0</v>
      </c>
      <c r="DX208" s="58">
        <f t="shared" si="337"/>
        <v>521</v>
      </c>
      <c r="DY208" s="53" cm="1">
        <f t="array" ref="DY208">IF(DX208&lt;&gt;"",INDEX(regNatjecatelj_id,DX208,0),IF(BD208&lt;&gt;"",BD208,""))</f>
        <v>1379</v>
      </c>
      <c r="DZ208" s="47" t="s">
        <v>0</v>
      </c>
      <c r="EA208" s="58" t="str">
        <f t="shared" si="295"/>
        <v>imepre</v>
      </c>
      <c r="EB208" s="73" t="str">
        <f t="shared" si="296"/>
        <v>klu</v>
      </c>
      <c r="EC208" s="73" t="str">
        <f t="shared" si="297"/>
        <v>kat</v>
      </c>
      <c r="ED208" s="73" t="str">
        <f t="shared" si="298"/>
        <v/>
      </c>
      <c r="EE208" s="66" t="str">
        <f t="shared" si="299"/>
        <v>imepre-klu-kat</v>
      </c>
      <c r="EF208" s="47" t="s">
        <v>0</v>
      </c>
      <c r="EG208" s="58">
        <f>IF(AL208="","",MAX(EG$12:EG207)+1)</f>
        <v>368</v>
      </c>
      <c r="EH208" s="73">
        <f t="shared" si="300"/>
        <v>34</v>
      </c>
      <c r="EI208" s="73">
        <f t="shared" si="338"/>
        <v>1379</v>
      </c>
      <c r="EJ208" s="73" t="str">
        <f t="shared" si="301"/>
        <v/>
      </c>
      <c r="EK208" s="73">
        <f t="shared" si="302"/>
        <v>6</v>
      </c>
      <c r="EL208" s="73">
        <f t="shared" si="339"/>
        <v>0</v>
      </c>
      <c r="EM208" s="73">
        <f t="shared" si="340"/>
        <v>1</v>
      </c>
      <c r="EN208" s="73" t="str">
        <f t="shared" si="303"/>
        <v>1</v>
      </c>
      <c r="EO208" s="73" t="str">
        <f t="shared" si="304"/>
        <v/>
      </c>
      <c r="EP208" s="73" t="str">
        <f t="shared" si="305"/>
        <v/>
      </c>
      <c r="EQ208" s="53" t="str">
        <f t="shared" si="306"/>
        <v/>
      </c>
      <c r="ER208" s="47" t="s">
        <v>0</v>
      </c>
      <c r="ES208" s="19" t="str">
        <f t="shared" si="341"/>
        <v>INSERT INTO rezultat(id,stazakategorija_id,imeprezime_id,vrijeme_sec,status_id,registracija,uparivanje_id,originalstatus_id,imeprezimealias_id,klubalias_id,kategorijaalias_id) VALUES (368,34,1379,Null,6,0,1,1,Null,Null,Null);</v>
      </c>
      <c r="ET208" s="47" t="s">
        <v>0</v>
      </c>
      <c r="EU208" s="19" t="str">
        <f t="shared" si="342"/>
        <v/>
      </c>
      <c r="EV208" s="47" t="s">
        <v>0</v>
      </c>
      <c r="EW208" s="180" t="str">
        <f t="shared" si="307"/>
        <v xml:space="preserve">
INSERT INTO rezultat(id,stazakategorija_id,imeprezime_id,vrijeme_sec,status_id,registracija,uparivanje_id,originalstatus_id,imeprezimealias_id,klubalias_id,kategorijaalias_id) VALUES (368,34,1379,Null,6,0,1,1,Null,Null,Null);</v>
      </c>
      <c r="EX208" s="47" t="s">
        <v>0</v>
      </c>
    </row>
    <row r="209" spans="1:154" x14ac:dyDescent="0.25">
      <c r="A209" t="s">
        <v>0</v>
      </c>
      <c r="B209" s="52" t="str">
        <f>IF(csv!F199="","",csv!T199)</f>
        <v>Ž12</v>
      </c>
      <c r="C209" s="31" t="s">
        <v>0</v>
      </c>
      <c r="D209" s="31" t="str">
        <f>IF(csv!F199="","",csv!F199)</f>
        <v>Sara</v>
      </c>
      <c r="E209" s="31" t="str">
        <f>IF(csv!E199="","",csv!E199)</f>
        <v>Delić</v>
      </c>
      <c r="F209" s="31" t="s">
        <v>0</v>
      </c>
      <c r="G209" s="73" t="str">
        <f>IF(csv!M199="","",csv!M199)</f>
        <v>21:20</v>
      </c>
      <c r="H209" s="73" t="str">
        <f>IF(csv!N199="","",csv!N199)</f>
        <v>0</v>
      </c>
      <c r="I209" s="31" t="s">
        <v>0</v>
      </c>
      <c r="J209" s="31" t="str">
        <f>IF(csv!P199="","",csv!P199)</f>
        <v>OK Jelen</v>
      </c>
      <c r="K209" s="31" t="str">
        <f>IF(csv!Q199="","",csv!Q199)</f>
        <v>OK Jelen</v>
      </c>
      <c r="L209" s="31" t="s">
        <v>0</v>
      </c>
      <c r="M209" s="66" t="str">
        <f>IF(csv!R199="","",csv!R199)</f>
        <v>CRO</v>
      </c>
      <c r="N209" s="47" t="s">
        <v>0</v>
      </c>
      <c r="O209" s="246" t="str">
        <f t="shared" si="308"/>
        <v>ok</v>
      </c>
      <c r="P209" s="47"/>
      <c r="Q209" s="52" t="str">
        <f t="shared" si="309"/>
        <v>Ž12</v>
      </c>
      <c r="R209" s="73">
        <f>IF(Q209="","",IF(COUNTIF(Q$12:Q208,Q209)=0,R208+1,R208))</f>
        <v>13</v>
      </c>
      <c r="S209" s="73">
        <f t="shared" si="310"/>
        <v>122</v>
      </c>
      <c r="T209" s="73">
        <f t="shared" si="273"/>
        <v>22</v>
      </c>
      <c r="U209" s="66" t="str">
        <f t="shared" si="274"/>
        <v>M12 – Ž12</v>
      </c>
      <c r="V209" s="47" t="s">
        <v>0</v>
      </c>
      <c r="W209" s="222" t="str">
        <f t="shared" si="275"/>
        <v>Ž12</v>
      </c>
      <c r="X209" s="223">
        <f t="shared" si="276"/>
        <v>35</v>
      </c>
      <c r="Y209" s="47" t="s">
        <v>0</v>
      </c>
      <c r="Z209" s="52" t="str">
        <f t="shared" si="311"/>
        <v>CRO</v>
      </c>
      <c r="AA209" s="73">
        <f t="shared" si="277"/>
        <v>1</v>
      </c>
      <c r="AB209" s="31" t="str">
        <f t="shared" si="312"/>
        <v/>
      </c>
      <c r="AC209" s="66" t="str">
        <f>IF(AB209="","",MAX(AC$12:AC208)+1)</f>
        <v/>
      </c>
      <c r="AD209" s="47" t="s">
        <v>0</v>
      </c>
      <c r="AE209" s="125"/>
      <c r="AF209" s="47" t="s">
        <v>0</v>
      </c>
      <c r="AG209" s="19" t="str">
        <f t="shared" si="313"/>
        <v/>
      </c>
      <c r="AH209" s="47" t="s">
        <v>0</v>
      </c>
      <c r="AI209" s="143" t="str">
        <f t="shared" si="314"/>
        <v>CRO</v>
      </c>
      <c r="AJ209" s="47"/>
      <c r="AK209" s="52" t="str">
        <f t="shared" si="315"/>
        <v>Sara</v>
      </c>
      <c r="AL209" s="31" t="str">
        <f t="shared" si="316"/>
        <v>Delić</v>
      </c>
      <c r="AM209" s="73">
        <f t="shared" si="317"/>
        <v>1528</v>
      </c>
      <c r="AN209" s="73" t="str">
        <f t="shared" si="318"/>
        <v/>
      </c>
      <c r="AO209" s="31" t="str">
        <f t="shared" si="278"/>
        <v>Sara</v>
      </c>
      <c r="AP209" s="66" t="str">
        <f t="shared" si="279"/>
        <v>Delić</v>
      </c>
      <c r="AQ209" s="47" t="s">
        <v>0</v>
      </c>
      <c r="AR209" s="82" t="str">
        <f t="shared" si="319"/>
        <v/>
      </c>
      <c r="AS209" s="47" t="s">
        <v>0</v>
      </c>
      <c r="AT209" s="19" t="str">
        <f t="shared" si="320"/>
        <v/>
      </c>
      <c r="AU209" s="47" t="s">
        <v>0</v>
      </c>
      <c r="AV209" s="103"/>
      <c r="AW209" s="105"/>
      <c r="AX209" s="47" t="s">
        <v>0</v>
      </c>
      <c r="AY209" s="259" t="str">
        <f t="shared" si="263"/>
        <v/>
      </c>
      <c r="AZ209" s="47" t="s">
        <v>0</v>
      </c>
      <c r="BA209" s="52" t="str">
        <f t="shared" si="280"/>
        <v/>
      </c>
      <c r="BB209" s="73" t="str">
        <f>IF(AV209&amp;AW209="","",MAX(BB$12:BB208)+1)</f>
        <v/>
      </c>
      <c r="BC209" s="272" t="str">
        <f t="shared" si="281"/>
        <v/>
      </c>
      <c r="BD209" s="53" t="str">
        <f>IF(AND(AM209="NEMA",AN209="NEMA",OR(AV209&amp;AW209="",BC209="NEMA")),MAX(BD$12:BD208)+1,"")</f>
        <v/>
      </c>
      <c r="BE209" s="47" t="s">
        <v>0</v>
      </c>
      <c r="BF209" s="52" t="str">
        <f t="shared" si="321"/>
        <v>Sara</v>
      </c>
      <c r="BG209" s="66" t="str">
        <f t="shared" si="322"/>
        <v>Delić</v>
      </c>
      <c r="BH209" s="47" t="s">
        <v>0</v>
      </c>
      <c r="BI209" s="52" t="str">
        <f t="shared" si="282"/>
        <v>OK Jelen</v>
      </c>
      <c r="BJ209" s="31" t="str">
        <f t="shared" si="283"/>
        <v>OK Jelen</v>
      </c>
      <c r="BK209" s="73" t="str">
        <f t="shared" si="284"/>
        <v/>
      </c>
      <c r="BL209" s="31" t="str" cm="1">
        <f t="array" ref="BL209">IF(BK209="",""&amp;BJ209,IF(BK209="NEMA",BJ209,INDEX(regKlub_naziv,MATCH(INDEX(regKlub_alias_klubId,BK209),regKlub_id,0))))</f>
        <v>OK Jelen</v>
      </c>
      <c r="BM209" s="31" t="str" cm="1">
        <f t="array" ref="BM209">IFERROR(""&amp;INDEX(regNatjecatelj_klub,DV209),"")</f>
        <v>OK Jelen</v>
      </c>
      <c r="BN209" s="88" t="str">
        <f t="shared" si="323"/>
        <v/>
      </c>
      <c r="BO209" s="66" t="str">
        <f t="shared" si="324"/>
        <v>OK Jelen</v>
      </c>
      <c r="BP209" s="47" t="s">
        <v>0</v>
      </c>
      <c r="BQ209" s="52" t="str">
        <f>IF(X209&lt;&gt;"NEMA","",IF(IFERROR(MATCH(W209,W$12:W208,0),0)&lt;&gt;0,"",W209))</f>
        <v/>
      </c>
      <c r="BR209" s="73" t="str">
        <f t="shared" si="325"/>
        <v/>
      </c>
      <c r="BS209" s="31" t="str">
        <f>IF(OR(BR209="",BR209&lt;&gt;"NEMA"),"",MAX(BS$12:BS208)+1)</f>
        <v/>
      </c>
      <c r="BT209" s="66" t="str">
        <f t="shared" si="326"/>
        <v/>
      </c>
      <c r="BU209" s="47" t="s">
        <v>0</v>
      </c>
      <c r="BV209" s="19" t="str">
        <f t="shared" si="327"/>
        <v/>
      </c>
      <c r="BW209" s="47" t="s">
        <v>0</v>
      </c>
      <c r="BX209" s="82" t="str">
        <f>IF(BK209&lt;&gt;"NEMA","",IF(IFERROR(MATCH(BJ209,BJ$12:BJ208,0),0)&lt;&gt;0,"",BJ209))</f>
        <v/>
      </c>
      <c r="BY209" s="47" t="s">
        <v>0</v>
      </c>
      <c r="BZ209" s="125"/>
      <c r="CA209" s="47" t="s">
        <v>0</v>
      </c>
      <c r="CB209" s="58" t="str">
        <f t="shared" si="328"/>
        <v/>
      </c>
      <c r="CC209" s="31" t="str">
        <f t="shared" si="329"/>
        <v/>
      </c>
      <c r="CD209" s="31" t="str">
        <f>IF(CC209="","",MAX(CD$12:CD208)+1)</f>
        <v/>
      </c>
      <c r="CE209" s="31" t="str">
        <f t="shared" si="285"/>
        <v/>
      </c>
      <c r="CF209" s="31" t="str">
        <f t="shared" si="330"/>
        <v/>
      </c>
      <c r="CG209" s="31" t="str">
        <f>IF(BZ209="","",MAX(CG$12:CG208)+1)</f>
        <v/>
      </c>
      <c r="CH209" s="31" t="str">
        <f t="shared" si="331"/>
        <v/>
      </c>
      <c r="CI209" s="66" t="str">
        <f t="shared" si="332"/>
        <v/>
      </c>
      <c r="CJ209" s="47" t="s">
        <v>0</v>
      </c>
      <c r="CK209" s="73" t="str">
        <f t="shared" si="286"/>
        <v/>
      </c>
      <c r="CL209" s="47"/>
      <c r="CM209" s="19" t="str">
        <f t="shared" si="333"/>
        <v/>
      </c>
      <c r="CN209" s="47" t="s">
        <v>0</v>
      </c>
      <c r="CO209" s="143" t="str">
        <f t="shared" si="334"/>
        <v>OK Jelen</v>
      </c>
      <c r="CP209" s="47" t="s">
        <v>0</v>
      </c>
      <c r="CQ209" s="58" t="str">
        <f t="shared" si="270"/>
        <v>21:20</v>
      </c>
      <c r="CR209" s="73" t="str">
        <f t="shared" si="271"/>
        <v>0</v>
      </c>
      <c r="CS209" s="229" t="str">
        <f t="shared" si="287"/>
        <v/>
      </c>
      <c r="CT209" s="230">
        <f t="shared" si="272"/>
        <v>1280</v>
      </c>
      <c r="CU209" s="163">
        <f t="shared" si="288"/>
        <v>1</v>
      </c>
      <c r="CV209" s="47" t="s">
        <v>0</v>
      </c>
      <c r="CW209" s="222" t="str">
        <f t="shared" si="335"/>
        <v xml:space="preserve">
</v>
      </c>
      <c r="CX209" s="223">
        <f t="shared" si="336"/>
        <v>6</v>
      </c>
      <c r="CY209" s="47" t="s">
        <v>0</v>
      </c>
      <c r="CZ209" s="47"/>
      <c r="DA209" s="47"/>
      <c r="DB209" s="47"/>
      <c r="DC209" s="47" t="s">
        <v>0</v>
      </c>
      <c r="DD209" s="53" t="str">
        <f t="shared" si="264"/>
        <v/>
      </c>
      <c r="DE209" t="s">
        <v>0</v>
      </c>
      <c r="DF209" s="128" t="str">
        <f t="shared" si="265"/>
        <v>Ž</v>
      </c>
      <c r="DG209" t="s">
        <v>0</v>
      </c>
      <c r="DH209" s="52" t="str">
        <f t="shared" si="266"/>
        <v/>
      </c>
      <c r="DI209" s="66" t="str">
        <f t="shared" si="267"/>
        <v/>
      </c>
      <c r="DJ209" t="s">
        <v>0</v>
      </c>
      <c r="DK209" s="19" t="str">
        <f t="shared" si="268"/>
        <v/>
      </c>
      <c r="DL209" s="47" t="s">
        <v>0</v>
      </c>
      <c r="DM209" s="19" t="str">
        <f t="shared" si="269"/>
        <v/>
      </c>
      <c r="DN209" s="47" t="s">
        <v>0</v>
      </c>
      <c r="DO209" s="52" t="str">
        <f t="shared" si="289"/>
        <v>Sara – Delić – OK Jelen – Ž12</v>
      </c>
      <c r="DP209" s="53">
        <f t="shared" si="290"/>
        <v>159</v>
      </c>
      <c r="DQ209" s="47" t="s">
        <v>0</v>
      </c>
      <c r="DR209" s="52" t="str">
        <f t="shared" si="291"/>
        <v>Sara – Delić – OK Jelen</v>
      </c>
      <c r="DS209" s="53">
        <f t="shared" si="292"/>
        <v>159</v>
      </c>
      <c r="DT209" s="47" t="s">
        <v>0</v>
      </c>
      <c r="DU209" s="52" t="str">
        <f t="shared" si="293"/>
        <v>Sara – Delić</v>
      </c>
      <c r="DV209" s="53">
        <f t="shared" si="294"/>
        <v>159</v>
      </c>
      <c r="DW209" s="47" t="s">
        <v>0</v>
      </c>
      <c r="DX209" s="58">
        <f t="shared" si="337"/>
        <v>159</v>
      </c>
      <c r="DY209" s="53" cm="1">
        <f t="array" ref="DY209">IF(DX209&lt;&gt;"",INDEX(regNatjecatelj_id,DX209,0),IF(BD209&lt;&gt;"",BD209,""))</f>
        <v>1528</v>
      </c>
      <c r="DZ209" s="47" t="s">
        <v>0</v>
      </c>
      <c r="EA209" s="58" t="str">
        <f t="shared" si="295"/>
        <v>imepre</v>
      </c>
      <c r="EB209" s="73" t="str">
        <f t="shared" si="296"/>
        <v>klu</v>
      </c>
      <c r="EC209" s="73" t="str">
        <f t="shared" si="297"/>
        <v>kat</v>
      </c>
      <c r="ED209" s="73" t="str">
        <f t="shared" si="298"/>
        <v/>
      </c>
      <c r="EE209" s="66" t="str">
        <f t="shared" si="299"/>
        <v>imepre-klu-kat</v>
      </c>
      <c r="EF209" s="47" t="s">
        <v>0</v>
      </c>
      <c r="EG209" s="58">
        <f>IF(AL209="","",MAX(EG$12:EG208)+1)</f>
        <v>369</v>
      </c>
      <c r="EH209" s="73">
        <f t="shared" si="300"/>
        <v>35</v>
      </c>
      <c r="EI209" s="73">
        <f t="shared" si="338"/>
        <v>1528</v>
      </c>
      <c r="EJ209" s="73">
        <f t="shared" si="301"/>
        <v>1280</v>
      </c>
      <c r="EK209" s="73">
        <f t="shared" si="302"/>
        <v>1</v>
      </c>
      <c r="EL209" s="73">
        <f t="shared" si="339"/>
        <v>1</v>
      </c>
      <c r="EM209" s="73">
        <f t="shared" si="340"/>
        <v>1</v>
      </c>
      <c r="EN209" s="73" t="str">
        <f t="shared" si="303"/>
        <v>0</v>
      </c>
      <c r="EO209" s="73" t="str">
        <f t="shared" si="304"/>
        <v/>
      </c>
      <c r="EP209" s="73" t="str">
        <f t="shared" si="305"/>
        <v/>
      </c>
      <c r="EQ209" s="53" t="str">
        <f t="shared" si="306"/>
        <v/>
      </c>
      <c r="ER209" s="47" t="s">
        <v>0</v>
      </c>
      <c r="ES209" s="19" t="str">
        <f t="shared" si="341"/>
        <v>INSERT INTO rezultat(id,stazakategorija_id,imeprezime_id,vrijeme_sec,status_id,registracija,uparivanje_id,originalstatus_id,imeprezimealias_id,klubalias_id,kategorijaalias_id) VALUES (369,35,1528,1280,1,1,1,0,Null,Null,Null);</v>
      </c>
      <c r="ET209" s="47" t="s">
        <v>0</v>
      </c>
      <c r="EU209" s="19" t="str">
        <f t="shared" si="342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09" s="47" t="s">
        <v>0</v>
      </c>
      <c r="EW209" s="180" t="str">
        <f t="shared" si="307"/>
        <v xml:space="preserve">
INSERT INTO rezultat(id,stazakategorija_id,imeprezime_id,vrijeme_sec,status_id,registracija,uparivanje_id,originalstatus_id,imeprezimealias_id,klubalias_id,kategorijaalias_id) VALUES (369,35,1528,1280,1,1,1,0,Null,Null,Null);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09" s="47" t="s">
        <v>0</v>
      </c>
    </row>
    <row r="210" spans="1:154" x14ac:dyDescent="0.25">
      <c r="A210" t="s">
        <v>0</v>
      </c>
      <c r="B210" s="52" t="str">
        <f>IF(csv!F200="","",csv!T200)</f>
        <v>Ž12</v>
      </c>
      <c r="C210" s="31" t="s">
        <v>0</v>
      </c>
      <c r="D210" s="31" t="str">
        <f>IF(csv!F200="","",csv!F200)</f>
        <v>Dora</v>
      </c>
      <c r="E210" s="31" t="str">
        <f>IF(csv!E200="","",csv!E200)</f>
        <v>Delić</v>
      </c>
      <c r="F210" s="31" t="s">
        <v>0</v>
      </c>
      <c r="G210" s="73" t="str">
        <f>IF(csv!M200="","",csv!M200)</f>
        <v>25:12</v>
      </c>
      <c r="H210" s="73" t="str">
        <f>IF(csv!N200="","",csv!N200)</f>
        <v>0</v>
      </c>
      <c r="I210" s="31" t="s">
        <v>0</v>
      </c>
      <c r="J210" s="31" t="str">
        <f>IF(csv!P200="","",csv!P200)</f>
        <v>OK Jelen</v>
      </c>
      <c r="K210" s="31" t="str">
        <f>IF(csv!Q200="","",csv!Q200)</f>
        <v>OK Jelen</v>
      </c>
      <c r="L210" s="31" t="s">
        <v>0</v>
      </c>
      <c r="M210" s="66" t="str">
        <f>IF(csv!R200="","",csv!R200)</f>
        <v>CRO</v>
      </c>
      <c r="N210" s="47" t="s">
        <v>0</v>
      </c>
      <c r="O210" s="246" t="str">
        <f t="shared" si="308"/>
        <v>ok</v>
      </c>
      <c r="P210" s="47"/>
      <c r="Q210" s="52" t="str">
        <f t="shared" si="309"/>
        <v>Ž12</v>
      </c>
      <c r="R210" s="73">
        <f>IF(Q210="","",IF(COUNTIF(Q$12:Q209,Q210)=0,R209+1,R209))</f>
        <v>13</v>
      </c>
      <c r="S210" s="73">
        <f t="shared" si="310"/>
        <v>122</v>
      </c>
      <c r="T210" s="73">
        <f t="shared" si="273"/>
        <v>22</v>
      </c>
      <c r="U210" s="66" t="str">
        <f t="shared" si="274"/>
        <v>M12 – Ž12</v>
      </c>
      <c r="V210" s="47" t="s">
        <v>0</v>
      </c>
      <c r="W210" s="222" t="str">
        <f t="shared" si="275"/>
        <v>Ž12</v>
      </c>
      <c r="X210" s="223">
        <f t="shared" si="276"/>
        <v>35</v>
      </c>
      <c r="Y210" s="47" t="s">
        <v>0</v>
      </c>
      <c r="Z210" s="52" t="str">
        <f t="shared" si="311"/>
        <v>CRO</v>
      </c>
      <c r="AA210" s="73">
        <f t="shared" si="277"/>
        <v>1</v>
      </c>
      <c r="AB210" s="31" t="str">
        <f t="shared" si="312"/>
        <v/>
      </c>
      <c r="AC210" s="66" t="str">
        <f>IF(AB210="","",MAX(AC$12:AC209)+1)</f>
        <v/>
      </c>
      <c r="AD210" s="47" t="s">
        <v>0</v>
      </c>
      <c r="AE210" s="125"/>
      <c r="AF210" s="47" t="s">
        <v>0</v>
      </c>
      <c r="AG210" s="19" t="str">
        <f t="shared" si="313"/>
        <v/>
      </c>
      <c r="AH210" s="47" t="s">
        <v>0</v>
      </c>
      <c r="AI210" s="143" t="str">
        <f t="shared" si="314"/>
        <v>CRO</v>
      </c>
      <c r="AJ210" s="47"/>
      <c r="AK210" s="52" t="str">
        <f t="shared" si="315"/>
        <v>Dora</v>
      </c>
      <c r="AL210" s="31" t="str">
        <f t="shared" si="316"/>
        <v>Delić</v>
      </c>
      <c r="AM210" s="73">
        <f t="shared" si="317"/>
        <v>1338</v>
      </c>
      <c r="AN210" s="73" t="str">
        <f t="shared" si="318"/>
        <v/>
      </c>
      <c r="AO210" s="31" t="str">
        <f t="shared" si="278"/>
        <v>Dora</v>
      </c>
      <c r="AP210" s="66" t="str">
        <f t="shared" si="279"/>
        <v>Delić</v>
      </c>
      <c r="AQ210" s="47" t="s">
        <v>0</v>
      </c>
      <c r="AR210" s="82" t="str">
        <f t="shared" si="319"/>
        <v/>
      </c>
      <c r="AS210" s="47" t="s">
        <v>0</v>
      </c>
      <c r="AT210" s="19" t="str">
        <f t="shared" si="320"/>
        <v/>
      </c>
      <c r="AU210" s="47" t="s">
        <v>0</v>
      </c>
      <c r="AV210" s="103"/>
      <c r="AW210" s="105"/>
      <c r="AX210" s="47" t="s">
        <v>0</v>
      </c>
      <c r="AY210" s="259" t="str">
        <f t="shared" si="263"/>
        <v/>
      </c>
      <c r="AZ210" s="47" t="s">
        <v>0</v>
      </c>
      <c r="BA210" s="52" t="str">
        <f t="shared" si="280"/>
        <v/>
      </c>
      <c r="BB210" s="73" t="str">
        <f>IF(AV210&amp;AW210="","",MAX(BB$12:BB209)+1)</f>
        <v/>
      </c>
      <c r="BC210" s="272" t="str">
        <f t="shared" si="281"/>
        <v/>
      </c>
      <c r="BD210" s="53" t="str">
        <f>IF(AND(AM210="NEMA",AN210="NEMA",OR(AV210&amp;AW210="",BC210="NEMA")),MAX(BD$12:BD209)+1,"")</f>
        <v/>
      </c>
      <c r="BE210" s="47" t="s">
        <v>0</v>
      </c>
      <c r="BF210" s="52" t="str">
        <f t="shared" si="321"/>
        <v>Dora</v>
      </c>
      <c r="BG210" s="66" t="str">
        <f t="shared" si="322"/>
        <v>Delić</v>
      </c>
      <c r="BH210" s="47" t="s">
        <v>0</v>
      </c>
      <c r="BI210" s="52" t="str">
        <f t="shared" si="282"/>
        <v>OK Jelen</v>
      </c>
      <c r="BJ210" s="31" t="str">
        <f t="shared" si="283"/>
        <v>OK Jelen</v>
      </c>
      <c r="BK210" s="73" t="str">
        <f t="shared" si="284"/>
        <v/>
      </c>
      <c r="BL210" s="31" t="str" cm="1">
        <f t="array" ref="BL210">IF(BK210="",""&amp;BJ210,IF(BK210="NEMA",BJ210,INDEX(regKlub_naziv,MATCH(INDEX(regKlub_alias_klubId,BK210),regKlub_id,0))))</f>
        <v>OK Jelen</v>
      </c>
      <c r="BM210" s="31" t="str" cm="1">
        <f t="array" ref="BM210">IFERROR(""&amp;INDEX(regNatjecatelj_klub,DV210),"")</f>
        <v>OK Jelen</v>
      </c>
      <c r="BN210" s="88" t="str">
        <f t="shared" si="323"/>
        <v/>
      </c>
      <c r="BO210" s="66" t="str">
        <f t="shared" si="324"/>
        <v>OK Jelen</v>
      </c>
      <c r="BP210" s="47" t="s">
        <v>0</v>
      </c>
      <c r="BQ210" s="52" t="str">
        <f>IF(X210&lt;&gt;"NEMA","",IF(IFERROR(MATCH(W210,W$12:W209,0),0)&lt;&gt;0,"",W210))</f>
        <v/>
      </c>
      <c r="BR210" s="73" t="str">
        <f t="shared" si="325"/>
        <v/>
      </c>
      <c r="BS210" s="31" t="str">
        <f>IF(OR(BR210="",BR210&lt;&gt;"NEMA"),"",MAX(BS$12:BS209)+1)</f>
        <v/>
      </c>
      <c r="BT210" s="66" t="str">
        <f t="shared" si="326"/>
        <v/>
      </c>
      <c r="BU210" s="47" t="s">
        <v>0</v>
      </c>
      <c r="BV210" s="19" t="str">
        <f t="shared" si="327"/>
        <v/>
      </c>
      <c r="BW210" s="47" t="s">
        <v>0</v>
      </c>
      <c r="BX210" s="82" t="str">
        <f>IF(BK210&lt;&gt;"NEMA","",IF(IFERROR(MATCH(BJ210,BJ$12:BJ209,0),0)&lt;&gt;0,"",BJ210))</f>
        <v/>
      </c>
      <c r="BY210" s="47" t="s">
        <v>0</v>
      </c>
      <c r="BZ210" s="125"/>
      <c r="CA210" s="47" t="s">
        <v>0</v>
      </c>
      <c r="CB210" s="58" t="str">
        <f t="shared" si="328"/>
        <v/>
      </c>
      <c r="CC210" s="31" t="str">
        <f t="shared" si="329"/>
        <v/>
      </c>
      <c r="CD210" s="31" t="str">
        <f>IF(CC210="","",MAX(CD$12:CD209)+1)</f>
        <v/>
      </c>
      <c r="CE210" s="31" t="str">
        <f t="shared" si="285"/>
        <v/>
      </c>
      <c r="CF210" s="31" t="str">
        <f t="shared" si="330"/>
        <v/>
      </c>
      <c r="CG210" s="31" t="str">
        <f>IF(BZ210="","",MAX(CG$12:CG209)+1)</f>
        <v/>
      </c>
      <c r="CH210" s="31" t="str">
        <f t="shared" si="331"/>
        <v/>
      </c>
      <c r="CI210" s="66" t="str">
        <f t="shared" si="332"/>
        <v/>
      </c>
      <c r="CJ210" s="47" t="s">
        <v>0</v>
      </c>
      <c r="CK210" s="73" t="str">
        <f t="shared" si="286"/>
        <v/>
      </c>
      <c r="CL210" s="47"/>
      <c r="CM210" s="19" t="str">
        <f t="shared" si="333"/>
        <v/>
      </c>
      <c r="CN210" s="47" t="s">
        <v>0</v>
      </c>
      <c r="CO210" s="143" t="str">
        <f t="shared" si="334"/>
        <v>OK Jelen</v>
      </c>
      <c r="CP210" s="47" t="s">
        <v>0</v>
      </c>
      <c r="CQ210" s="58" t="str">
        <f t="shared" si="270"/>
        <v>25:12</v>
      </c>
      <c r="CR210" s="73" t="str">
        <f t="shared" si="271"/>
        <v>0</v>
      </c>
      <c r="CS210" s="229" t="str">
        <f t="shared" si="287"/>
        <v/>
      </c>
      <c r="CT210" s="230">
        <f t="shared" si="272"/>
        <v>1512</v>
      </c>
      <c r="CU210" s="163">
        <f t="shared" si="288"/>
        <v>1</v>
      </c>
      <c r="CV210" s="47" t="s">
        <v>0</v>
      </c>
      <c r="CW210" s="222" t="str">
        <f t="shared" si="335"/>
        <v xml:space="preserve">
</v>
      </c>
      <c r="CX210" s="223">
        <f t="shared" si="336"/>
        <v>6</v>
      </c>
      <c r="CY210" s="47" t="s">
        <v>0</v>
      </c>
      <c r="CZ210" s="47"/>
      <c r="DA210" s="47"/>
      <c r="DB210" s="47"/>
      <c r="DC210" s="47" t="s">
        <v>0</v>
      </c>
      <c r="DD210" s="53" t="str">
        <f t="shared" si="264"/>
        <v/>
      </c>
      <c r="DE210" t="s">
        <v>0</v>
      </c>
      <c r="DF210" s="128" t="str">
        <f t="shared" si="265"/>
        <v>Ž</v>
      </c>
      <c r="DG210" t="s">
        <v>0</v>
      </c>
      <c r="DH210" s="52" t="str">
        <f t="shared" si="266"/>
        <v/>
      </c>
      <c r="DI210" s="66" t="str">
        <f t="shared" si="267"/>
        <v/>
      </c>
      <c r="DJ210" t="s">
        <v>0</v>
      </c>
      <c r="DK210" s="19" t="str">
        <f t="shared" si="268"/>
        <v/>
      </c>
      <c r="DL210" s="47" t="s">
        <v>0</v>
      </c>
      <c r="DM210" s="19" t="str">
        <f t="shared" si="269"/>
        <v/>
      </c>
      <c r="DN210" s="47" t="s">
        <v>0</v>
      </c>
      <c r="DO210" s="52" t="str">
        <f t="shared" si="289"/>
        <v>Dora – Delić – OK Jelen – Ž12</v>
      </c>
      <c r="DP210" s="53">
        <f t="shared" si="290"/>
        <v>158</v>
      </c>
      <c r="DQ210" s="47" t="s">
        <v>0</v>
      </c>
      <c r="DR210" s="52" t="str">
        <f t="shared" si="291"/>
        <v>Dora – Delić – OK Jelen</v>
      </c>
      <c r="DS210" s="53">
        <f t="shared" si="292"/>
        <v>158</v>
      </c>
      <c r="DT210" s="47" t="s">
        <v>0</v>
      </c>
      <c r="DU210" s="52" t="str">
        <f t="shared" si="293"/>
        <v>Dora – Delić</v>
      </c>
      <c r="DV210" s="53">
        <f t="shared" si="294"/>
        <v>158</v>
      </c>
      <c r="DW210" s="47" t="s">
        <v>0</v>
      </c>
      <c r="DX210" s="58">
        <f t="shared" si="337"/>
        <v>158</v>
      </c>
      <c r="DY210" s="53" cm="1">
        <f t="array" ref="DY210">IF(DX210&lt;&gt;"",INDEX(regNatjecatelj_id,DX210,0),IF(BD210&lt;&gt;"",BD210,""))</f>
        <v>1338</v>
      </c>
      <c r="DZ210" s="47" t="s">
        <v>0</v>
      </c>
      <c r="EA210" s="58" t="str">
        <f t="shared" si="295"/>
        <v>imepre</v>
      </c>
      <c r="EB210" s="73" t="str">
        <f t="shared" si="296"/>
        <v>klu</v>
      </c>
      <c r="EC210" s="73" t="str">
        <f t="shared" si="297"/>
        <v>kat</v>
      </c>
      <c r="ED210" s="73" t="str">
        <f t="shared" si="298"/>
        <v/>
      </c>
      <c r="EE210" s="66" t="str">
        <f t="shared" si="299"/>
        <v>imepre-klu-kat</v>
      </c>
      <c r="EF210" s="47" t="s">
        <v>0</v>
      </c>
      <c r="EG210" s="58">
        <f>IF(AL210="","",MAX(EG$12:EG209)+1)</f>
        <v>370</v>
      </c>
      <c r="EH210" s="73">
        <f t="shared" si="300"/>
        <v>35</v>
      </c>
      <c r="EI210" s="73">
        <f t="shared" si="338"/>
        <v>1338</v>
      </c>
      <c r="EJ210" s="73">
        <f t="shared" si="301"/>
        <v>1512</v>
      </c>
      <c r="EK210" s="73">
        <f t="shared" si="302"/>
        <v>1</v>
      </c>
      <c r="EL210" s="73">
        <f t="shared" si="339"/>
        <v>1</v>
      </c>
      <c r="EM210" s="73">
        <f t="shared" si="340"/>
        <v>1</v>
      </c>
      <c r="EN210" s="73" t="str">
        <f t="shared" si="303"/>
        <v>0</v>
      </c>
      <c r="EO210" s="73" t="str">
        <f t="shared" si="304"/>
        <v/>
      </c>
      <c r="EP210" s="73" t="str">
        <f t="shared" si="305"/>
        <v/>
      </c>
      <c r="EQ210" s="53" t="str">
        <f t="shared" si="306"/>
        <v/>
      </c>
      <c r="ER210" s="47" t="s">
        <v>0</v>
      </c>
      <c r="ES210" s="19" t="str">
        <f t="shared" si="341"/>
        <v>INSERT INTO rezultat(id,stazakategorija_id,imeprezime_id,vrijeme_sec,status_id,registracija,uparivanje_id,originalstatus_id,imeprezimealias_id,klubalias_id,kategorijaalias_id) VALUES (370,35,1338,1512,1,1,1,0,Null,Null,Null);</v>
      </c>
      <c r="ET210" s="47" t="s">
        <v>0</v>
      </c>
      <c r="EU210" s="19" t="str">
        <f t="shared" si="342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0" s="47" t="s">
        <v>0</v>
      </c>
      <c r="EW210" s="180" t="str">
        <f t="shared" si="307"/>
        <v xml:space="preserve">
INSERT INTO rezultat(id,stazakategorija_id,imeprezime_id,vrijeme_sec,status_id,registracija,uparivanje_id,originalstatus_id,imeprezimealias_id,klubalias_id,kategorijaalias_id) VALUES (370,35,1338,1512,1,1,1,0,Null,Null,Null);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0" s="47" t="s">
        <v>0</v>
      </c>
    </row>
    <row r="211" spans="1:154" x14ac:dyDescent="0.25">
      <c r="A211" t="s">
        <v>0</v>
      </c>
      <c r="B211" s="52" t="str">
        <f>IF(csv!F201="","",csv!T201)</f>
        <v>Ž12</v>
      </c>
      <c r="C211" s="31" t="s">
        <v>0</v>
      </c>
      <c r="D211" s="31" t="str">
        <f>IF(csv!F201="","",csv!F201)</f>
        <v>Veronika</v>
      </c>
      <c r="E211" s="31" t="str">
        <f>IF(csv!E201="","",csv!E201)</f>
        <v>Šantić</v>
      </c>
      <c r="F211" s="31" t="s">
        <v>0</v>
      </c>
      <c r="G211" s="73" t="str">
        <f>IF(csv!M201="","",csv!M201)</f>
        <v>25:18</v>
      </c>
      <c r="H211" s="73" t="str">
        <f>IF(csv!N201="","",csv!N201)</f>
        <v>0</v>
      </c>
      <c r="I211" s="31" t="s">
        <v>0</v>
      </c>
      <c r="J211" s="31" t="str">
        <f>IF(csv!P201="","",csv!P201)</f>
        <v>BJE</v>
      </c>
      <c r="K211" s="31" t="str">
        <f>IF(csv!Q201="","",csv!Q201)</f>
        <v>OK Bjelovar</v>
      </c>
      <c r="L211" s="31" t="s">
        <v>0</v>
      </c>
      <c r="M211" s="66" t="str">
        <f>IF(csv!R201="","",csv!R201)</f>
        <v>CRO</v>
      </c>
      <c r="N211" s="47" t="s">
        <v>0</v>
      </c>
      <c r="O211" s="246" t="str">
        <f t="shared" si="308"/>
        <v>ok</v>
      </c>
      <c r="P211" s="47"/>
      <c r="Q211" s="52" t="str">
        <f t="shared" si="309"/>
        <v>Ž12</v>
      </c>
      <c r="R211" s="73">
        <f>IF(Q211="","",IF(COUNTIF(Q$12:Q210,Q211)=0,R210+1,R210))</f>
        <v>13</v>
      </c>
      <c r="S211" s="73">
        <f t="shared" si="310"/>
        <v>122</v>
      </c>
      <c r="T211" s="73">
        <f t="shared" si="273"/>
        <v>22</v>
      </c>
      <c r="U211" s="66" t="str">
        <f t="shared" si="274"/>
        <v>M12 – Ž12</v>
      </c>
      <c r="V211" s="47" t="s">
        <v>0</v>
      </c>
      <c r="W211" s="222" t="str">
        <f t="shared" si="275"/>
        <v>Ž12</v>
      </c>
      <c r="X211" s="223">
        <f t="shared" si="276"/>
        <v>35</v>
      </c>
      <c r="Y211" s="47" t="s">
        <v>0</v>
      </c>
      <c r="Z211" s="52" t="str">
        <f t="shared" si="311"/>
        <v>CRO</v>
      </c>
      <c r="AA211" s="73">
        <f t="shared" si="277"/>
        <v>1</v>
      </c>
      <c r="AB211" s="31" t="str">
        <f t="shared" si="312"/>
        <v/>
      </c>
      <c r="AC211" s="66" t="str">
        <f>IF(AB211="","",MAX(AC$12:AC210)+1)</f>
        <v/>
      </c>
      <c r="AD211" s="47" t="s">
        <v>0</v>
      </c>
      <c r="AE211" s="125"/>
      <c r="AF211" s="47" t="s">
        <v>0</v>
      </c>
      <c r="AG211" s="19" t="str">
        <f t="shared" si="313"/>
        <v/>
      </c>
      <c r="AH211" s="47" t="s">
        <v>0</v>
      </c>
      <c r="AI211" s="143" t="str">
        <f t="shared" si="314"/>
        <v>CRO</v>
      </c>
      <c r="AJ211" s="47"/>
      <c r="AK211" s="52" t="str">
        <f t="shared" si="315"/>
        <v>Veronika</v>
      </c>
      <c r="AL211" s="31" t="str">
        <f t="shared" si="316"/>
        <v>Šantić</v>
      </c>
      <c r="AM211" s="73">
        <f t="shared" si="317"/>
        <v>1364</v>
      </c>
      <c r="AN211" s="73" t="str">
        <f t="shared" si="318"/>
        <v/>
      </c>
      <c r="AO211" s="31" t="str">
        <f t="shared" si="278"/>
        <v>Veronika</v>
      </c>
      <c r="AP211" s="66" t="str">
        <f t="shared" si="279"/>
        <v>Šantić</v>
      </c>
      <c r="AQ211" s="47" t="s">
        <v>0</v>
      </c>
      <c r="AR211" s="82" t="str">
        <f t="shared" si="319"/>
        <v/>
      </c>
      <c r="AS211" s="47" t="s">
        <v>0</v>
      </c>
      <c r="AT211" s="19" t="str">
        <f t="shared" si="320"/>
        <v/>
      </c>
      <c r="AU211" s="47" t="s">
        <v>0</v>
      </c>
      <c r="AV211" s="103"/>
      <c r="AW211" s="105"/>
      <c r="AX211" s="47" t="s">
        <v>0</v>
      </c>
      <c r="AY211" s="259" t="str">
        <f t="shared" si="263"/>
        <v/>
      </c>
      <c r="AZ211" s="47" t="s">
        <v>0</v>
      </c>
      <c r="BA211" s="52" t="str">
        <f t="shared" si="280"/>
        <v/>
      </c>
      <c r="BB211" s="73" t="str">
        <f>IF(AV211&amp;AW211="","",MAX(BB$12:BB210)+1)</f>
        <v/>
      </c>
      <c r="BC211" s="272" t="str">
        <f t="shared" si="281"/>
        <v/>
      </c>
      <c r="BD211" s="53" t="str">
        <f>IF(AND(AM211="NEMA",AN211="NEMA",OR(AV211&amp;AW211="",BC211="NEMA")),MAX(BD$12:BD210)+1,"")</f>
        <v/>
      </c>
      <c r="BE211" s="47" t="s">
        <v>0</v>
      </c>
      <c r="BF211" s="52" t="str">
        <f t="shared" si="321"/>
        <v>Veronika</v>
      </c>
      <c r="BG211" s="66" t="str">
        <f t="shared" si="322"/>
        <v>Šantić</v>
      </c>
      <c r="BH211" s="47" t="s">
        <v>0</v>
      </c>
      <c r="BI211" s="52" t="str">
        <f t="shared" si="282"/>
        <v>BJE</v>
      </c>
      <c r="BJ211" s="31" t="str">
        <f t="shared" si="283"/>
        <v>OK Bjelovar</v>
      </c>
      <c r="BK211" s="73" t="str">
        <f t="shared" si="284"/>
        <v/>
      </c>
      <c r="BL211" s="31" t="str" cm="1">
        <f t="array" ref="BL211">IF(BK211="",""&amp;BJ211,IF(BK211="NEMA",BJ211,INDEX(regKlub_naziv,MATCH(INDEX(regKlub_alias_klubId,BK211),regKlub_id,0))))</f>
        <v>OK Bjelovar</v>
      </c>
      <c r="BM211" s="31" t="str" cm="1">
        <f t="array" ref="BM211">IFERROR(""&amp;INDEX(regNatjecatelj_klub,DV211),"")</f>
        <v>OK Bjelovar</v>
      </c>
      <c r="BN211" s="88" t="str">
        <f t="shared" si="323"/>
        <v/>
      </c>
      <c r="BO211" s="66" t="str">
        <f t="shared" si="324"/>
        <v>OK Bjelovar</v>
      </c>
      <c r="BP211" s="47" t="s">
        <v>0</v>
      </c>
      <c r="BQ211" s="52" t="str">
        <f>IF(X211&lt;&gt;"NEMA","",IF(IFERROR(MATCH(W211,W$12:W210,0),0)&lt;&gt;0,"",W211))</f>
        <v/>
      </c>
      <c r="BR211" s="73" t="str">
        <f t="shared" si="325"/>
        <v/>
      </c>
      <c r="BS211" s="31" t="str">
        <f>IF(OR(BR211="",BR211&lt;&gt;"NEMA"),"",MAX(BS$12:BS210)+1)</f>
        <v/>
      </c>
      <c r="BT211" s="66" t="str">
        <f t="shared" si="326"/>
        <v/>
      </c>
      <c r="BU211" s="47" t="s">
        <v>0</v>
      </c>
      <c r="BV211" s="19" t="str">
        <f t="shared" si="327"/>
        <v/>
      </c>
      <c r="BW211" s="47" t="s">
        <v>0</v>
      </c>
      <c r="BX211" s="82" t="str">
        <f>IF(BK211&lt;&gt;"NEMA","",IF(IFERROR(MATCH(BJ211,BJ$12:BJ210,0),0)&lt;&gt;0,"",BJ211))</f>
        <v/>
      </c>
      <c r="BY211" s="47" t="s">
        <v>0</v>
      </c>
      <c r="BZ211" s="125"/>
      <c r="CA211" s="47" t="s">
        <v>0</v>
      </c>
      <c r="CB211" s="58" t="str">
        <f t="shared" si="328"/>
        <v/>
      </c>
      <c r="CC211" s="31" t="str">
        <f t="shared" si="329"/>
        <v/>
      </c>
      <c r="CD211" s="31" t="str">
        <f>IF(CC211="","",MAX(CD$12:CD210)+1)</f>
        <v/>
      </c>
      <c r="CE211" s="31" t="str">
        <f t="shared" si="285"/>
        <v/>
      </c>
      <c r="CF211" s="31" t="str">
        <f t="shared" si="330"/>
        <v/>
      </c>
      <c r="CG211" s="31" t="str">
        <f>IF(BZ211="","",MAX(CG$12:CG210)+1)</f>
        <v/>
      </c>
      <c r="CH211" s="31" t="str">
        <f t="shared" si="331"/>
        <v/>
      </c>
      <c r="CI211" s="66" t="str">
        <f t="shared" si="332"/>
        <v/>
      </c>
      <c r="CJ211" s="47" t="s">
        <v>0</v>
      </c>
      <c r="CK211" s="73" t="str">
        <f t="shared" si="286"/>
        <v/>
      </c>
      <c r="CL211" s="47"/>
      <c r="CM211" s="19" t="str">
        <f t="shared" si="333"/>
        <v/>
      </c>
      <c r="CN211" s="47" t="s">
        <v>0</v>
      </c>
      <c r="CO211" s="143" t="str">
        <f t="shared" si="334"/>
        <v>OK Bjelovar</v>
      </c>
      <c r="CP211" s="47" t="s">
        <v>0</v>
      </c>
      <c r="CQ211" s="58" t="str">
        <f t="shared" si="270"/>
        <v>25:18</v>
      </c>
      <c r="CR211" s="73" t="str">
        <f t="shared" si="271"/>
        <v>0</v>
      </c>
      <c r="CS211" s="229" t="str">
        <f t="shared" si="287"/>
        <v/>
      </c>
      <c r="CT211" s="230">
        <f t="shared" si="272"/>
        <v>1518</v>
      </c>
      <c r="CU211" s="163">
        <f t="shared" si="288"/>
        <v>1</v>
      </c>
      <c r="CV211" s="47" t="s">
        <v>0</v>
      </c>
      <c r="CW211" s="222" t="str">
        <f t="shared" si="335"/>
        <v xml:space="preserve">
</v>
      </c>
      <c r="CX211" s="223">
        <f t="shared" si="336"/>
        <v>6</v>
      </c>
      <c r="CY211" s="47" t="s">
        <v>0</v>
      </c>
      <c r="CZ211" s="47"/>
      <c r="DA211" s="47"/>
      <c r="DB211" s="47"/>
      <c r="DC211" s="47" t="s">
        <v>0</v>
      </c>
      <c r="DD211" s="53" t="str">
        <f t="shared" si="264"/>
        <v/>
      </c>
      <c r="DE211" t="s">
        <v>0</v>
      </c>
      <c r="DF211" s="128" t="str">
        <f t="shared" si="265"/>
        <v>Ž</v>
      </c>
      <c r="DG211" t="s">
        <v>0</v>
      </c>
      <c r="DH211" s="52" t="str">
        <f t="shared" si="266"/>
        <v/>
      </c>
      <c r="DI211" s="66" t="str">
        <f t="shared" si="267"/>
        <v/>
      </c>
      <c r="DJ211" t="s">
        <v>0</v>
      </c>
      <c r="DK211" s="19" t="str">
        <f t="shared" si="268"/>
        <v/>
      </c>
      <c r="DL211" s="47" t="s">
        <v>0</v>
      </c>
      <c r="DM211" s="19" t="str">
        <f t="shared" si="269"/>
        <v/>
      </c>
      <c r="DN211" s="47" t="s">
        <v>0</v>
      </c>
      <c r="DO211" s="52" t="str">
        <f t="shared" si="289"/>
        <v>Veronika – Šantić – OK Bjelovar – Ž12</v>
      </c>
      <c r="DP211" s="53">
        <f t="shared" si="290"/>
        <v>26</v>
      </c>
      <c r="DQ211" s="47" t="s">
        <v>0</v>
      </c>
      <c r="DR211" s="52" t="str">
        <f t="shared" si="291"/>
        <v>Veronika – Šantić – OK Bjelovar</v>
      </c>
      <c r="DS211" s="53">
        <f t="shared" si="292"/>
        <v>26</v>
      </c>
      <c r="DT211" s="47" t="s">
        <v>0</v>
      </c>
      <c r="DU211" s="52" t="str">
        <f t="shared" si="293"/>
        <v>Veronika – Šantić</v>
      </c>
      <c r="DV211" s="53">
        <f t="shared" si="294"/>
        <v>26</v>
      </c>
      <c r="DW211" s="47" t="s">
        <v>0</v>
      </c>
      <c r="DX211" s="58">
        <f t="shared" si="337"/>
        <v>26</v>
      </c>
      <c r="DY211" s="53" cm="1">
        <f t="array" ref="DY211">IF(DX211&lt;&gt;"",INDEX(regNatjecatelj_id,DX211,0),IF(BD211&lt;&gt;"",BD211,""))</f>
        <v>1364</v>
      </c>
      <c r="DZ211" s="47" t="s">
        <v>0</v>
      </c>
      <c r="EA211" s="58" t="str">
        <f t="shared" si="295"/>
        <v>imepre</v>
      </c>
      <c r="EB211" s="73" t="str">
        <f t="shared" si="296"/>
        <v>klu</v>
      </c>
      <c r="EC211" s="73" t="str">
        <f t="shared" si="297"/>
        <v>kat</v>
      </c>
      <c r="ED211" s="73" t="str">
        <f t="shared" si="298"/>
        <v/>
      </c>
      <c r="EE211" s="66" t="str">
        <f t="shared" si="299"/>
        <v>imepre-klu-kat</v>
      </c>
      <c r="EF211" s="47" t="s">
        <v>0</v>
      </c>
      <c r="EG211" s="58">
        <f>IF(AL211="","",MAX(EG$12:EG210)+1)</f>
        <v>371</v>
      </c>
      <c r="EH211" s="73">
        <f t="shared" si="300"/>
        <v>35</v>
      </c>
      <c r="EI211" s="73">
        <f t="shared" si="338"/>
        <v>1364</v>
      </c>
      <c r="EJ211" s="73">
        <f t="shared" si="301"/>
        <v>1518</v>
      </c>
      <c r="EK211" s="73">
        <f t="shared" si="302"/>
        <v>1</v>
      </c>
      <c r="EL211" s="73">
        <f t="shared" si="339"/>
        <v>1</v>
      </c>
      <c r="EM211" s="73">
        <f t="shared" si="340"/>
        <v>1</v>
      </c>
      <c r="EN211" s="73" t="str">
        <f t="shared" si="303"/>
        <v>0</v>
      </c>
      <c r="EO211" s="73" t="str">
        <f t="shared" si="304"/>
        <v/>
      </c>
      <c r="EP211" s="73" t="str">
        <f t="shared" si="305"/>
        <v/>
      </c>
      <c r="EQ211" s="53" t="str">
        <f t="shared" si="306"/>
        <v/>
      </c>
      <c r="ER211" s="47" t="s">
        <v>0</v>
      </c>
      <c r="ES211" s="19" t="str">
        <f t="shared" si="341"/>
        <v>INSERT INTO rezultat(id,stazakategorija_id,imeprezime_id,vrijeme_sec,status_id,registracija,uparivanje_id,originalstatus_id,imeprezimealias_id,klubalias_id,kategorijaalias_id) VALUES (371,35,1364,1518,1,1,1,0,Null,Null,Null);</v>
      </c>
      <c r="ET211" s="47" t="s">
        <v>0</v>
      </c>
      <c r="EU211" s="19" t="str">
        <f t="shared" si="342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1" s="47" t="s">
        <v>0</v>
      </c>
      <c r="EW211" s="180" t="str">
        <f t="shared" si="307"/>
        <v xml:space="preserve">
INSERT INTO rezultat(id,stazakategorija_id,imeprezime_id,vrijeme_sec,status_id,registracija,uparivanje_id,originalstatus_id,imeprezimealias_id,klubalias_id,kategorijaalias_id) VALUES (371,35,1364,1518,1,1,1,0,Null,Null,Null);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1" s="47" t="s">
        <v>0</v>
      </c>
    </row>
    <row r="212" spans="1:154" x14ac:dyDescent="0.25">
      <c r="A212" t="s">
        <v>0</v>
      </c>
      <c r="B212" s="52" t="str">
        <f>IF(csv!F202="","",csv!T202)</f>
        <v>Ž12</v>
      </c>
      <c r="C212" s="31" t="s">
        <v>0</v>
      </c>
      <c r="D212" s="31" t="str">
        <f>IF(csv!F202="","",csv!F202)</f>
        <v>Viktoria</v>
      </c>
      <c r="E212" s="31" t="str">
        <f>IF(csv!E202="","",csv!E202)</f>
        <v>Šantić</v>
      </c>
      <c r="F212" s="31" t="s">
        <v>0</v>
      </c>
      <c r="G212" s="73" t="str">
        <f>IF(csv!M202="","",csv!M202)</f>
        <v>29:30</v>
      </c>
      <c r="H212" s="73" t="str">
        <f>IF(csv!N202="","",csv!N202)</f>
        <v>0</v>
      </c>
      <c r="I212" s="31" t="s">
        <v>0</v>
      </c>
      <c r="J212" s="31" t="str">
        <f>IF(csv!P202="","",csv!P202)</f>
        <v>BJE</v>
      </c>
      <c r="K212" s="31" t="str">
        <f>IF(csv!Q202="","",csv!Q202)</f>
        <v>OK Bjelovar</v>
      </c>
      <c r="L212" s="31" t="s">
        <v>0</v>
      </c>
      <c r="M212" s="66" t="str">
        <f>IF(csv!R202="","",csv!R202)</f>
        <v>CRO</v>
      </c>
      <c r="N212" s="47" t="s">
        <v>0</v>
      </c>
      <c r="O212" s="246" t="str">
        <f t="shared" si="308"/>
        <v>ok</v>
      </c>
      <c r="P212" s="47"/>
      <c r="Q212" s="52" t="str">
        <f t="shared" si="309"/>
        <v>Ž12</v>
      </c>
      <c r="R212" s="73">
        <f>IF(Q212="","",IF(COUNTIF(Q$12:Q211,Q212)=0,R211+1,R211))</f>
        <v>13</v>
      </c>
      <c r="S212" s="73">
        <f t="shared" si="310"/>
        <v>122</v>
      </c>
      <c r="T212" s="73">
        <f t="shared" si="273"/>
        <v>22</v>
      </c>
      <c r="U212" s="66" t="str">
        <f t="shared" si="274"/>
        <v>M12 – Ž12</v>
      </c>
      <c r="V212" s="47" t="s">
        <v>0</v>
      </c>
      <c r="W212" s="222" t="str">
        <f t="shared" si="275"/>
        <v>Ž12</v>
      </c>
      <c r="X212" s="223">
        <f t="shared" si="276"/>
        <v>35</v>
      </c>
      <c r="Y212" s="47" t="s">
        <v>0</v>
      </c>
      <c r="Z212" s="52" t="str">
        <f t="shared" si="311"/>
        <v>CRO</v>
      </c>
      <c r="AA212" s="73">
        <f t="shared" si="277"/>
        <v>1</v>
      </c>
      <c r="AB212" s="31" t="str">
        <f t="shared" si="312"/>
        <v/>
      </c>
      <c r="AC212" s="66" t="str">
        <f>IF(AB212="","",MAX(AC$12:AC211)+1)</f>
        <v/>
      </c>
      <c r="AD212" s="47" t="s">
        <v>0</v>
      </c>
      <c r="AE212" s="125"/>
      <c r="AF212" s="47" t="s">
        <v>0</v>
      </c>
      <c r="AG212" s="19" t="str">
        <f t="shared" si="313"/>
        <v/>
      </c>
      <c r="AH212" s="47" t="s">
        <v>0</v>
      </c>
      <c r="AI212" s="143" t="str">
        <f t="shared" si="314"/>
        <v>CRO</v>
      </c>
      <c r="AJ212" s="47"/>
      <c r="AK212" s="52" t="str">
        <f t="shared" si="315"/>
        <v>Viktoria</v>
      </c>
      <c r="AL212" s="31" t="str">
        <f t="shared" si="316"/>
        <v>Šantić</v>
      </c>
      <c r="AM212" s="73">
        <f t="shared" si="317"/>
        <v>1244</v>
      </c>
      <c r="AN212" s="73" t="str">
        <f t="shared" si="318"/>
        <v/>
      </c>
      <c r="AO212" s="31" t="str">
        <f t="shared" si="278"/>
        <v>Viktoria</v>
      </c>
      <c r="AP212" s="66" t="str">
        <f t="shared" si="279"/>
        <v>Šantić</v>
      </c>
      <c r="AQ212" s="47" t="s">
        <v>0</v>
      </c>
      <c r="AR212" s="82" t="str">
        <f t="shared" si="319"/>
        <v/>
      </c>
      <c r="AS212" s="47" t="s">
        <v>0</v>
      </c>
      <c r="AT212" s="19" t="str">
        <f t="shared" si="320"/>
        <v/>
      </c>
      <c r="AU212" s="47" t="s">
        <v>0</v>
      </c>
      <c r="AV212" s="103"/>
      <c r="AW212" s="105"/>
      <c r="AX212" s="47" t="s">
        <v>0</v>
      </c>
      <c r="AY212" s="259" t="str">
        <f t="shared" si="263"/>
        <v/>
      </c>
      <c r="AZ212" s="47" t="s">
        <v>0</v>
      </c>
      <c r="BA212" s="52" t="str">
        <f t="shared" si="280"/>
        <v/>
      </c>
      <c r="BB212" s="73" t="str">
        <f>IF(AV212&amp;AW212="","",MAX(BB$12:BB211)+1)</f>
        <v/>
      </c>
      <c r="BC212" s="272" t="str">
        <f t="shared" si="281"/>
        <v/>
      </c>
      <c r="BD212" s="53" t="str">
        <f>IF(AND(AM212="NEMA",AN212="NEMA",OR(AV212&amp;AW212="",BC212="NEMA")),MAX(BD$12:BD211)+1,"")</f>
        <v/>
      </c>
      <c r="BE212" s="47" t="s">
        <v>0</v>
      </c>
      <c r="BF212" s="52" t="str">
        <f t="shared" si="321"/>
        <v>Viktoria</v>
      </c>
      <c r="BG212" s="66" t="str">
        <f t="shared" si="322"/>
        <v>Šantić</v>
      </c>
      <c r="BH212" s="47" t="s">
        <v>0</v>
      </c>
      <c r="BI212" s="52" t="str">
        <f t="shared" si="282"/>
        <v>BJE</v>
      </c>
      <c r="BJ212" s="31" t="str">
        <f t="shared" si="283"/>
        <v>OK Bjelovar</v>
      </c>
      <c r="BK212" s="73" t="str">
        <f t="shared" si="284"/>
        <v/>
      </c>
      <c r="BL212" s="31" t="str" cm="1">
        <f t="array" ref="BL212">IF(BK212="",""&amp;BJ212,IF(BK212="NEMA",BJ212,INDEX(regKlub_naziv,MATCH(INDEX(regKlub_alias_klubId,BK212),regKlub_id,0))))</f>
        <v>OK Bjelovar</v>
      </c>
      <c r="BM212" s="31" t="str" cm="1">
        <f t="array" ref="BM212">IFERROR(""&amp;INDEX(regNatjecatelj_klub,DV212),"")</f>
        <v>OK Bjelovar</v>
      </c>
      <c r="BN212" s="88" t="str">
        <f t="shared" si="323"/>
        <v/>
      </c>
      <c r="BO212" s="66" t="str">
        <f t="shared" si="324"/>
        <v>OK Bjelovar</v>
      </c>
      <c r="BP212" s="47" t="s">
        <v>0</v>
      </c>
      <c r="BQ212" s="52" t="str">
        <f>IF(X212&lt;&gt;"NEMA","",IF(IFERROR(MATCH(W212,W$12:W211,0),0)&lt;&gt;0,"",W212))</f>
        <v/>
      </c>
      <c r="BR212" s="73" t="str">
        <f t="shared" si="325"/>
        <v/>
      </c>
      <c r="BS212" s="31" t="str">
        <f>IF(OR(BR212="",BR212&lt;&gt;"NEMA"),"",MAX(BS$12:BS211)+1)</f>
        <v/>
      </c>
      <c r="BT212" s="66" t="str">
        <f t="shared" si="326"/>
        <v/>
      </c>
      <c r="BU212" s="47" t="s">
        <v>0</v>
      </c>
      <c r="BV212" s="19" t="str">
        <f t="shared" si="327"/>
        <v/>
      </c>
      <c r="BW212" s="47" t="s">
        <v>0</v>
      </c>
      <c r="BX212" s="82" t="str">
        <f>IF(BK212&lt;&gt;"NEMA","",IF(IFERROR(MATCH(BJ212,BJ$12:BJ211,0),0)&lt;&gt;0,"",BJ212))</f>
        <v/>
      </c>
      <c r="BY212" s="47" t="s">
        <v>0</v>
      </c>
      <c r="BZ212" s="125"/>
      <c r="CA212" s="47" t="s">
        <v>0</v>
      </c>
      <c r="CB212" s="58" t="str">
        <f t="shared" si="328"/>
        <v/>
      </c>
      <c r="CC212" s="31" t="str">
        <f t="shared" si="329"/>
        <v/>
      </c>
      <c r="CD212" s="31" t="str">
        <f>IF(CC212="","",MAX(CD$12:CD211)+1)</f>
        <v/>
      </c>
      <c r="CE212" s="31" t="str">
        <f t="shared" si="285"/>
        <v/>
      </c>
      <c r="CF212" s="31" t="str">
        <f t="shared" si="330"/>
        <v/>
      </c>
      <c r="CG212" s="31" t="str">
        <f>IF(BZ212="","",MAX(CG$12:CG211)+1)</f>
        <v/>
      </c>
      <c r="CH212" s="31" t="str">
        <f t="shared" si="331"/>
        <v/>
      </c>
      <c r="CI212" s="66" t="str">
        <f t="shared" si="332"/>
        <v/>
      </c>
      <c r="CJ212" s="47" t="s">
        <v>0</v>
      </c>
      <c r="CK212" s="73" t="str">
        <f t="shared" si="286"/>
        <v/>
      </c>
      <c r="CL212" s="47"/>
      <c r="CM212" s="19" t="str">
        <f t="shared" si="333"/>
        <v/>
      </c>
      <c r="CN212" s="47" t="s">
        <v>0</v>
      </c>
      <c r="CO212" s="143" t="str">
        <f t="shared" si="334"/>
        <v>OK Bjelovar</v>
      </c>
      <c r="CP212" s="47" t="s">
        <v>0</v>
      </c>
      <c r="CQ212" s="58" t="str">
        <f t="shared" si="270"/>
        <v>29:30</v>
      </c>
      <c r="CR212" s="73" t="str">
        <f t="shared" si="271"/>
        <v>0</v>
      </c>
      <c r="CS212" s="229" t="str">
        <f t="shared" si="287"/>
        <v/>
      </c>
      <c r="CT212" s="230">
        <f t="shared" si="272"/>
        <v>1770</v>
      </c>
      <c r="CU212" s="163">
        <f t="shared" si="288"/>
        <v>1</v>
      </c>
      <c r="CV212" s="47" t="s">
        <v>0</v>
      </c>
      <c r="CW212" s="222" t="str">
        <f t="shared" si="335"/>
        <v xml:space="preserve">
</v>
      </c>
      <c r="CX212" s="223">
        <f t="shared" si="336"/>
        <v>6</v>
      </c>
      <c r="CY212" s="47" t="s">
        <v>0</v>
      </c>
      <c r="CZ212" s="47"/>
      <c r="DA212" s="47"/>
      <c r="DB212" s="47"/>
      <c r="DC212" s="47" t="s">
        <v>0</v>
      </c>
      <c r="DD212" s="53" t="str">
        <f t="shared" si="264"/>
        <v/>
      </c>
      <c r="DE212" t="s">
        <v>0</v>
      </c>
      <c r="DF212" s="128" t="str">
        <f t="shared" si="265"/>
        <v>Ž</v>
      </c>
      <c r="DG212" t="s">
        <v>0</v>
      </c>
      <c r="DH212" s="52" t="str">
        <f t="shared" si="266"/>
        <v/>
      </c>
      <c r="DI212" s="66" t="str">
        <f t="shared" si="267"/>
        <v/>
      </c>
      <c r="DJ212" t="s">
        <v>0</v>
      </c>
      <c r="DK212" s="19" t="str">
        <f t="shared" si="268"/>
        <v/>
      </c>
      <c r="DL212" s="47" t="s">
        <v>0</v>
      </c>
      <c r="DM212" s="19" t="str">
        <f t="shared" si="269"/>
        <v/>
      </c>
      <c r="DN212" s="47" t="s">
        <v>0</v>
      </c>
      <c r="DO212" s="52" t="str">
        <f t="shared" si="289"/>
        <v>Viktoria – Šantić – OK Bjelovar – Ž12</v>
      </c>
      <c r="DP212" s="53">
        <f t="shared" si="290"/>
        <v>27</v>
      </c>
      <c r="DQ212" s="47" t="s">
        <v>0</v>
      </c>
      <c r="DR212" s="52" t="str">
        <f t="shared" si="291"/>
        <v>Viktoria – Šantić – OK Bjelovar</v>
      </c>
      <c r="DS212" s="53">
        <f t="shared" si="292"/>
        <v>27</v>
      </c>
      <c r="DT212" s="47" t="s">
        <v>0</v>
      </c>
      <c r="DU212" s="52" t="str">
        <f t="shared" si="293"/>
        <v>Viktoria – Šantić</v>
      </c>
      <c r="DV212" s="53">
        <f t="shared" si="294"/>
        <v>27</v>
      </c>
      <c r="DW212" s="47" t="s">
        <v>0</v>
      </c>
      <c r="DX212" s="58">
        <f t="shared" si="337"/>
        <v>27</v>
      </c>
      <c r="DY212" s="53" cm="1">
        <f t="array" ref="DY212">IF(DX212&lt;&gt;"",INDEX(regNatjecatelj_id,DX212,0),IF(BD212&lt;&gt;"",BD212,""))</f>
        <v>1244</v>
      </c>
      <c r="DZ212" s="47" t="s">
        <v>0</v>
      </c>
      <c r="EA212" s="58" t="str">
        <f t="shared" si="295"/>
        <v>imepre</v>
      </c>
      <c r="EB212" s="73" t="str">
        <f t="shared" si="296"/>
        <v>klu</v>
      </c>
      <c r="EC212" s="73" t="str">
        <f t="shared" si="297"/>
        <v>kat</v>
      </c>
      <c r="ED212" s="73" t="str">
        <f t="shared" si="298"/>
        <v/>
      </c>
      <c r="EE212" s="66" t="str">
        <f t="shared" si="299"/>
        <v>imepre-klu-kat</v>
      </c>
      <c r="EF212" s="47" t="s">
        <v>0</v>
      </c>
      <c r="EG212" s="58">
        <f>IF(AL212="","",MAX(EG$12:EG211)+1)</f>
        <v>372</v>
      </c>
      <c r="EH212" s="73">
        <f t="shared" si="300"/>
        <v>35</v>
      </c>
      <c r="EI212" s="73">
        <f t="shared" si="338"/>
        <v>1244</v>
      </c>
      <c r="EJ212" s="73">
        <f t="shared" si="301"/>
        <v>1770</v>
      </c>
      <c r="EK212" s="73">
        <f t="shared" si="302"/>
        <v>1</v>
      </c>
      <c r="EL212" s="73">
        <f t="shared" si="339"/>
        <v>1</v>
      </c>
      <c r="EM212" s="73">
        <f t="shared" si="340"/>
        <v>1</v>
      </c>
      <c r="EN212" s="73" t="str">
        <f t="shared" si="303"/>
        <v>0</v>
      </c>
      <c r="EO212" s="73" t="str">
        <f t="shared" si="304"/>
        <v/>
      </c>
      <c r="EP212" s="73" t="str">
        <f t="shared" si="305"/>
        <v/>
      </c>
      <c r="EQ212" s="53" t="str">
        <f t="shared" si="306"/>
        <v/>
      </c>
      <c r="ER212" s="47" t="s">
        <v>0</v>
      </c>
      <c r="ES212" s="19" t="str">
        <f t="shared" si="341"/>
        <v>INSERT INTO rezultat(id,stazakategorija_id,imeprezime_id,vrijeme_sec,status_id,registracija,uparivanje_id,originalstatus_id,imeprezimealias_id,klubalias_id,kategorijaalias_id) VALUES (372,35,1244,1770,1,1,1,0,Null,Null,Null);</v>
      </c>
      <c r="ET212" s="47" t="s">
        <v>0</v>
      </c>
      <c r="EU212" s="19" t="str">
        <f t="shared" si="342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2" s="47" t="s">
        <v>0</v>
      </c>
      <c r="EW212" s="180" t="str">
        <f t="shared" si="307"/>
        <v xml:space="preserve">
INSERT INTO rezultat(id,stazakategorija_id,imeprezime_id,vrijeme_sec,status_id,registracija,uparivanje_id,originalstatus_id,imeprezimealias_id,klubalias_id,kategorijaalias_id) VALUES (372,35,1244,1770,1,1,1,0,Null,Null,Null);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2" s="47" t="s">
        <v>0</v>
      </c>
    </row>
    <row r="213" spans="1:154" x14ac:dyDescent="0.25">
      <c r="A213" t="s">
        <v>0</v>
      </c>
      <c r="B213" s="52" t="str">
        <f>IF(csv!F203="","",csv!T203)</f>
        <v>Ž12</v>
      </c>
      <c r="C213" s="31" t="s">
        <v>0</v>
      </c>
      <c r="D213" s="31" t="str">
        <f>IF(csv!F203="","",csv!F203)</f>
        <v>Luna</v>
      </c>
      <c r="E213" s="31" t="str">
        <f>IF(csv!E203="","",csv!E203)</f>
        <v>Bajrektarević</v>
      </c>
      <c r="F213" s="31" t="s">
        <v>0</v>
      </c>
      <c r="G213" s="73" t="str">
        <f>IF(csv!M203="","",csv!M203)</f>
        <v>31:18</v>
      </c>
      <c r="H213" s="73" t="str">
        <f>IF(csv!N203="","",csv!N203)</f>
        <v>0</v>
      </c>
      <c r="I213" s="31" t="s">
        <v>0</v>
      </c>
      <c r="J213" s="31" t="str">
        <f>IF(csv!P203="","",csv!P203)</f>
        <v>Vihor</v>
      </c>
      <c r="K213" s="31" t="str">
        <f>IF(csv!Q203="","",csv!Q203)</f>
        <v>OK Vihor</v>
      </c>
      <c r="L213" s="31" t="s">
        <v>0</v>
      </c>
      <c r="M213" s="66" t="str">
        <f>IF(csv!R203="","",csv!R203)</f>
        <v>CRO</v>
      </c>
      <c r="N213" s="47" t="s">
        <v>0</v>
      </c>
      <c r="O213" s="246" t="str">
        <f t="shared" si="308"/>
        <v>ok</v>
      </c>
      <c r="P213" s="47"/>
      <c r="Q213" s="52" t="str">
        <f t="shared" si="309"/>
        <v>Ž12</v>
      </c>
      <c r="R213" s="73">
        <f>IF(Q213="","",IF(COUNTIF(Q$12:Q212,Q213)=0,R212+1,R212))</f>
        <v>13</v>
      </c>
      <c r="S213" s="73">
        <f t="shared" si="310"/>
        <v>122</v>
      </c>
      <c r="T213" s="73">
        <f t="shared" si="273"/>
        <v>22</v>
      </c>
      <c r="U213" s="66" t="str">
        <f t="shared" si="274"/>
        <v>M12 – Ž12</v>
      </c>
      <c r="V213" s="47" t="s">
        <v>0</v>
      </c>
      <c r="W213" s="222" t="str">
        <f t="shared" si="275"/>
        <v>Ž12</v>
      </c>
      <c r="X213" s="223">
        <f t="shared" si="276"/>
        <v>35</v>
      </c>
      <c r="Y213" s="47" t="s">
        <v>0</v>
      </c>
      <c r="Z213" s="52" t="str">
        <f t="shared" si="311"/>
        <v>CRO</v>
      </c>
      <c r="AA213" s="73">
        <f t="shared" si="277"/>
        <v>1</v>
      </c>
      <c r="AB213" s="31" t="str">
        <f t="shared" si="312"/>
        <v/>
      </c>
      <c r="AC213" s="66" t="str">
        <f>IF(AB213="","",MAX(AC$12:AC212)+1)</f>
        <v/>
      </c>
      <c r="AD213" s="47" t="s">
        <v>0</v>
      </c>
      <c r="AE213" s="125"/>
      <c r="AF213" s="47" t="s">
        <v>0</v>
      </c>
      <c r="AG213" s="19" t="str">
        <f t="shared" si="313"/>
        <v/>
      </c>
      <c r="AH213" s="47" t="s">
        <v>0</v>
      </c>
      <c r="AI213" s="143" t="str">
        <f t="shared" si="314"/>
        <v>CRO</v>
      </c>
      <c r="AJ213" s="47"/>
      <c r="AK213" s="52" t="str">
        <f t="shared" si="315"/>
        <v>Luna</v>
      </c>
      <c r="AL213" s="31" t="str">
        <f t="shared" si="316"/>
        <v>Bajrektarević</v>
      </c>
      <c r="AM213" s="73">
        <f t="shared" si="317"/>
        <v>1055</v>
      </c>
      <c r="AN213" s="73" t="str">
        <f t="shared" si="318"/>
        <v/>
      </c>
      <c r="AO213" s="31" t="str">
        <f t="shared" si="278"/>
        <v>Luna</v>
      </c>
      <c r="AP213" s="66" t="str">
        <f t="shared" si="279"/>
        <v>Bajrektarević</v>
      </c>
      <c r="AQ213" s="47" t="s">
        <v>0</v>
      </c>
      <c r="AR213" s="82" t="str">
        <f t="shared" si="319"/>
        <v/>
      </c>
      <c r="AS213" s="47" t="s">
        <v>0</v>
      </c>
      <c r="AT213" s="19" t="str">
        <f t="shared" si="320"/>
        <v/>
      </c>
      <c r="AU213" s="47" t="s">
        <v>0</v>
      </c>
      <c r="AV213" s="103"/>
      <c r="AW213" s="105"/>
      <c r="AX213" s="47" t="s">
        <v>0</v>
      </c>
      <c r="AY213" s="259" t="str">
        <f t="shared" ref="AY213:AY276" si="343">IF(AND(AV213="",AW213&lt;&gt;""),"FALI IME",IF(AND(AV213&lt;&gt;"",AW213=""),"FALI PREZIME",IF(OR(AM213="",AND(AM213="NEMA",AN213="NEMA"),AV213&amp;AW213=""),"","GREŠKA")))</f>
        <v/>
      </c>
      <c r="AZ213" s="47" t="s">
        <v>0</v>
      </c>
      <c r="BA213" s="52" t="str">
        <f t="shared" si="280"/>
        <v/>
      </c>
      <c r="BB213" s="73" t="str">
        <f>IF(AV213&amp;AW213="","",MAX(BB$12:BB212)+1)</f>
        <v/>
      </c>
      <c r="BC213" s="272" t="str">
        <f t="shared" si="281"/>
        <v/>
      </c>
      <c r="BD213" s="53" t="str">
        <f>IF(AND(AM213="NEMA",AN213="NEMA",OR(AV213&amp;AW213="",BC213="NEMA")),MAX(BD$12:BD212)+1,"")</f>
        <v/>
      </c>
      <c r="BE213" s="47" t="s">
        <v>0</v>
      </c>
      <c r="BF213" s="52" t="str">
        <f t="shared" si="321"/>
        <v>Luna</v>
      </c>
      <c r="BG213" s="66" t="str">
        <f t="shared" si="322"/>
        <v>Bajrektarević</v>
      </c>
      <c r="BH213" s="47" t="s">
        <v>0</v>
      </c>
      <c r="BI213" s="52" t="str">
        <f t="shared" si="282"/>
        <v>Vihor</v>
      </c>
      <c r="BJ213" s="31" t="str">
        <f t="shared" si="283"/>
        <v>OK Vihor</v>
      </c>
      <c r="BK213" s="73" t="str">
        <f t="shared" si="284"/>
        <v/>
      </c>
      <c r="BL213" s="31" t="str" cm="1">
        <f t="array" ref="BL213">IF(BK213="",""&amp;BJ213,IF(BK213="NEMA",BJ213,INDEX(regKlub_naziv,MATCH(INDEX(regKlub_alias_klubId,BK213),regKlub_id,0))))</f>
        <v>OK Vihor</v>
      </c>
      <c r="BM213" s="31" t="str" cm="1">
        <f t="array" ref="BM213">IFERROR(""&amp;INDEX(regNatjecatelj_klub,DV213),"")</f>
        <v>OK Vihor</v>
      </c>
      <c r="BN213" s="88" t="str">
        <f t="shared" si="323"/>
        <v/>
      </c>
      <c r="BO213" s="66" t="str">
        <f t="shared" si="324"/>
        <v>OK Vihor</v>
      </c>
      <c r="BP213" s="47" t="s">
        <v>0</v>
      </c>
      <c r="BQ213" s="52" t="str">
        <f>IF(X213&lt;&gt;"NEMA","",IF(IFERROR(MATCH(W213,W$12:W212,0),0)&lt;&gt;0,"",W213))</f>
        <v/>
      </c>
      <c r="BR213" s="73" t="str">
        <f t="shared" si="325"/>
        <v/>
      </c>
      <c r="BS213" s="31" t="str">
        <f>IF(OR(BR213="",BR213&lt;&gt;"NEMA"),"",MAX(BS$12:BS212)+1)</f>
        <v/>
      </c>
      <c r="BT213" s="66" t="str">
        <f t="shared" si="326"/>
        <v/>
      </c>
      <c r="BU213" s="47" t="s">
        <v>0</v>
      </c>
      <c r="BV213" s="19" t="str">
        <f t="shared" si="327"/>
        <v/>
      </c>
      <c r="BW213" s="47" t="s">
        <v>0</v>
      </c>
      <c r="BX213" s="82" t="str">
        <f>IF(BK213&lt;&gt;"NEMA","",IF(IFERROR(MATCH(BJ213,BJ$12:BJ212,0),0)&lt;&gt;0,"",BJ213))</f>
        <v/>
      </c>
      <c r="BY213" s="47" t="s">
        <v>0</v>
      </c>
      <c r="BZ213" s="125"/>
      <c r="CA213" s="47" t="s">
        <v>0</v>
      </c>
      <c r="CB213" s="58" t="str">
        <f t="shared" si="328"/>
        <v/>
      </c>
      <c r="CC213" s="31" t="str">
        <f t="shared" si="329"/>
        <v/>
      </c>
      <c r="CD213" s="31" t="str">
        <f>IF(CC213="","",MAX(CD$12:CD212)+1)</f>
        <v/>
      </c>
      <c r="CE213" s="31" t="str">
        <f t="shared" si="285"/>
        <v/>
      </c>
      <c r="CF213" s="31" t="str">
        <f t="shared" si="330"/>
        <v/>
      </c>
      <c r="CG213" s="31" t="str">
        <f>IF(BZ213="","",MAX(CG$12:CG212)+1)</f>
        <v/>
      </c>
      <c r="CH213" s="31" t="str">
        <f t="shared" si="331"/>
        <v/>
      </c>
      <c r="CI213" s="66" t="str">
        <f t="shared" si="332"/>
        <v/>
      </c>
      <c r="CJ213" s="47" t="s">
        <v>0</v>
      </c>
      <c r="CK213" s="73" t="str">
        <f t="shared" si="286"/>
        <v/>
      </c>
      <c r="CL213" s="47"/>
      <c r="CM213" s="19" t="str">
        <f t="shared" si="333"/>
        <v/>
      </c>
      <c r="CN213" s="47" t="s">
        <v>0</v>
      </c>
      <c r="CO213" s="143" t="str">
        <f t="shared" si="334"/>
        <v>OK Vihor</v>
      </c>
      <c r="CP213" s="47" t="s">
        <v>0</v>
      </c>
      <c r="CQ213" s="58" t="str">
        <f t="shared" si="270"/>
        <v>31:18</v>
      </c>
      <c r="CR213" s="73" t="str">
        <f t="shared" si="271"/>
        <v>0</v>
      </c>
      <c r="CS213" s="229" t="str">
        <f t="shared" si="287"/>
        <v/>
      </c>
      <c r="CT213" s="230">
        <f t="shared" si="272"/>
        <v>1878</v>
      </c>
      <c r="CU213" s="163">
        <f t="shared" si="288"/>
        <v>1</v>
      </c>
      <c r="CV213" s="47" t="s">
        <v>0</v>
      </c>
      <c r="CW213" s="222" t="str">
        <f t="shared" si="335"/>
        <v xml:space="preserve">
</v>
      </c>
      <c r="CX213" s="223">
        <f t="shared" si="336"/>
        <v>6</v>
      </c>
      <c r="CY213" s="47" t="s">
        <v>0</v>
      </c>
      <c r="CZ213" s="47"/>
      <c r="DA213" s="47"/>
      <c r="DB213" s="47"/>
      <c r="DC213" s="47" t="s">
        <v>0</v>
      </c>
      <c r="DD213" s="53" t="str">
        <f t="shared" ref="DD213:DD276" si="344">IF(BD213="","",IF(DF213="O",1,""))</f>
        <v/>
      </c>
      <c r="DE213" t="s">
        <v>0</v>
      </c>
      <c r="DF213" s="128" t="str">
        <f t="shared" ref="DF213:DF276" si="345">IF(Q213="","",LEFT(INDEX(regKategorija_oznaka,MATCH(S213,regKategorija_id,0)),1))</f>
        <v>Ž</v>
      </c>
      <c r="DG213" t="s">
        <v>0</v>
      </c>
      <c r="DH213" s="52" t="str">
        <f t="shared" ref="DH213:DH276" si="346">IF(BD213="","",IF(M213&lt;&gt;"CRO","","INSERT INTO osoba (id,reg_broj,oib,spol_id,dat_rodjenja) VALUES ("&amp;BD213&amp;",(SELECT max(os.reg_broj)+1 FROM osoba AS os),Null,'"&amp;DF213&amp;"',Null); INSERT INTO osoba_log (id,reg_broj,oib,spol_id,dat_rodjenja,dnevnik_id) SELECT id,reg_broj,oib,spol_id,dat_rodjenja,"&amp;data_dnevnik_id&amp;" FROM osoba WHERE id = "&amp;BD213&amp;";"))</f>
        <v/>
      </c>
      <c r="DI213" s="66" t="str">
        <f t="shared" ref="DI213:DI276" si="347">IF(BD213="","","INSERT INTO imeprezime (id,osoba_id,rbr,ime,prezime,klub_id,identitet_id,sintaksa_id,info,aktivno,dnevnik_id) VALUES ("&amp;BD213&amp;","&amp;IF(DH213="","Null",BD213)&amp;",1,'"&amp;IF(AV213&lt;&gt;"",AV213,AK213)&amp;"','"&amp;IF(AW213&lt;&gt;"",AW213,AL213)&amp;"',(SELECT id FROM klub WHERE naziv = '"&amp;CO213&amp;"'),Null,1,'',1,"&amp;data_dnevnik_id&amp;");")</f>
        <v/>
      </c>
      <c r="DJ213" t="s">
        <v>0</v>
      </c>
      <c r="DK213" s="19" t="str">
        <f t="shared" ref="DK213:DK276" si="348">IF(DH213="",DI213,DH213&amp;" "&amp;DI213)</f>
        <v/>
      </c>
      <c r="DL213" s="47" t="s">
        <v>0</v>
      </c>
      <c r="DM213" s="19" t="str">
        <f t="shared" ref="DM213:DM276" si="349">IF(BA213="","","INSERT INTO imeprezime_alias(id,alias,imeprezime_id) VALUES ("&amp;BB213&amp;",'"&amp;BA213&amp;"',"&amp;IF(BC213="NEMA",BD213,BC213)&amp;");")</f>
        <v/>
      </c>
      <c r="DN213" s="47" t="s">
        <v>0</v>
      </c>
      <c r="DO213" s="52" t="str">
        <f t="shared" si="289"/>
        <v>Luna – Bajrektarević – OK Vihor – Ž12</v>
      </c>
      <c r="DP213" s="53">
        <f t="shared" si="290"/>
        <v>620</v>
      </c>
      <c r="DQ213" s="47" t="s">
        <v>0</v>
      </c>
      <c r="DR213" s="52" t="str">
        <f t="shared" si="291"/>
        <v>Luna – Bajrektarević – OK Vihor</v>
      </c>
      <c r="DS213" s="53">
        <f t="shared" si="292"/>
        <v>620</v>
      </c>
      <c r="DT213" s="47" t="s">
        <v>0</v>
      </c>
      <c r="DU213" s="52" t="str">
        <f t="shared" si="293"/>
        <v>Luna – Bajrektarević</v>
      </c>
      <c r="DV213" s="53">
        <f t="shared" si="294"/>
        <v>620</v>
      </c>
      <c r="DW213" s="47" t="s">
        <v>0</v>
      </c>
      <c r="DX213" s="58">
        <f t="shared" si="337"/>
        <v>620</v>
      </c>
      <c r="DY213" s="53" cm="1">
        <f t="array" ref="DY213">IF(DX213&lt;&gt;"",INDEX(regNatjecatelj_id,DX213,0),IF(BD213&lt;&gt;"",BD213,""))</f>
        <v>1055</v>
      </c>
      <c r="DZ213" s="47" t="s">
        <v>0</v>
      </c>
      <c r="EA213" s="58" t="str">
        <f t="shared" si="295"/>
        <v>imepre</v>
      </c>
      <c r="EB213" s="73" t="str">
        <f t="shared" si="296"/>
        <v>klu</v>
      </c>
      <c r="EC213" s="73" t="str">
        <f t="shared" si="297"/>
        <v>kat</v>
      </c>
      <c r="ED213" s="73" t="str">
        <f t="shared" si="298"/>
        <v/>
      </c>
      <c r="EE213" s="66" t="str">
        <f t="shared" si="299"/>
        <v>imepre-klu-kat</v>
      </c>
      <c r="EF213" s="47" t="s">
        <v>0</v>
      </c>
      <c r="EG213" s="58">
        <f>IF(AL213="","",MAX(EG$12:EG212)+1)</f>
        <v>373</v>
      </c>
      <c r="EH213" s="73">
        <f t="shared" si="300"/>
        <v>35</v>
      </c>
      <c r="EI213" s="73">
        <f t="shared" si="338"/>
        <v>1055</v>
      </c>
      <c r="EJ213" s="73">
        <f t="shared" si="301"/>
        <v>1878</v>
      </c>
      <c r="EK213" s="73">
        <f t="shared" si="302"/>
        <v>1</v>
      </c>
      <c r="EL213" s="73">
        <f t="shared" si="339"/>
        <v>1</v>
      </c>
      <c r="EM213" s="73">
        <f t="shared" si="340"/>
        <v>1</v>
      </c>
      <c r="EN213" s="73" t="str">
        <f t="shared" si="303"/>
        <v>0</v>
      </c>
      <c r="EO213" s="73" t="str">
        <f t="shared" si="304"/>
        <v/>
      </c>
      <c r="EP213" s="73" t="str">
        <f t="shared" si="305"/>
        <v/>
      </c>
      <c r="EQ213" s="53" t="str">
        <f t="shared" si="306"/>
        <v/>
      </c>
      <c r="ER213" s="47" t="s">
        <v>0</v>
      </c>
      <c r="ES213" s="19" t="str">
        <f t="shared" si="341"/>
        <v>INSERT INTO rezultat(id,stazakategorija_id,imeprezime_id,vrijeme_sec,status_id,registracija,uparivanje_id,originalstatus_id,imeprezimealias_id,klubalias_id,kategorijaalias_id) VALUES (373,35,1055,1878,1,1,1,0,Null,Null,Null);</v>
      </c>
      <c r="ET213" s="47" t="s">
        <v>0</v>
      </c>
      <c r="EU213" s="19" t="str">
        <f t="shared" si="342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3" s="47" t="s">
        <v>0</v>
      </c>
      <c r="EW213" s="180" t="str">
        <f t="shared" si="307"/>
        <v xml:space="preserve">
INSERT INTO rezultat(id,stazakategorija_id,imeprezime_id,vrijeme_sec,status_id,registracija,uparivanje_id,originalstatus_id,imeprezimealias_id,klubalias_id,kategorijaalias_id) VALUES (373,35,1055,1878,1,1,1,0,Null,Null,Null);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3" s="47" t="s">
        <v>0</v>
      </c>
    </row>
    <row r="214" spans="1:154" x14ac:dyDescent="0.25">
      <c r="A214" t="s">
        <v>0</v>
      </c>
      <c r="B214" s="52" t="str">
        <f>IF(csv!F204="","",csv!T204)</f>
        <v>Ž12</v>
      </c>
      <c r="C214" s="31" t="s">
        <v>0</v>
      </c>
      <c r="D214" s="31" t="str">
        <f>IF(csv!F204="","",csv!F204)</f>
        <v>Gloria</v>
      </c>
      <c r="E214" s="31" t="str">
        <f>IF(csv!E204="","",csv!E204)</f>
        <v>Šantić</v>
      </c>
      <c r="F214" s="31" t="s">
        <v>0</v>
      </c>
      <c r="G214" s="73" t="str">
        <f>IF(csv!M204="","",csv!M204)</f>
        <v>36:23</v>
      </c>
      <c r="H214" s="73" t="str">
        <f>IF(csv!N204="","",csv!N204)</f>
        <v>0</v>
      </c>
      <c r="I214" s="31" t="s">
        <v>0</v>
      </c>
      <c r="J214" s="31" t="str">
        <f>IF(csv!P204="","",csv!P204)</f>
        <v>BJE</v>
      </c>
      <c r="K214" s="31" t="str">
        <f>IF(csv!Q204="","",csv!Q204)</f>
        <v>OK Bjelovar</v>
      </c>
      <c r="L214" s="31" t="s">
        <v>0</v>
      </c>
      <c r="M214" s="66" t="str">
        <f>IF(csv!R204="","",csv!R204)</f>
        <v>CRO</v>
      </c>
      <c r="N214" s="47" t="s">
        <v>0</v>
      </c>
      <c r="O214" s="246" t="str">
        <f t="shared" si="308"/>
        <v>ok</v>
      </c>
      <c r="P214" s="47"/>
      <c r="Q214" s="52" t="str">
        <f t="shared" si="309"/>
        <v>Ž12</v>
      </c>
      <c r="R214" s="73">
        <f>IF(Q214="","",IF(COUNTIF(Q$12:Q213,Q214)=0,R213+1,R213))</f>
        <v>13</v>
      </c>
      <c r="S214" s="73">
        <f t="shared" si="310"/>
        <v>122</v>
      </c>
      <c r="T214" s="73">
        <f t="shared" si="273"/>
        <v>22</v>
      </c>
      <c r="U214" s="66" t="str">
        <f t="shared" si="274"/>
        <v>M12 – Ž12</v>
      </c>
      <c r="V214" s="47" t="s">
        <v>0</v>
      </c>
      <c r="W214" s="222" t="str">
        <f t="shared" si="275"/>
        <v>Ž12</v>
      </c>
      <c r="X214" s="223">
        <f t="shared" si="276"/>
        <v>35</v>
      </c>
      <c r="Y214" s="47" t="s">
        <v>0</v>
      </c>
      <c r="Z214" s="52" t="str">
        <f t="shared" si="311"/>
        <v>CRO</v>
      </c>
      <c r="AA214" s="73">
        <f t="shared" si="277"/>
        <v>1</v>
      </c>
      <c r="AB214" s="31" t="str">
        <f t="shared" si="312"/>
        <v/>
      </c>
      <c r="AC214" s="66" t="str">
        <f>IF(AB214="","",MAX(AC$12:AC213)+1)</f>
        <v/>
      </c>
      <c r="AD214" s="47" t="s">
        <v>0</v>
      </c>
      <c r="AE214" s="125"/>
      <c r="AF214" s="47" t="s">
        <v>0</v>
      </c>
      <c r="AG214" s="19" t="str">
        <f t="shared" si="313"/>
        <v/>
      </c>
      <c r="AH214" s="47" t="s">
        <v>0</v>
      </c>
      <c r="AI214" s="143" t="str">
        <f t="shared" si="314"/>
        <v>CRO</v>
      </c>
      <c r="AJ214" s="47"/>
      <c r="AK214" s="52" t="str">
        <f t="shared" si="315"/>
        <v>Gloria</v>
      </c>
      <c r="AL214" s="31" t="str">
        <f t="shared" si="316"/>
        <v>Šantić</v>
      </c>
      <c r="AM214" s="73">
        <f t="shared" si="317"/>
        <v>1542</v>
      </c>
      <c r="AN214" s="73" t="str">
        <f t="shared" si="318"/>
        <v/>
      </c>
      <c r="AO214" s="31" t="str">
        <f t="shared" si="278"/>
        <v>Gloria</v>
      </c>
      <c r="AP214" s="66" t="str">
        <f t="shared" si="279"/>
        <v>Šantić</v>
      </c>
      <c r="AQ214" s="47" t="s">
        <v>0</v>
      </c>
      <c r="AR214" s="82" t="str">
        <f t="shared" si="319"/>
        <v/>
      </c>
      <c r="AS214" s="47" t="s">
        <v>0</v>
      </c>
      <c r="AT214" s="19" t="str">
        <f t="shared" si="320"/>
        <v/>
      </c>
      <c r="AU214" s="47" t="s">
        <v>0</v>
      </c>
      <c r="AV214" s="103"/>
      <c r="AW214" s="105"/>
      <c r="AX214" s="47" t="s">
        <v>0</v>
      </c>
      <c r="AY214" s="259" t="str">
        <f t="shared" si="343"/>
        <v/>
      </c>
      <c r="AZ214" s="47" t="s">
        <v>0</v>
      </c>
      <c r="BA214" s="52" t="str">
        <f t="shared" si="280"/>
        <v/>
      </c>
      <c r="BB214" s="73" t="str">
        <f>IF(AV214&amp;AW214="","",MAX(BB$12:BB213)+1)</f>
        <v/>
      </c>
      <c r="BC214" s="272" t="str">
        <f t="shared" si="281"/>
        <v/>
      </c>
      <c r="BD214" s="53" t="str">
        <f>IF(AND(AM214="NEMA",AN214="NEMA",OR(AV214&amp;AW214="",BC214="NEMA")),MAX(BD$12:BD213)+1,"")</f>
        <v/>
      </c>
      <c r="BE214" s="47" t="s">
        <v>0</v>
      </c>
      <c r="BF214" s="52" t="str">
        <f t="shared" si="321"/>
        <v>Gloria</v>
      </c>
      <c r="BG214" s="66" t="str">
        <f t="shared" si="322"/>
        <v>Šantić</v>
      </c>
      <c r="BH214" s="47" t="s">
        <v>0</v>
      </c>
      <c r="BI214" s="52" t="str">
        <f t="shared" si="282"/>
        <v>BJE</v>
      </c>
      <c r="BJ214" s="31" t="str">
        <f t="shared" si="283"/>
        <v>OK Bjelovar</v>
      </c>
      <c r="BK214" s="73" t="str">
        <f t="shared" si="284"/>
        <v/>
      </c>
      <c r="BL214" s="31" t="str" cm="1">
        <f t="array" ref="BL214">IF(BK214="",""&amp;BJ214,IF(BK214="NEMA",BJ214,INDEX(regKlub_naziv,MATCH(INDEX(regKlub_alias_klubId,BK214),regKlub_id,0))))</f>
        <v>OK Bjelovar</v>
      </c>
      <c r="BM214" s="31" t="str" cm="1">
        <f t="array" ref="BM214">IFERROR(""&amp;INDEX(regNatjecatelj_klub,DV214),"")</f>
        <v>OK Bjelovar</v>
      </c>
      <c r="BN214" s="88" t="str">
        <f t="shared" si="323"/>
        <v/>
      </c>
      <c r="BO214" s="66" t="str">
        <f t="shared" si="324"/>
        <v>OK Bjelovar</v>
      </c>
      <c r="BP214" s="47" t="s">
        <v>0</v>
      </c>
      <c r="BQ214" s="52" t="str">
        <f>IF(X214&lt;&gt;"NEMA","",IF(IFERROR(MATCH(W214,W$12:W213,0),0)&lt;&gt;0,"",W214))</f>
        <v/>
      </c>
      <c r="BR214" s="73" t="str">
        <f t="shared" si="325"/>
        <v/>
      </c>
      <c r="BS214" s="31" t="str">
        <f>IF(OR(BR214="",BR214&lt;&gt;"NEMA"),"",MAX(BS$12:BS213)+1)</f>
        <v/>
      </c>
      <c r="BT214" s="66" t="str">
        <f t="shared" si="326"/>
        <v/>
      </c>
      <c r="BU214" s="47" t="s">
        <v>0</v>
      </c>
      <c r="BV214" s="19" t="str">
        <f t="shared" si="327"/>
        <v/>
      </c>
      <c r="BW214" s="47" t="s">
        <v>0</v>
      </c>
      <c r="BX214" s="82" t="str">
        <f>IF(BK214&lt;&gt;"NEMA","",IF(IFERROR(MATCH(BJ214,BJ$12:BJ213,0),0)&lt;&gt;0,"",BJ214))</f>
        <v/>
      </c>
      <c r="BY214" s="47" t="s">
        <v>0</v>
      </c>
      <c r="BZ214" s="125"/>
      <c r="CA214" s="47" t="s">
        <v>0</v>
      </c>
      <c r="CB214" s="58" t="str">
        <f t="shared" si="328"/>
        <v/>
      </c>
      <c r="CC214" s="31" t="str">
        <f t="shared" si="329"/>
        <v/>
      </c>
      <c r="CD214" s="31" t="str">
        <f>IF(CC214="","",MAX(CD$12:CD213)+1)</f>
        <v/>
      </c>
      <c r="CE214" s="31" t="str">
        <f t="shared" si="285"/>
        <v/>
      </c>
      <c r="CF214" s="31" t="str">
        <f t="shared" si="330"/>
        <v/>
      </c>
      <c r="CG214" s="31" t="str">
        <f>IF(BZ214="","",MAX(CG$12:CG213)+1)</f>
        <v/>
      </c>
      <c r="CH214" s="31" t="str">
        <f t="shared" si="331"/>
        <v/>
      </c>
      <c r="CI214" s="66" t="str">
        <f t="shared" si="332"/>
        <v/>
      </c>
      <c r="CJ214" s="47" t="s">
        <v>0</v>
      </c>
      <c r="CK214" s="73" t="str">
        <f t="shared" si="286"/>
        <v/>
      </c>
      <c r="CL214" s="47"/>
      <c r="CM214" s="19" t="str">
        <f t="shared" si="333"/>
        <v/>
      </c>
      <c r="CN214" s="47" t="s">
        <v>0</v>
      </c>
      <c r="CO214" s="143" t="str">
        <f t="shared" si="334"/>
        <v>OK Bjelovar</v>
      </c>
      <c r="CP214" s="47" t="s">
        <v>0</v>
      </c>
      <c r="CQ214" s="58" t="str">
        <f t="shared" si="270"/>
        <v>36:23</v>
      </c>
      <c r="CR214" s="73" t="str">
        <f t="shared" si="271"/>
        <v>0</v>
      </c>
      <c r="CS214" s="229" t="str">
        <f t="shared" si="287"/>
        <v/>
      </c>
      <c r="CT214" s="230">
        <f t="shared" si="272"/>
        <v>2183</v>
      </c>
      <c r="CU214" s="163">
        <f t="shared" si="288"/>
        <v>1</v>
      </c>
      <c r="CV214" s="47" t="s">
        <v>0</v>
      </c>
      <c r="CW214" s="222" t="str">
        <f t="shared" si="335"/>
        <v xml:space="preserve">
</v>
      </c>
      <c r="CX214" s="223">
        <f t="shared" si="336"/>
        <v>6</v>
      </c>
      <c r="CY214" s="47" t="s">
        <v>0</v>
      </c>
      <c r="CZ214" s="47"/>
      <c r="DA214" s="47"/>
      <c r="DB214" s="47"/>
      <c r="DC214" s="47" t="s">
        <v>0</v>
      </c>
      <c r="DD214" s="53" t="str">
        <f t="shared" si="344"/>
        <v/>
      </c>
      <c r="DE214" t="s">
        <v>0</v>
      </c>
      <c r="DF214" s="128" t="str">
        <f t="shared" si="345"/>
        <v>Ž</v>
      </c>
      <c r="DG214" t="s">
        <v>0</v>
      </c>
      <c r="DH214" s="52" t="str">
        <f t="shared" si="346"/>
        <v/>
      </c>
      <c r="DI214" s="66" t="str">
        <f t="shared" si="347"/>
        <v/>
      </c>
      <c r="DJ214" t="s">
        <v>0</v>
      </c>
      <c r="DK214" s="19" t="str">
        <f t="shared" si="348"/>
        <v/>
      </c>
      <c r="DL214" s="47" t="s">
        <v>0</v>
      </c>
      <c r="DM214" s="19" t="str">
        <f t="shared" si="349"/>
        <v/>
      </c>
      <c r="DN214" s="47" t="s">
        <v>0</v>
      </c>
      <c r="DO214" s="52" t="str">
        <f t="shared" si="289"/>
        <v>Gloria – Šantić – OK Bjelovar – Ž12</v>
      </c>
      <c r="DP214" s="53">
        <f t="shared" si="290"/>
        <v>24</v>
      </c>
      <c r="DQ214" s="47" t="s">
        <v>0</v>
      </c>
      <c r="DR214" s="52" t="str">
        <f t="shared" si="291"/>
        <v>Gloria – Šantić – OK Bjelovar</v>
      </c>
      <c r="DS214" s="53">
        <f t="shared" si="292"/>
        <v>24</v>
      </c>
      <c r="DT214" s="47" t="s">
        <v>0</v>
      </c>
      <c r="DU214" s="52" t="str">
        <f t="shared" si="293"/>
        <v>Gloria – Šantić</v>
      </c>
      <c r="DV214" s="53">
        <f t="shared" si="294"/>
        <v>24</v>
      </c>
      <c r="DW214" s="47" t="s">
        <v>0</v>
      </c>
      <c r="DX214" s="58">
        <f t="shared" si="337"/>
        <v>24</v>
      </c>
      <c r="DY214" s="53" cm="1">
        <f t="array" ref="DY214">IF(DX214&lt;&gt;"",INDEX(regNatjecatelj_id,DX214,0),IF(BD214&lt;&gt;"",BD214,""))</f>
        <v>1542</v>
      </c>
      <c r="DZ214" s="47" t="s">
        <v>0</v>
      </c>
      <c r="EA214" s="58" t="str">
        <f t="shared" si="295"/>
        <v>imepre</v>
      </c>
      <c r="EB214" s="73" t="str">
        <f t="shared" si="296"/>
        <v>klu</v>
      </c>
      <c r="EC214" s="73" t="str">
        <f t="shared" si="297"/>
        <v>kat</v>
      </c>
      <c r="ED214" s="73" t="str">
        <f t="shared" si="298"/>
        <v/>
      </c>
      <c r="EE214" s="66" t="str">
        <f t="shared" si="299"/>
        <v>imepre-klu-kat</v>
      </c>
      <c r="EF214" s="47" t="s">
        <v>0</v>
      </c>
      <c r="EG214" s="58">
        <f>IF(AL214="","",MAX(EG$12:EG213)+1)</f>
        <v>374</v>
      </c>
      <c r="EH214" s="73">
        <f t="shared" si="300"/>
        <v>35</v>
      </c>
      <c r="EI214" s="73">
        <f t="shared" si="338"/>
        <v>1542</v>
      </c>
      <c r="EJ214" s="73">
        <f t="shared" si="301"/>
        <v>2183</v>
      </c>
      <c r="EK214" s="73">
        <f t="shared" si="302"/>
        <v>1</v>
      </c>
      <c r="EL214" s="73">
        <f t="shared" si="339"/>
        <v>1</v>
      </c>
      <c r="EM214" s="73">
        <f t="shared" si="340"/>
        <v>1</v>
      </c>
      <c r="EN214" s="73" t="str">
        <f t="shared" si="303"/>
        <v>0</v>
      </c>
      <c r="EO214" s="73" t="str">
        <f t="shared" si="304"/>
        <v/>
      </c>
      <c r="EP214" s="73" t="str">
        <f t="shared" si="305"/>
        <v/>
      </c>
      <c r="EQ214" s="53" t="str">
        <f t="shared" si="306"/>
        <v/>
      </c>
      <c r="ER214" s="47" t="s">
        <v>0</v>
      </c>
      <c r="ES214" s="19" t="str">
        <f t="shared" si="341"/>
        <v>INSERT INTO rezultat(id,stazakategorija_id,imeprezime_id,vrijeme_sec,status_id,registracija,uparivanje_id,originalstatus_id,imeprezimealias_id,klubalias_id,kategorijaalias_id) VALUES (374,35,1542,2183,1,1,1,0,Null,Null,Null);</v>
      </c>
      <c r="ET214" s="47" t="s">
        <v>0</v>
      </c>
      <c r="EU214" s="19" t="str">
        <f t="shared" si="342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4" s="47" t="s">
        <v>0</v>
      </c>
      <c r="EW214" s="180" t="str">
        <f t="shared" si="307"/>
        <v xml:space="preserve">
INSERT INTO rezultat(id,stazakategorija_id,imeprezime_id,vrijeme_sec,status_id,registracija,uparivanje_id,originalstatus_id,imeprezimealias_id,klubalias_id,kategorijaalias_id) VALUES (374,35,1542,2183,1,1,1,0,Null,Null,Null);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4" s="47" t="s">
        <v>0</v>
      </c>
    </row>
    <row r="215" spans="1:154" x14ac:dyDescent="0.25">
      <c r="A215" t="s">
        <v>0</v>
      </c>
      <c r="B215" s="52" t="str">
        <f>IF(csv!F205="","",csv!T205)</f>
        <v>Ž12</v>
      </c>
      <c r="C215" s="31" t="s">
        <v>0</v>
      </c>
      <c r="D215" s="31" t="str">
        <f>IF(csv!F205="","",csv!F205)</f>
        <v>Nika</v>
      </c>
      <c r="E215" s="31" t="str">
        <f>IF(csv!E205="","",csv!E205)</f>
        <v>Kuzmanić</v>
      </c>
      <c r="F215" s="31" t="s">
        <v>0</v>
      </c>
      <c r="G215" s="73" t="str">
        <f>IF(csv!M205="","",csv!M205)</f>
        <v>47:44</v>
      </c>
      <c r="H215" s="73" t="str">
        <f>IF(csv!N205="","",csv!N205)</f>
        <v>0</v>
      </c>
      <c r="I215" s="31" t="s">
        <v>0</v>
      </c>
      <c r="J215" s="31" t="str">
        <f>IF(csv!P205="","",csv!P205)</f>
        <v>OK Varaždin</v>
      </c>
      <c r="K215" s="31" t="str">
        <f>IF(csv!Q205="","",csv!Q205)</f>
        <v>OK Varaždin</v>
      </c>
      <c r="L215" s="31" t="s">
        <v>0</v>
      </c>
      <c r="M215" s="66" t="str">
        <f>IF(csv!R205="","",csv!R205)</f>
        <v>CRO</v>
      </c>
      <c r="N215" s="47" t="s">
        <v>0</v>
      </c>
      <c r="O215" s="246" t="str">
        <f t="shared" si="308"/>
        <v>ok</v>
      </c>
      <c r="P215" s="47"/>
      <c r="Q215" s="52" t="str">
        <f t="shared" si="309"/>
        <v>Ž12</v>
      </c>
      <c r="R215" s="73">
        <f>IF(Q215="","",IF(COUNTIF(Q$12:Q214,Q215)=0,R214+1,R214))</f>
        <v>13</v>
      </c>
      <c r="S215" s="73">
        <f t="shared" si="310"/>
        <v>122</v>
      </c>
      <c r="T215" s="73">
        <f t="shared" si="273"/>
        <v>22</v>
      </c>
      <c r="U215" s="66" t="str">
        <f t="shared" si="274"/>
        <v>M12 – Ž12</v>
      </c>
      <c r="V215" s="47" t="s">
        <v>0</v>
      </c>
      <c r="W215" s="222" t="str">
        <f t="shared" si="275"/>
        <v>Ž12</v>
      </c>
      <c r="X215" s="223">
        <f t="shared" si="276"/>
        <v>35</v>
      </c>
      <c r="Y215" s="47" t="s">
        <v>0</v>
      </c>
      <c r="Z215" s="52" t="str">
        <f t="shared" si="311"/>
        <v>CRO</v>
      </c>
      <c r="AA215" s="73">
        <f t="shared" si="277"/>
        <v>1</v>
      </c>
      <c r="AB215" s="31" t="str">
        <f t="shared" si="312"/>
        <v/>
      </c>
      <c r="AC215" s="66" t="str">
        <f>IF(AB215="","",MAX(AC$12:AC214)+1)</f>
        <v/>
      </c>
      <c r="AD215" s="47" t="s">
        <v>0</v>
      </c>
      <c r="AE215" s="125"/>
      <c r="AF215" s="47" t="s">
        <v>0</v>
      </c>
      <c r="AG215" s="19" t="str">
        <f t="shared" si="313"/>
        <v/>
      </c>
      <c r="AH215" s="47" t="s">
        <v>0</v>
      </c>
      <c r="AI215" s="143" t="str">
        <f t="shared" si="314"/>
        <v>CRO</v>
      </c>
      <c r="AJ215" s="47"/>
      <c r="AK215" s="52" t="str">
        <f t="shared" si="315"/>
        <v>Nika</v>
      </c>
      <c r="AL215" s="31" t="str">
        <f t="shared" si="316"/>
        <v>Kuzmanić</v>
      </c>
      <c r="AM215" s="73">
        <f t="shared" si="317"/>
        <v>1538</v>
      </c>
      <c r="AN215" s="73" t="str">
        <f t="shared" si="318"/>
        <v/>
      </c>
      <c r="AO215" s="31" t="str">
        <f t="shared" si="278"/>
        <v>Nika</v>
      </c>
      <c r="AP215" s="66" t="str">
        <f t="shared" si="279"/>
        <v>Kuzmanić</v>
      </c>
      <c r="AQ215" s="47" t="s">
        <v>0</v>
      </c>
      <c r="AR215" s="82" t="str">
        <f t="shared" si="319"/>
        <v/>
      </c>
      <c r="AS215" s="47" t="s">
        <v>0</v>
      </c>
      <c r="AT215" s="19" t="str">
        <f t="shared" si="320"/>
        <v/>
      </c>
      <c r="AU215" s="47" t="s">
        <v>0</v>
      </c>
      <c r="AV215" s="103"/>
      <c r="AW215" s="105"/>
      <c r="AX215" s="47" t="s">
        <v>0</v>
      </c>
      <c r="AY215" s="259" t="str">
        <f t="shared" si="343"/>
        <v/>
      </c>
      <c r="AZ215" s="47" t="s">
        <v>0</v>
      </c>
      <c r="BA215" s="52" t="str">
        <f t="shared" si="280"/>
        <v/>
      </c>
      <c r="BB215" s="73" t="str">
        <f>IF(AV215&amp;AW215="","",MAX(BB$12:BB214)+1)</f>
        <v/>
      </c>
      <c r="BC215" s="272" t="str">
        <f t="shared" si="281"/>
        <v/>
      </c>
      <c r="BD215" s="53" t="str">
        <f>IF(AND(AM215="NEMA",AN215="NEMA",OR(AV215&amp;AW215="",BC215="NEMA")),MAX(BD$12:BD214)+1,"")</f>
        <v/>
      </c>
      <c r="BE215" s="47" t="s">
        <v>0</v>
      </c>
      <c r="BF215" s="52" t="str">
        <f t="shared" si="321"/>
        <v>Nika</v>
      </c>
      <c r="BG215" s="66" t="str">
        <f t="shared" si="322"/>
        <v>Kuzmanić</v>
      </c>
      <c r="BH215" s="47" t="s">
        <v>0</v>
      </c>
      <c r="BI215" s="52" t="str">
        <f t="shared" si="282"/>
        <v>OK Varaždin</v>
      </c>
      <c r="BJ215" s="31" t="str">
        <f t="shared" si="283"/>
        <v>OK Varaždin</v>
      </c>
      <c r="BK215" s="73" t="str">
        <f t="shared" si="284"/>
        <v/>
      </c>
      <c r="BL215" s="31" t="str" cm="1">
        <f t="array" ref="BL215">IF(BK215="",""&amp;BJ215,IF(BK215="NEMA",BJ215,INDEX(regKlub_naziv,MATCH(INDEX(regKlub_alias_klubId,BK215),regKlub_id,0))))</f>
        <v>OK Varaždin</v>
      </c>
      <c r="BM215" s="31" t="str" cm="1">
        <f t="array" ref="BM215">IFERROR(""&amp;INDEX(regNatjecatelj_klub,DV215),"")</f>
        <v>OK Varaždin</v>
      </c>
      <c r="BN215" s="88" t="str">
        <f t="shared" si="323"/>
        <v/>
      </c>
      <c r="BO215" s="66" t="str">
        <f t="shared" si="324"/>
        <v>OK Varaždin</v>
      </c>
      <c r="BP215" s="47" t="s">
        <v>0</v>
      </c>
      <c r="BQ215" s="52" t="str">
        <f>IF(X215&lt;&gt;"NEMA","",IF(IFERROR(MATCH(W215,W$12:W214,0),0)&lt;&gt;0,"",W215))</f>
        <v/>
      </c>
      <c r="BR215" s="73" t="str">
        <f t="shared" si="325"/>
        <v/>
      </c>
      <c r="BS215" s="31" t="str">
        <f>IF(OR(BR215="",BR215&lt;&gt;"NEMA"),"",MAX(BS$12:BS214)+1)</f>
        <v/>
      </c>
      <c r="BT215" s="66" t="str">
        <f t="shared" si="326"/>
        <v/>
      </c>
      <c r="BU215" s="47" t="s">
        <v>0</v>
      </c>
      <c r="BV215" s="19" t="str">
        <f t="shared" si="327"/>
        <v/>
      </c>
      <c r="BW215" s="47" t="s">
        <v>0</v>
      </c>
      <c r="BX215" s="82" t="str">
        <f>IF(BK215&lt;&gt;"NEMA","",IF(IFERROR(MATCH(BJ215,BJ$12:BJ214,0),0)&lt;&gt;0,"",BJ215))</f>
        <v/>
      </c>
      <c r="BY215" s="47" t="s">
        <v>0</v>
      </c>
      <c r="BZ215" s="125"/>
      <c r="CA215" s="47" t="s">
        <v>0</v>
      </c>
      <c r="CB215" s="58" t="str">
        <f t="shared" si="328"/>
        <v/>
      </c>
      <c r="CC215" s="31" t="str">
        <f t="shared" si="329"/>
        <v/>
      </c>
      <c r="CD215" s="31" t="str">
        <f>IF(CC215="","",MAX(CD$12:CD214)+1)</f>
        <v/>
      </c>
      <c r="CE215" s="31" t="str">
        <f t="shared" si="285"/>
        <v/>
      </c>
      <c r="CF215" s="31" t="str">
        <f t="shared" si="330"/>
        <v/>
      </c>
      <c r="CG215" s="31" t="str">
        <f>IF(BZ215="","",MAX(CG$12:CG214)+1)</f>
        <v/>
      </c>
      <c r="CH215" s="31" t="str">
        <f t="shared" si="331"/>
        <v/>
      </c>
      <c r="CI215" s="66" t="str">
        <f t="shared" si="332"/>
        <v/>
      </c>
      <c r="CJ215" s="47" t="s">
        <v>0</v>
      </c>
      <c r="CK215" s="73" t="str">
        <f t="shared" si="286"/>
        <v/>
      </c>
      <c r="CL215" s="47"/>
      <c r="CM215" s="19" t="str">
        <f t="shared" si="333"/>
        <v/>
      </c>
      <c r="CN215" s="47" t="s">
        <v>0</v>
      </c>
      <c r="CO215" s="143" t="str">
        <f t="shared" si="334"/>
        <v>OK Varaždin</v>
      </c>
      <c r="CP215" s="47" t="s">
        <v>0</v>
      </c>
      <c r="CQ215" s="58" t="str">
        <f t="shared" si="270"/>
        <v>47:44</v>
      </c>
      <c r="CR215" s="73" t="str">
        <f t="shared" si="271"/>
        <v>0</v>
      </c>
      <c r="CS215" s="229" t="str">
        <f t="shared" si="287"/>
        <v/>
      </c>
      <c r="CT215" s="230">
        <f t="shared" si="272"/>
        <v>2864</v>
      </c>
      <c r="CU215" s="163">
        <f t="shared" si="288"/>
        <v>1</v>
      </c>
      <c r="CV215" s="47" t="s">
        <v>0</v>
      </c>
      <c r="CW215" s="222" t="str">
        <f t="shared" si="335"/>
        <v xml:space="preserve">
</v>
      </c>
      <c r="CX215" s="223">
        <f t="shared" si="336"/>
        <v>6</v>
      </c>
      <c r="CY215" s="47" t="s">
        <v>0</v>
      </c>
      <c r="CZ215" s="47"/>
      <c r="DA215" s="47"/>
      <c r="DB215" s="47"/>
      <c r="DC215" s="47" t="s">
        <v>0</v>
      </c>
      <c r="DD215" s="53" t="str">
        <f t="shared" si="344"/>
        <v/>
      </c>
      <c r="DE215" t="s">
        <v>0</v>
      </c>
      <c r="DF215" s="128" t="str">
        <f t="shared" si="345"/>
        <v>Ž</v>
      </c>
      <c r="DG215" t="s">
        <v>0</v>
      </c>
      <c r="DH215" s="52" t="str">
        <f t="shared" si="346"/>
        <v/>
      </c>
      <c r="DI215" s="66" t="str">
        <f t="shared" si="347"/>
        <v/>
      </c>
      <c r="DJ215" t="s">
        <v>0</v>
      </c>
      <c r="DK215" s="19" t="str">
        <f t="shared" si="348"/>
        <v/>
      </c>
      <c r="DL215" s="47" t="s">
        <v>0</v>
      </c>
      <c r="DM215" s="19" t="str">
        <f t="shared" si="349"/>
        <v/>
      </c>
      <c r="DN215" s="47" t="s">
        <v>0</v>
      </c>
      <c r="DO215" s="52" t="str">
        <f t="shared" si="289"/>
        <v>Nika – Kuzmanić – OK Varaždin – Ž12</v>
      </c>
      <c r="DP215" s="53">
        <f t="shared" si="290"/>
        <v>549</v>
      </c>
      <c r="DQ215" s="47" t="s">
        <v>0</v>
      </c>
      <c r="DR215" s="52" t="str">
        <f t="shared" si="291"/>
        <v>Nika – Kuzmanić – OK Varaždin</v>
      </c>
      <c r="DS215" s="53">
        <f t="shared" si="292"/>
        <v>549</v>
      </c>
      <c r="DT215" s="47" t="s">
        <v>0</v>
      </c>
      <c r="DU215" s="52" t="str">
        <f t="shared" si="293"/>
        <v>Nika – Kuzmanić</v>
      </c>
      <c r="DV215" s="53">
        <f t="shared" si="294"/>
        <v>549</v>
      </c>
      <c r="DW215" s="47" t="s">
        <v>0</v>
      </c>
      <c r="DX215" s="58">
        <f t="shared" si="337"/>
        <v>549</v>
      </c>
      <c r="DY215" s="53" cm="1">
        <f t="array" ref="DY215">IF(DX215&lt;&gt;"",INDEX(regNatjecatelj_id,DX215,0),IF(BD215&lt;&gt;"",BD215,""))</f>
        <v>1538</v>
      </c>
      <c r="DZ215" s="47" t="s">
        <v>0</v>
      </c>
      <c r="EA215" s="58" t="str">
        <f t="shared" si="295"/>
        <v>imepre</v>
      </c>
      <c r="EB215" s="73" t="str">
        <f t="shared" si="296"/>
        <v>klu</v>
      </c>
      <c r="EC215" s="73" t="str">
        <f t="shared" si="297"/>
        <v>kat</v>
      </c>
      <c r="ED215" s="73" t="str">
        <f t="shared" si="298"/>
        <v/>
      </c>
      <c r="EE215" s="66" t="str">
        <f t="shared" si="299"/>
        <v>imepre-klu-kat</v>
      </c>
      <c r="EF215" s="47" t="s">
        <v>0</v>
      </c>
      <c r="EG215" s="58">
        <f>IF(AL215="","",MAX(EG$12:EG214)+1)</f>
        <v>375</v>
      </c>
      <c r="EH215" s="73">
        <f t="shared" si="300"/>
        <v>35</v>
      </c>
      <c r="EI215" s="73">
        <f t="shared" si="338"/>
        <v>1538</v>
      </c>
      <c r="EJ215" s="73">
        <f t="shared" si="301"/>
        <v>2864</v>
      </c>
      <c r="EK215" s="73">
        <f t="shared" si="302"/>
        <v>1</v>
      </c>
      <c r="EL215" s="73">
        <f t="shared" si="339"/>
        <v>1</v>
      </c>
      <c r="EM215" s="73">
        <f t="shared" si="340"/>
        <v>1</v>
      </c>
      <c r="EN215" s="73" t="str">
        <f t="shared" si="303"/>
        <v>0</v>
      </c>
      <c r="EO215" s="73" t="str">
        <f t="shared" si="304"/>
        <v/>
      </c>
      <c r="EP215" s="73" t="str">
        <f t="shared" si="305"/>
        <v/>
      </c>
      <c r="EQ215" s="53" t="str">
        <f t="shared" si="306"/>
        <v/>
      </c>
      <c r="ER215" s="47" t="s">
        <v>0</v>
      </c>
      <c r="ES215" s="19" t="str">
        <f t="shared" si="341"/>
        <v>INSERT INTO rezultat(id,stazakategorija_id,imeprezime_id,vrijeme_sec,status_id,registracija,uparivanje_id,originalstatus_id,imeprezimealias_id,klubalias_id,kategorijaalias_id) VALUES (375,35,1538,2864,1,1,1,0,Null,Null,Null);</v>
      </c>
      <c r="ET215" s="47" t="s">
        <v>0</v>
      </c>
      <c r="EU215" s="19" t="str">
        <f t="shared" si="342"/>
        <v>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5" s="47" t="s">
        <v>0</v>
      </c>
      <c r="EW215" s="180" t="str">
        <f t="shared" si="307"/>
        <v xml:space="preserve">
INSERT INTO rezultat(id,stazakategorija_id,imeprezime_id,vrijeme_sec,status_id,registracija,uparivanje_id,originalstatus_id,imeprezimealias_id,klubalias_id,kategorijaalias_id) VALUES (375,35,1538,2864,1,1,1,0,Null,Null,Null);
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5" s="47" t="s">
        <v>0</v>
      </c>
    </row>
    <row r="216" spans="1:154" x14ac:dyDescent="0.25">
      <c r="A216" t="s">
        <v>0</v>
      </c>
      <c r="B216" s="52" t="str">
        <f>IF(csv!F206="","",csv!T206)</f>
        <v>Ž12</v>
      </c>
      <c r="C216" s="31" t="s">
        <v>0</v>
      </c>
      <c r="D216" s="31" t="str">
        <f>IF(csv!F206="","",csv!F206)</f>
        <v>Ema</v>
      </c>
      <c r="E216" s="31" t="str">
        <f>IF(csv!E206="","",csv!E206)</f>
        <v>Juričan</v>
      </c>
      <c r="F216" s="31" t="s">
        <v>0</v>
      </c>
      <c r="G216" s="73" t="str">
        <f>IF(csv!M206="","",csv!M206)</f>
        <v>56:40</v>
      </c>
      <c r="H216" s="73" t="str">
        <f>IF(csv!N206="","",csv!N206)</f>
        <v>0</v>
      </c>
      <c r="I216" s="31" t="s">
        <v>0</v>
      </c>
      <c r="J216" s="31" t="str">
        <f>IF(csv!P206="","",csv!P206)</f>
        <v>OK Varaždin</v>
      </c>
      <c r="K216" s="31" t="str">
        <f>IF(csv!Q206="","",csv!Q206)</f>
        <v>OK Varaždin</v>
      </c>
      <c r="L216" s="31" t="s">
        <v>0</v>
      </c>
      <c r="M216" s="66" t="str">
        <f>IF(csv!R206="","",csv!R206)</f>
        <v>CRO</v>
      </c>
      <c r="N216" s="47" t="s">
        <v>0</v>
      </c>
      <c r="O216" s="246" t="str">
        <f t="shared" si="308"/>
        <v>ok</v>
      </c>
      <c r="P216" s="47"/>
      <c r="Q216" s="52" t="str">
        <f t="shared" si="309"/>
        <v>Ž12</v>
      </c>
      <c r="R216" s="73">
        <f>IF(Q216="","",IF(COUNTIF(Q$12:Q215,Q216)=0,R215+1,R215))</f>
        <v>13</v>
      </c>
      <c r="S216" s="73">
        <f t="shared" si="310"/>
        <v>122</v>
      </c>
      <c r="T216" s="73">
        <f t="shared" si="273"/>
        <v>22</v>
      </c>
      <c r="U216" s="66" t="str">
        <f t="shared" si="274"/>
        <v>M12 – Ž12</v>
      </c>
      <c r="V216" s="47" t="s">
        <v>0</v>
      </c>
      <c r="W216" s="222" t="str">
        <f t="shared" si="275"/>
        <v>Ž12</v>
      </c>
      <c r="X216" s="223">
        <f t="shared" si="276"/>
        <v>35</v>
      </c>
      <c r="Y216" s="47" t="s">
        <v>0</v>
      </c>
      <c r="Z216" s="52" t="str">
        <f t="shared" si="311"/>
        <v>CRO</v>
      </c>
      <c r="AA216" s="73">
        <f t="shared" si="277"/>
        <v>1</v>
      </c>
      <c r="AB216" s="31" t="str">
        <f t="shared" si="312"/>
        <v/>
      </c>
      <c r="AC216" s="66" t="str">
        <f>IF(AB216="","",MAX(AC$12:AC215)+1)</f>
        <v/>
      </c>
      <c r="AD216" s="47" t="s">
        <v>0</v>
      </c>
      <c r="AE216" s="125"/>
      <c r="AF216" s="47" t="s">
        <v>0</v>
      </c>
      <c r="AG216" s="19" t="str">
        <f t="shared" si="313"/>
        <v/>
      </c>
      <c r="AH216" s="47" t="s">
        <v>0</v>
      </c>
      <c r="AI216" s="143" t="str">
        <f t="shared" si="314"/>
        <v>CRO</v>
      </c>
      <c r="AJ216" s="47"/>
      <c r="AK216" s="52" t="str">
        <f t="shared" si="315"/>
        <v>Ema</v>
      </c>
      <c r="AL216" s="31" t="str">
        <f t="shared" si="316"/>
        <v>Juričan</v>
      </c>
      <c r="AM216" s="73">
        <f t="shared" si="317"/>
        <v>1186</v>
      </c>
      <c r="AN216" s="73" t="str">
        <f t="shared" si="318"/>
        <v/>
      </c>
      <c r="AO216" s="31" t="str">
        <f t="shared" si="278"/>
        <v>Ema</v>
      </c>
      <c r="AP216" s="66" t="str">
        <f t="shared" si="279"/>
        <v>Juričan</v>
      </c>
      <c r="AQ216" s="47" t="s">
        <v>0</v>
      </c>
      <c r="AR216" s="82" t="str">
        <f t="shared" si="319"/>
        <v/>
      </c>
      <c r="AS216" s="47" t="s">
        <v>0</v>
      </c>
      <c r="AT216" s="19" t="str">
        <f t="shared" si="320"/>
        <v/>
      </c>
      <c r="AU216" s="47" t="s">
        <v>0</v>
      </c>
      <c r="AV216" s="103"/>
      <c r="AW216" s="105"/>
      <c r="AX216" s="47" t="s">
        <v>0</v>
      </c>
      <c r="AY216" s="259" t="str">
        <f t="shared" si="343"/>
        <v/>
      </c>
      <c r="AZ216" s="47" t="s">
        <v>0</v>
      </c>
      <c r="BA216" s="52" t="str">
        <f t="shared" si="280"/>
        <v/>
      </c>
      <c r="BB216" s="73" t="str">
        <f>IF(AV216&amp;AW216="","",MAX(BB$12:BB215)+1)</f>
        <v/>
      </c>
      <c r="BC216" s="272" t="str">
        <f t="shared" si="281"/>
        <v/>
      </c>
      <c r="BD216" s="53" t="str">
        <f>IF(AND(AM216="NEMA",AN216="NEMA",OR(AV216&amp;AW216="",BC216="NEMA")),MAX(BD$12:BD215)+1,"")</f>
        <v/>
      </c>
      <c r="BE216" s="47" t="s">
        <v>0</v>
      </c>
      <c r="BF216" s="52" t="str">
        <f t="shared" si="321"/>
        <v>Ema</v>
      </c>
      <c r="BG216" s="66" t="str">
        <f t="shared" si="322"/>
        <v>Juričan</v>
      </c>
      <c r="BH216" s="47" t="s">
        <v>0</v>
      </c>
      <c r="BI216" s="52" t="str">
        <f t="shared" si="282"/>
        <v>OK Varaždin</v>
      </c>
      <c r="BJ216" s="31" t="str">
        <f t="shared" si="283"/>
        <v>OK Varaždin</v>
      </c>
      <c r="BK216" s="73" t="str">
        <f t="shared" si="284"/>
        <v/>
      </c>
      <c r="BL216" s="31" t="str" cm="1">
        <f t="array" ref="BL216">IF(BK216="",""&amp;BJ216,IF(BK216="NEMA",BJ216,INDEX(regKlub_naziv,MATCH(INDEX(regKlub_alias_klubId,BK216),regKlub_id,0))))</f>
        <v>OK Varaždin</v>
      </c>
      <c r="BM216" s="31" t="str" cm="1">
        <f t="array" ref="BM216">IFERROR(""&amp;INDEX(regNatjecatelj_klub,DV216),"")</f>
        <v>OK Varaždin</v>
      </c>
      <c r="BN216" s="88" t="str">
        <f t="shared" si="323"/>
        <v/>
      </c>
      <c r="BO216" s="66" t="str">
        <f t="shared" si="324"/>
        <v>OK Varaždin</v>
      </c>
      <c r="BP216" s="47" t="s">
        <v>0</v>
      </c>
      <c r="BQ216" s="52" t="str">
        <f>IF(X216&lt;&gt;"NEMA","",IF(IFERROR(MATCH(W216,W$12:W215,0),0)&lt;&gt;0,"",W216))</f>
        <v/>
      </c>
      <c r="BR216" s="73" t="str">
        <f t="shared" si="325"/>
        <v/>
      </c>
      <c r="BS216" s="31" t="str">
        <f>IF(OR(BR216="",BR216&lt;&gt;"NEMA"),"",MAX(BS$12:BS215)+1)</f>
        <v/>
      </c>
      <c r="BT216" s="66" t="str">
        <f t="shared" si="326"/>
        <v/>
      </c>
      <c r="BU216" s="47" t="s">
        <v>0</v>
      </c>
      <c r="BV216" s="19" t="str">
        <f t="shared" si="327"/>
        <v/>
      </c>
      <c r="BW216" s="47" t="s">
        <v>0</v>
      </c>
      <c r="BX216" s="82" t="str">
        <f>IF(BK216&lt;&gt;"NEMA","",IF(IFERROR(MATCH(BJ216,BJ$12:BJ215,0),0)&lt;&gt;0,"",BJ216))</f>
        <v/>
      </c>
      <c r="BY216" s="47" t="s">
        <v>0</v>
      </c>
      <c r="BZ216" s="125"/>
      <c r="CA216" s="47" t="s">
        <v>0</v>
      </c>
      <c r="CB216" s="58" t="str">
        <f t="shared" si="328"/>
        <v/>
      </c>
      <c r="CC216" s="31" t="str">
        <f t="shared" si="329"/>
        <v/>
      </c>
      <c r="CD216" s="31" t="str">
        <f>IF(CC216="","",MAX(CD$12:CD215)+1)</f>
        <v/>
      </c>
      <c r="CE216" s="31" t="str">
        <f t="shared" si="285"/>
        <v/>
      </c>
      <c r="CF216" s="31" t="str">
        <f t="shared" si="330"/>
        <v/>
      </c>
      <c r="CG216" s="31" t="str">
        <f>IF(BZ216="","",MAX(CG$12:CG215)+1)</f>
        <v/>
      </c>
      <c r="CH216" s="31" t="str">
        <f t="shared" si="331"/>
        <v/>
      </c>
      <c r="CI216" s="66" t="str">
        <f t="shared" si="332"/>
        <v/>
      </c>
      <c r="CJ216" s="47" t="s">
        <v>0</v>
      </c>
      <c r="CK216" s="73" t="str">
        <f t="shared" si="286"/>
        <v/>
      </c>
      <c r="CL216" s="47"/>
      <c r="CM216" s="19" t="str">
        <f t="shared" si="333"/>
        <v/>
      </c>
      <c r="CN216" s="47" t="s">
        <v>0</v>
      </c>
      <c r="CO216" s="143" t="str">
        <f t="shared" si="334"/>
        <v>OK Varaždin</v>
      </c>
      <c r="CP216" s="47" t="s">
        <v>0</v>
      </c>
      <c r="CQ216" s="58" t="str">
        <f t="shared" si="270"/>
        <v>56:40</v>
      </c>
      <c r="CR216" s="73" t="str">
        <f t="shared" si="271"/>
        <v>0</v>
      </c>
      <c r="CS216" s="229" t="str">
        <f t="shared" si="287"/>
        <v/>
      </c>
      <c r="CT216" s="230">
        <f t="shared" si="272"/>
        <v>3400</v>
      </c>
      <c r="CU216" s="163">
        <f t="shared" si="288"/>
        <v>1</v>
      </c>
      <c r="CV216" s="47" t="s">
        <v>0</v>
      </c>
      <c r="CW216" s="222" t="str">
        <f t="shared" si="335"/>
        <v xml:space="preserve">
</v>
      </c>
      <c r="CX216" s="223">
        <f t="shared" si="336"/>
        <v>6</v>
      </c>
      <c r="CY216" s="47" t="s">
        <v>0</v>
      </c>
      <c r="CZ216" s="47"/>
      <c r="DA216" s="47"/>
      <c r="DB216" s="47"/>
      <c r="DC216" s="47" t="s">
        <v>0</v>
      </c>
      <c r="DD216" s="53" t="str">
        <f t="shared" si="344"/>
        <v/>
      </c>
      <c r="DE216" t="s">
        <v>0</v>
      </c>
      <c r="DF216" s="128" t="str">
        <f t="shared" si="345"/>
        <v>Ž</v>
      </c>
      <c r="DG216" t="s">
        <v>0</v>
      </c>
      <c r="DH216" s="52" t="str">
        <f t="shared" si="346"/>
        <v/>
      </c>
      <c r="DI216" s="66" t="str">
        <f t="shared" si="347"/>
        <v/>
      </c>
      <c r="DJ216" t="s">
        <v>0</v>
      </c>
      <c r="DK216" s="19" t="str">
        <f t="shared" si="348"/>
        <v/>
      </c>
      <c r="DL216" s="47" t="s">
        <v>0</v>
      </c>
      <c r="DM216" s="19" t="str">
        <f t="shared" si="349"/>
        <v/>
      </c>
      <c r="DN216" s="47" t="s">
        <v>0</v>
      </c>
      <c r="DO216" s="52" t="str">
        <f t="shared" si="289"/>
        <v>Ema – Juričan – OK Varaždin – Ž12</v>
      </c>
      <c r="DP216" s="53">
        <f t="shared" si="290"/>
        <v>540</v>
      </c>
      <c r="DQ216" s="47" t="s">
        <v>0</v>
      </c>
      <c r="DR216" s="52" t="str">
        <f t="shared" si="291"/>
        <v>Ema – Juričan – OK Varaždin</v>
      </c>
      <c r="DS216" s="53">
        <f t="shared" si="292"/>
        <v>540</v>
      </c>
      <c r="DT216" s="47" t="s">
        <v>0</v>
      </c>
      <c r="DU216" s="52" t="str">
        <f t="shared" si="293"/>
        <v>Ema – Juričan</v>
      </c>
      <c r="DV216" s="53">
        <f t="shared" si="294"/>
        <v>540</v>
      </c>
      <c r="DW216" s="47" t="s">
        <v>0</v>
      </c>
      <c r="DX216" s="58">
        <f t="shared" si="337"/>
        <v>540</v>
      </c>
      <c r="DY216" s="53" cm="1">
        <f t="array" ref="DY216">IF(DX216&lt;&gt;"",INDEX(regNatjecatelj_id,DX216,0),IF(BD216&lt;&gt;"",BD216,""))</f>
        <v>1186</v>
      </c>
      <c r="DZ216" s="47" t="s">
        <v>0</v>
      </c>
      <c r="EA216" s="58" t="str">
        <f t="shared" si="295"/>
        <v>imepre</v>
      </c>
      <c r="EB216" s="73" t="str">
        <f t="shared" si="296"/>
        <v>klu</v>
      </c>
      <c r="EC216" s="73" t="str">
        <f t="shared" si="297"/>
        <v>kat</v>
      </c>
      <c r="ED216" s="73" t="str">
        <f t="shared" si="298"/>
        <v/>
      </c>
      <c r="EE216" s="66" t="str">
        <f t="shared" si="299"/>
        <v>imepre-klu-kat</v>
      </c>
      <c r="EF216" s="47" t="s">
        <v>0</v>
      </c>
      <c r="EG216" s="58">
        <f>IF(AL216="","",MAX(EG$12:EG215)+1)</f>
        <v>376</v>
      </c>
      <c r="EH216" s="73">
        <f t="shared" si="300"/>
        <v>35</v>
      </c>
      <c r="EI216" s="73">
        <f t="shared" si="338"/>
        <v>1186</v>
      </c>
      <c r="EJ216" s="73">
        <f t="shared" si="301"/>
        <v>3400</v>
      </c>
      <c r="EK216" s="73">
        <f t="shared" si="302"/>
        <v>1</v>
      </c>
      <c r="EL216" s="73">
        <f t="shared" si="339"/>
        <v>1</v>
      </c>
      <c r="EM216" s="73">
        <f t="shared" si="340"/>
        <v>1</v>
      </c>
      <c r="EN216" s="73" t="str">
        <f t="shared" si="303"/>
        <v>0</v>
      </c>
      <c r="EO216" s="73" t="str">
        <f t="shared" si="304"/>
        <v/>
      </c>
      <c r="EP216" s="73" t="str">
        <f t="shared" si="305"/>
        <v/>
      </c>
      <c r="EQ216" s="53" t="str">
        <f t="shared" si="306"/>
        <v/>
      </c>
      <c r="ER216" s="47" t="s">
        <v>0</v>
      </c>
      <c r="ES216" s="19" t="str">
        <f t="shared" si="341"/>
        <v>INSERT INTO rezultat(id,stazakategorija_id,imeprezime_id,vrijeme_sec,status_id,registracija,uparivanje_id,originalstatus_id,imeprezimealias_id,klubalias_id,kategorijaalias_id) VALUES (376,35,1186,3400,1,1,1,0,Null,Null,Null);</v>
      </c>
      <c r="ET216" s="47" t="s">
        <v>0</v>
      </c>
      <c r="EU216" s="19" t="str">
        <f t="shared" si="342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6" s="47" t="s">
        <v>0</v>
      </c>
      <c r="EW216" s="180" t="str">
        <f t="shared" si="307"/>
        <v xml:space="preserve">
INSERT INTO rezultat(id,stazakategorija_id,imeprezime_id,vrijeme_sec,status_id,registracija,uparivanje_id,originalstatus_id,imeprezimealias_id,klubalias_id,kategorijaalias_id) VALUES (376,35,1186,3400,1,1,1,0,Null,Null,Null);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6" s="47" t="s">
        <v>0</v>
      </c>
    </row>
    <row r="217" spans="1:154" x14ac:dyDescent="0.25">
      <c r="A217" t="s">
        <v>0</v>
      </c>
      <c r="B217" s="52" t="str">
        <f>IF(csv!F207="","",csv!T207)</f>
        <v>Ž12</v>
      </c>
      <c r="C217" s="31" t="s">
        <v>0</v>
      </c>
      <c r="D217" s="31" t="str">
        <f>IF(csv!F207="","",csv!F207)</f>
        <v>Eva</v>
      </c>
      <c r="E217" s="31" t="str">
        <f>IF(csv!E207="","",csv!E207)</f>
        <v>Šantek</v>
      </c>
      <c r="F217" s="31" t="s">
        <v>0</v>
      </c>
      <c r="G217" s="73" t="str">
        <f>IF(csv!M207="","",csv!M207)</f>
        <v>82:29</v>
      </c>
      <c r="H217" s="73" t="str">
        <f>IF(csv!N207="","",csv!N207)</f>
        <v>0</v>
      </c>
      <c r="I217" s="31" t="s">
        <v>0</v>
      </c>
      <c r="J217" s="31" t="str">
        <f>IF(csv!P207="","",csv!P207)</f>
        <v>OK Varaždin</v>
      </c>
      <c r="K217" s="31" t="str">
        <f>IF(csv!Q207="","",csv!Q207)</f>
        <v>OK Varaždin</v>
      </c>
      <c r="L217" s="31" t="s">
        <v>0</v>
      </c>
      <c r="M217" s="66" t="str">
        <f>IF(csv!R207="","",csv!R207)</f>
        <v>CRO</v>
      </c>
      <c r="N217" s="47" t="s">
        <v>0</v>
      </c>
      <c r="O217" s="246" t="str">
        <f t="shared" si="308"/>
        <v>ok</v>
      </c>
      <c r="P217" s="47"/>
      <c r="Q217" s="52" t="str">
        <f t="shared" si="309"/>
        <v>Ž12</v>
      </c>
      <c r="R217" s="73">
        <f>IF(Q217="","",IF(COUNTIF(Q$12:Q216,Q217)=0,R216+1,R216))</f>
        <v>13</v>
      </c>
      <c r="S217" s="73">
        <f t="shared" si="310"/>
        <v>122</v>
      </c>
      <c r="T217" s="73">
        <f t="shared" si="273"/>
        <v>22</v>
      </c>
      <c r="U217" s="66" t="str">
        <f t="shared" si="274"/>
        <v>M12 – Ž12</v>
      </c>
      <c r="V217" s="47" t="s">
        <v>0</v>
      </c>
      <c r="W217" s="222" t="str">
        <f t="shared" si="275"/>
        <v>Ž12</v>
      </c>
      <c r="X217" s="223">
        <f t="shared" si="276"/>
        <v>35</v>
      </c>
      <c r="Y217" s="47" t="s">
        <v>0</v>
      </c>
      <c r="Z217" s="52" t="str">
        <f t="shared" si="311"/>
        <v>CRO</v>
      </c>
      <c r="AA217" s="73">
        <f t="shared" si="277"/>
        <v>1</v>
      </c>
      <c r="AB217" s="31" t="str">
        <f t="shared" si="312"/>
        <v/>
      </c>
      <c r="AC217" s="66" t="str">
        <f>IF(AB217="","",MAX(AC$12:AC216)+1)</f>
        <v/>
      </c>
      <c r="AD217" s="47" t="s">
        <v>0</v>
      </c>
      <c r="AE217" s="125"/>
      <c r="AF217" s="47" t="s">
        <v>0</v>
      </c>
      <c r="AG217" s="19" t="str">
        <f t="shared" si="313"/>
        <v/>
      </c>
      <c r="AH217" s="47" t="s">
        <v>0</v>
      </c>
      <c r="AI217" s="143" t="str">
        <f t="shared" si="314"/>
        <v>CRO</v>
      </c>
      <c r="AJ217" s="47"/>
      <c r="AK217" s="52" t="str">
        <f t="shared" si="315"/>
        <v>Eva</v>
      </c>
      <c r="AL217" s="31" t="str">
        <f t="shared" si="316"/>
        <v>Šantek</v>
      </c>
      <c r="AM217" s="73">
        <f t="shared" si="317"/>
        <v>1402</v>
      </c>
      <c r="AN217" s="73" t="str">
        <f t="shared" si="318"/>
        <v/>
      </c>
      <c r="AO217" s="31" t="str">
        <f t="shared" si="278"/>
        <v>Eva</v>
      </c>
      <c r="AP217" s="66" t="str">
        <f t="shared" si="279"/>
        <v>Šantek</v>
      </c>
      <c r="AQ217" s="47" t="s">
        <v>0</v>
      </c>
      <c r="AR217" s="82" t="str">
        <f t="shared" si="319"/>
        <v/>
      </c>
      <c r="AS217" s="47" t="s">
        <v>0</v>
      </c>
      <c r="AT217" s="19" t="str">
        <f t="shared" si="320"/>
        <v/>
      </c>
      <c r="AU217" s="47" t="s">
        <v>0</v>
      </c>
      <c r="AV217" s="103"/>
      <c r="AW217" s="105"/>
      <c r="AX217" s="47" t="s">
        <v>0</v>
      </c>
      <c r="AY217" s="259" t="str">
        <f t="shared" si="343"/>
        <v/>
      </c>
      <c r="AZ217" s="47" t="s">
        <v>0</v>
      </c>
      <c r="BA217" s="52" t="str">
        <f t="shared" si="280"/>
        <v/>
      </c>
      <c r="BB217" s="73" t="str">
        <f>IF(AV217&amp;AW217="","",MAX(BB$12:BB216)+1)</f>
        <v/>
      </c>
      <c r="BC217" s="272" t="str">
        <f t="shared" si="281"/>
        <v/>
      </c>
      <c r="BD217" s="53" t="str">
        <f>IF(AND(AM217="NEMA",AN217="NEMA",OR(AV217&amp;AW217="",BC217="NEMA")),MAX(BD$12:BD216)+1,"")</f>
        <v/>
      </c>
      <c r="BE217" s="47" t="s">
        <v>0</v>
      </c>
      <c r="BF217" s="52" t="str">
        <f t="shared" si="321"/>
        <v>Eva</v>
      </c>
      <c r="BG217" s="66" t="str">
        <f t="shared" si="322"/>
        <v>Šantek</v>
      </c>
      <c r="BH217" s="47" t="s">
        <v>0</v>
      </c>
      <c r="BI217" s="52" t="str">
        <f t="shared" si="282"/>
        <v>OK Varaždin</v>
      </c>
      <c r="BJ217" s="31" t="str">
        <f t="shared" si="283"/>
        <v>OK Varaždin</v>
      </c>
      <c r="BK217" s="73" t="str">
        <f t="shared" si="284"/>
        <v/>
      </c>
      <c r="BL217" s="31" t="str" cm="1">
        <f t="array" ref="BL217">IF(BK217="",""&amp;BJ217,IF(BK217="NEMA",BJ217,INDEX(regKlub_naziv,MATCH(INDEX(regKlub_alias_klubId,BK217),regKlub_id,0))))</f>
        <v>OK Varaždin</v>
      </c>
      <c r="BM217" s="31" t="str" cm="1">
        <f t="array" ref="BM217">IFERROR(""&amp;INDEX(regNatjecatelj_klub,DV217),"")</f>
        <v>OK Varaždin</v>
      </c>
      <c r="BN217" s="88" t="str">
        <f t="shared" si="323"/>
        <v/>
      </c>
      <c r="BO217" s="66" t="str">
        <f t="shared" si="324"/>
        <v>OK Varaždin</v>
      </c>
      <c r="BP217" s="47" t="s">
        <v>0</v>
      </c>
      <c r="BQ217" s="52" t="str">
        <f>IF(X217&lt;&gt;"NEMA","",IF(IFERROR(MATCH(W217,W$12:W216,0),0)&lt;&gt;0,"",W217))</f>
        <v/>
      </c>
      <c r="BR217" s="73" t="str">
        <f t="shared" si="325"/>
        <v/>
      </c>
      <c r="BS217" s="31" t="str">
        <f>IF(OR(BR217="",BR217&lt;&gt;"NEMA"),"",MAX(BS$12:BS216)+1)</f>
        <v/>
      </c>
      <c r="BT217" s="66" t="str">
        <f t="shared" si="326"/>
        <v/>
      </c>
      <c r="BU217" s="47" t="s">
        <v>0</v>
      </c>
      <c r="BV217" s="19" t="str">
        <f t="shared" si="327"/>
        <v/>
      </c>
      <c r="BW217" s="47" t="s">
        <v>0</v>
      </c>
      <c r="BX217" s="82" t="str">
        <f>IF(BK217&lt;&gt;"NEMA","",IF(IFERROR(MATCH(BJ217,BJ$12:BJ216,0),0)&lt;&gt;0,"",BJ217))</f>
        <v/>
      </c>
      <c r="BY217" s="47" t="s">
        <v>0</v>
      </c>
      <c r="BZ217" s="125"/>
      <c r="CA217" s="47" t="s">
        <v>0</v>
      </c>
      <c r="CB217" s="58" t="str">
        <f t="shared" si="328"/>
        <v/>
      </c>
      <c r="CC217" s="31" t="str">
        <f t="shared" si="329"/>
        <v/>
      </c>
      <c r="CD217" s="31" t="str">
        <f>IF(CC217="","",MAX(CD$12:CD216)+1)</f>
        <v/>
      </c>
      <c r="CE217" s="31" t="str">
        <f t="shared" si="285"/>
        <v/>
      </c>
      <c r="CF217" s="31" t="str">
        <f t="shared" si="330"/>
        <v/>
      </c>
      <c r="CG217" s="31" t="str">
        <f>IF(BZ217="","",MAX(CG$12:CG216)+1)</f>
        <v/>
      </c>
      <c r="CH217" s="31" t="str">
        <f t="shared" si="331"/>
        <v/>
      </c>
      <c r="CI217" s="66" t="str">
        <f t="shared" si="332"/>
        <v/>
      </c>
      <c r="CJ217" s="47" t="s">
        <v>0</v>
      </c>
      <c r="CK217" s="73" t="str">
        <f t="shared" si="286"/>
        <v/>
      </c>
      <c r="CL217" s="47"/>
      <c r="CM217" s="19" t="str">
        <f t="shared" si="333"/>
        <v/>
      </c>
      <c r="CN217" s="47" t="s">
        <v>0</v>
      </c>
      <c r="CO217" s="143" t="str">
        <f t="shared" si="334"/>
        <v>OK Varaždin</v>
      </c>
      <c r="CP217" s="47" t="s">
        <v>0</v>
      </c>
      <c r="CQ217" s="58" t="str">
        <f t="shared" si="270"/>
        <v>82:29</v>
      </c>
      <c r="CR217" s="73" t="str">
        <f t="shared" si="271"/>
        <v>0</v>
      </c>
      <c r="CS217" s="229" t="str">
        <f t="shared" si="287"/>
        <v/>
      </c>
      <c r="CT217" s="230">
        <f t="shared" si="272"/>
        <v>4949</v>
      </c>
      <c r="CU217" s="163">
        <f t="shared" si="288"/>
        <v>1</v>
      </c>
      <c r="CV217" s="47" t="s">
        <v>0</v>
      </c>
      <c r="CW217" s="222" t="str">
        <f t="shared" si="335"/>
        <v xml:space="preserve">
</v>
      </c>
      <c r="CX217" s="223">
        <f t="shared" si="336"/>
        <v>6</v>
      </c>
      <c r="CY217" s="47" t="s">
        <v>0</v>
      </c>
      <c r="CZ217" s="47"/>
      <c r="DA217" s="47"/>
      <c r="DB217" s="47"/>
      <c r="DC217" s="47" t="s">
        <v>0</v>
      </c>
      <c r="DD217" s="53" t="str">
        <f t="shared" si="344"/>
        <v/>
      </c>
      <c r="DE217" t="s">
        <v>0</v>
      </c>
      <c r="DF217" s="128" t="str">
        <f t="shared" si="345"/>
        <v>Ž</v>
      </c>
      <c r="DG217" t="s">
        <v>0</v>
      </c>
      <c r="DH217" s="52" t="str">
        <f t="shared" si="346"/>
        <v/>
      </c>
      <c r="DI217" s="66" t="str">
        <f t="shared" si="347"/>
        <v/>
      </c>
      <c r="DJ217" t="s">
        <v>0</v>
      </c>
      <c r="DK217" s="19" t="str">
        <f t="shared" si="348"/>
        <v/>
      </c>
      <c r="DL217" s="47" t="s">
        <v>0</v>
      </c>
      <c r="DM217" s="19" t="str">
        <f t="shared" si="349"/>
        <v/>
      </c>
      <c r="DN217" s="47" t="s">
        <v>0</v>
      </c>
      <c r="DO217" s="52" t="str">
        <f t="shared" si="289"/>
        <v>Eva – Šantek – OK Varaždin – Ž12</v>
      </c>
      <c r="DP217" s="53">
        <f t="shared" si="290"/>
        <v>586</v>
      </c>
      <c r="DQ217" s="47" t="s">
        <v>0</v>
      </c>
      <c r="DR217" s="52" t="str">
        <f t="shared" si="291"/>
        <v>Eva – Šantek – OK Varaždin</v>
      </c>
      <c r="DS217" s="53">
        <f t="shared" si="292"/>
        <v>586</v>
      </c>
      <c r="DT217" s="47" t="s">
        <v>0</v>
      </c>
      <c r="DU217" s="52" t="str">
        <f t="shared" si="293"/>
        <v>Eva – Šantek</v>
      </c>
      <c r="DV217" s="53">
        <f t="shared" si="294"/>
        <v>586</v>
      </c>
      <c r="DW217" s="47" t="s">
        <v>0</v>
      </c>
      <c r="DX217" s="58">
        <f t="shared" si="337"/>
        <v>586</v>
      </c>
      <c r="DY217" s="53" cm="1">
        <f t="array" ref="DY217">IF(DX217&lt;&gt;"",INDEX(regNatjecatelj_id,DX217,0),IF(BD217&lt;&gt;"",BD217,""))</f>
        <v>1402</v>
      </c>
      <c r="DZ217" s="47" t="s">
        <v>0</v>
      </c>
      <c r="EA217" s="58" t="str">
        <f t="shared" si="295"/>
        <v>imepre</v>
      </c>
      <c r="EB217" s="73" t="str">
        <f t="shared" si="296"/>
        <v>klu</v>
      </c>
      <c r="EC217" s="73" t="str">
        <f t="shared" si="297"/>
        <v>kat</v>
      </c>
      <c r="ED217" s="73" t="str">
        <f t="shared" si="298"/>
        <v/>
      </c>
      <c r="EE217" s="66" t="str">
        <f t="shared" si="299"/>
        <v>imepre-klu-kat</v>
      </c>
      <c r="EF217" s="47" t="s">
        <v>0</v>
      </c>
      <c r="EG217" s="58">
        <f>IF(AL217="","",MAX(EG$12:EG216)+1)</f>
        <v>377</v>
      </c>
      <c r="EH217" s="73">
        <f t="shared" si="300"/>
        <v>35</v>
      </c>
      <c r="EI217" s="73">
        <f t="shared" si="338"/>
        <v>1402</v>
      </c>
      <c r="EJ217" s="73">
        <f t="shared" si="301"/>
        <v>4949</v>
      </c>
      <c r="EK217" s="73">
        <f t="shared" si="302"/>
        <v>1</v>
      </c>
      <c r="EL217" s="73">
        <f t="shared" si="339"/>
        <v>1</v>
      </c>
      <c r="EM217" s="73">
        <f t="shared" si="340"/>
        <v>1</v>
      </c>
      <c r="EN217" s="73" t="str">
        <f t="shared" si="303"/>
        <v>0</v>
      </c>
      <c r="EO217" s="73" t="str">
        <f t="shared" si="304"/>
        <v/>
      </c>
      <c r="EP217" s="73" t="str">
        <f t="shared" si="305"/>
        <v/>
      </c>
      <c r="EQ217" s="53" t="str">
        <f t="shared" si="306"/>
        <v/>
      </c>
      <c r="ER217" s="47" t="s">
        <v>0</v>
      </c>
      <c r="ES217" s="19" t="str">
        <f t="shared" si="341"/>
        <v>INSERT INTO rezultat(id,stazakategorija_id,imeprezime_id,vrijeme_sec,status_id,registracija,uparivanje_id,originalstatus_id,imeprezimealias_id,klubalias_id,kategorijaalias_id) VALUES (377,35,1402,4949,1,1,1,0,Null,Null,Null);</v>
      </c>
      <c r="ET217" s="47" t="s">
        <v>0</v>
      </c>
      <c r="EU217" s="19" t="str">
        <f t="shared" si="342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7" s="47" t="s">
        <v>0</v>
      </c>
      <c r="EW217" s="180" t="str">
        <f t="shared" si="307"/>
        <v xml:space="preserve">
INSERT INTO rezultat(id,stazakategorija_id,imeprezime_id,vrijeme_sec,status_id,registracija,uparivanje_id,originalstatus_id,imeprezimealias_id,klubalias_id,kategorijaalias_id) VALUES (377,35,1402,4949,1,1,1,0,Null,Null,Null);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7" s="47" t="s">
        <v>0</v>
      </c>
    </row>
    <row r="218" spans="1:154" x14ac:dyDescent="0.25">
      <c r="A218" t="s">
        <v>0</v>
      </c>
      <c r="B218" s="52" t="str">
        <f>IF(csv!F208="","",csv!T208)</f>
        <v>Ž12</v>
      </c>
      <c r="C218" s="31" t="s">
        <v>0</v>
      </c>
      <c r="D218" s="31" t="str">
        <f>IF(csv!F208="","",csv!F208)</f>
        <v>Ana</v>
      </c>
      <c r="E218" s="31" t="str">
        <f>IF(csv!E208="","",csv!E208)</f>
        <v>Budi</v>
      </c>
      <c r="F218" s="31" t="s">
        <v>0</v>
      </c>
      <c r="G218" s="73" t="str">
        <f>IF(csv!M208="","",csv!M208)</f>
        <v/>
      </c>
      <c r="H218" s="73" t="str">
        <f>IF(csv!N208="","",csv!N208)</f>
        <v>1</v>
      </c>
      <c r="I218" s="31" t="s">
        <v>0</v>
      </c>
      <c r="J218" s="31" t="str">
        <f>IF(csv!P208="","",csv!P208)</f>
        <v>JAP</v>
      </c>
      <c r="K218" s="31" t="str">
        <f>IF(csv!Q208="","",csv!Q208)</f>
        <v>OK Japetic</v>
      </c>
      <c r="L218" s="31" t="s">
        <v>0</v>
      </c>
      <c r="M218" s="66" t="str">
        <f>IF(csv!R208="","",csv!R208)</f>
        <v>CRO</v>
      </c>
      <c r="N218" s="47" t="s">
        <v>0</v>
      </c>
      <c r="O218" s="246" t="str">
        <f t="shared" si="308"/>
        <v>ok</v>
      </c>
      <c r="P218" s="47"/>
      <c r="Q218" s="52" t="str">
        <f t="shared" si="309"/>
        <v>Ž12</v>
      </c>
      <c r="R218" s="73">
        <f>IF(Q218="","",IF(COUNTIF(Q$12:Q217,Q218)=0,R217+1,R217))</f>
        <v>13</v>
      </c>
      <c r="S218" s="73">
        <f t="shared" si="310"/>
        <v>122</v>
      </c>
      <c r="T218" s="73">
        <f t="shared" si="273"/>
        <v>22</v>
      </c>
      <c r="U218" s="66" t="str">
        <f t="shared" si="274"/>
        <v>M12 – Ž12</v>
      </c>
      <c r="V218" s="47" t="s">
        <v>0</v>
      </c>
      <c r="W218" s="222" t="str">
        <f t="shared" si="275"/>
        <v>Ž12</v>
      </c>
      <c r="X218" s="223">
        <f t="shared" si="276"/>
        <v>35</v>
      </c>
      <c r="Y218" s="47" t="s">
        <v>0</v>
      </c>
      <c r="Z218" s="52" t="str">
        <f t="shared" si="311"/>
        <v>CRO</v>
      </c>
      <c r="AA218" s="73">
        <f t="shared" si="277"/>
        <v>1</v>
      </c>
      <c r="AB218" s="31" t="str">
        <f t="shared" si="312"/>
        <v/>
      </c>
      <c r="AC218" s="66" t="str">
        <f>IF(AB218="","",MAX(AC$12:AC217)+1)</f>
        <v/>
      </c>
      <c r="AD218" s="47" t="s">
        <v>0</v>
      </c>
      <c r="AE218" s="125"/>
      <c r="AF218" s="47" t="s">
        <v>0</v>
      </c>
      <c r="AG218" s="19" t="str">
        <f t="shared" si="313"/>
        <v/>
      </c>
      <c r="AH218" s="47" t="s">
        <v>0</v>
      </c>
      <c r="AI218" s="143" t="str">
        <f t="shared" si="314"/>
        <v>CRO</v>
      </c>
      <c r="AJ218" s="47"/>
      <c r="AK218" s="52" t="str">
        <f t="shared" si="315"/>
        <v>Ana</v>
      </c>
      <c r="AL218" s="31" t="str">
        <f t="shared" si="316"/>
        <v>Budi</v>
      </c>
      <c r="AM218" s="73">
        <f t="shared" si="317"/>
        <v>1305</v>
      </c>
      <c r="AN218" s="73" t="str">
        <f t="shared" si="318"/>
        <v/>
      </c>
      <c r="AO218" s="31" t="str">
        <f t="shared" si="278"/>
        <v>Ana</v>
      </c>
      <c r="AP218" s="66" t="str">
        <f t="shared" si="279"/>
        <v>Budi</v>
      </c>
      <c r="AQ218" s="47" t="s">
        <v>0</v>
      </c>
      <c r="AR218" s="82" t="str">
        <f t="shared" si="319"/>
        <v/>
      </c>
      <c r="AS218" s="47" t="s">
        <v>0</v>
      </c>
      <c r="AT218" s="19" t="str">
        <f t="shared" si="320"/>
        <v/>
      </c>
      <c r="AU218" s="47" t="s">
        <v>0</v>
      </c>
      <c r="AV218" s="103"/>
      <c r="AW218" s="105"/>
      <c r="AX218" s="47" t="s">
        <v>0</v>
      </c>
      <c r="AY218" s="259" t="str">
        <f t="shared" si="343"/>
        <v/>
      </c>
      <c r="AZ218" s="47" t="s">
        <v>0</v>
      </c>
      <c r="BA218" s="52" t="str">
        <f t="shared" si="280"/>
        <v/>
      </c>
      <c r="BB218" s="73" t="str">
        <f>IF(AV218&amp;AW218="","",MAX(BB$12:BB217)+1)</f>
        <v/>
      </c>
      <c r="BC218" s="272" t="str">
        <f t="shared" si="281"/>
        <v/>
      </c>
      <c r="BD218" s="53" t="str">
        <f>IF(AND(AM218="NEMA",AN218="NEMA",OR(AV218&amp;AW218="",BC218="NEMA")),MAX(BD$12:BD217)+1,"")</f>
        <v/>
      </c>
      <c r="BE218" s="47" t="s">
        <v>0</v>
      </c>
      <c r="BF218" s="52" t="str">
        <f t="shared" si="321"/>
        <v>Ana</v>
      </c>
      <c r="BG218" s="66" t="str">
        <f t="shared" si="322"/>
        <v>Budi</v>
      </c>
      <c r="BH218" s="47" t="s">
        <v>0</v>
      </c>
      <c r="BI218" s="52" t="str">
        <f t="shared" si="282"/>
        <v>JAP</v>
      </c>
      <c r="BJ218" s="31" t="str">
        <f t="shared" si="283"/>
        <v>OK Japetic</v>
      </c>
      <c r="BK218" s="73">
        <f t="shared" si="284"/>
        <v>1</v>
      </c>
      <c r="BL218" s="31" t="str" cm="1">
        <f t="array" ref="BL218">IF(BK218="",""&amp;BJ218,IF(BK218="NEMA",BJ218,INDEX(regKlub_naziv,MATCH(INDEX(regKlub_alias_klubId,BK218),regKlub_id,0))))</f>
        <v>OK Japetić</v>
      </c>
      <c r="BM218" s="31" t="str" cm="1">
        <f t="array" ref="BM218">IFERROR(""&amp;INDEX(regNatjecatelj_klub,DV218),"")</f>
        <v>OK Japetić</v>
      </c>
      <c r="BN218" s="88" t="str">
        <f t="shared" si="323"/>
        <v/>
      </c>
      <c r="BO218" s="66" t="str">
        <f t="shared" si="324"/>
        <v>OK Japetić</v>
      </c>
      <c r="BP218" s="47" t="s">
        <v>0</v>
      </c>
      <c r="BQ218" s="52" t="str">
        <f>IF(X218&lt;&gt;"NEMA","",IF(IFERROR(MATCH(W218,W$12:W217,0),0)&lt;&gt;0,"",W218))</f>
        <v/>
      </c>
      <c r="BR218" s="73" t="str">
        <f t="shared" si="325"/>
        <v/>
      </c>
      <c r="BS218" s="31" t="str">
        <f>IF(OR(BR218="",BR218&lt;&gt;"NEMA"),"",MAX(BS$12:BS217)+1)</f>
        <v/>
      </c>
      <c r="BT218" s="66" t="str">
        <f t="shared" si="326"/>
        <v/>
      </c>
      <c r="BU218" s="47" t="s">
        <v>0</v>
      </c>
      <c r="BV218" s="19" t="str">
        <f t="shared" si="327"/>
        <v/>
      </c>
      <c r="BW218" s="47" t="s">
        <v>0</v>
      </c>
      <c r="BX218" s="82" t="str">
        <f>IF(BK218&lt;&gt;"NEMA","",IF(IFERROR(MATCH(BJ218,BJ$12:BJ217,0),0)&lt;&gt;0,"",BJ218))</f>
        <v/>
      </c>
      <c r="BY218" s="47" t="s">
        <v>0</v>
      </c>
      <c r="BZ218" s="125"/>
      <c r="CA218" s="47" t="s">
        <v>0</v>
      </c>
      <c r="CB218" s="58" t="str">
        <f t="shared" si="328"/>
        <v/>
      </c>
      <c r="CC218" s="31" t="str">
        <f t="shared" si="329"/>
        <v/>
      </c>
      <c r="CD218" s="31" t="str">
        <f>IF(CC218="","",MAX(CD$12:CD217)+1)</f>
        <v/>
      </c>
      <c r="CE218" s="31" t="str">
        <f t="shared" si="285"/>
        <v/>
      </c>
      <c r="CF218" s="31" t="str">
        <f t="shared" si="330"/>
        <v/>
      </c>
      <c r="CG218" s="31" t="str">
        <f>IF(BZ218="","",MAX(CG$12:CG217)+1)</f>
        <v/>
      </c>
      <c r="CH218" s="31" t="str">
        <f t="shared" si="331"/>
        <v/>
      </c>
      <c r="CI218" s="66" t="str">
        <f t="shared" si="332"/>
        <v/>
      </c>
      <c r="CJ218" s="47" t="s">
        <v>0</v>
      </c>
      <c r="CK218" s="73" t="str">
        <f t="shared" si="286"/>
        <v/>
      </c>
      <c r="CL218" s="47"/>
      <c r="CM218" s="19" t="str">
        <f t="shared" si="333"/>
        <v/>
      </c>
      <c r="CN218" s="47" t="s">
        <v>0</v>
      </c>
      <c r="CO218" s="143" t="str">
        <f t="shared" si="334"/>
        <v>OK Japetić</v>
      </c>
      <c r="CP218" s="47" t="s">
        <v>0</v>
      </c>
      <c r="CQ218" s="58" t="str">
        <f t="shared" si="270"/>
        <v/>
      </c>
      <c r="CR218" s="73" t="str">
        <f t="shared" si="271"/>
        <v>1</v>
      </c>
      <c r="CS218" s="229" t="str">
        <f t="shared" si="287"/>
        <v/>
      </c>
      <c r="CT218" s="230" t="str">
        <f t="shared" si="272"/>
        <v/>
      </c>
      <c r="CU218" s="163">
        <f t="shared" si="288"/>
        <v>6</v>
      </c>
      <c r="CV218" s="47" t="s">
        <v>0</v>
      </c>
      <c r="CW218" s="222" t="str">
        <f t="shared" si="335"/>
        <v xml:space="preserve">
</v>
      </c>
      <c r="CX218" s="223" t="e">
        <f t="shared" si="336"/>
        <v>#N/A</v>
      </c>
      <c r="CY218" s="47" t="s">
        <v>0</v>
      </c>
      <c r="CZ218" s="47"/>
      <c r="DA218" s="47"/>
      <c r="DB218" s="47"/>
      <c r="DC218" s="47" t="s">
        <v>0</v>
      </c>
      <c r="DD218" s="53" t="str">
        <f t="shared" si="344"/>
        <v/>
      </c>
      <c r="DE218" t="s">
        <v>0</v>
      </c>
      <c r="DF218" s="128" t="str">
        <f t="shared" si="345"/>
        <v>Ž</v>
      </c>
      <c r="DG218" t="s">
        <v>0</v>
      </c>
      <c r="DH218" s="52" t="str">
        <f t="shared" si="346"/>
        <v/>
      </c>
      <c r="DI218" s="66" t="str">
        <f t="shared" si="347"/>
        <v/>
      </c>
      <c r="DJ218" t="s">
        <v>0</v>
      </c>
      <c r="DK218" s="19" t="str">
        <f t="shared" si="348"/>
        <v/>
      </c>
      <c r="DL218" s="47" t="s">
        <v>0</v>
      </c>
      <c r="DM218" s="19" t="str">
        <f t="shared" si="349"/>
        <v/>
      </c>
      <c r="DN218" s="47" t="s">
        <v>0</v>
      </c>
      <c r="DO218" s="52" t="str">
        <f t="shared" si="289"/>
        <v>Ana – Budi – OK Japetić – Ž12</v>
      </c>
      <c r="DP218" s="53">
        <f t="shared" si="290"/>
        <v>77</v>
      </c>
      <c r="DQ218" s="47" t="s">
        <v>0</v>
      </c>
      <c r="DR218" s="52" t="str">
        <f t="shared" si="291"/>
        <v>Ana – Budi – OK Japetić</v>
      </c>
      <c r="DS218" s="53">
        <f t="shared" si="292"/>
        <v>77</v>
      </c>
      <c r="DT218" s="47" t="s">
        <v>0</v>
      </c>
      <c r="DU218" s="52" t="str">
        <f t="shared" si="293"/>
        <v>Ana – Budi</v>
      </c>
      <c r="DV218" s="53">
        <f t="shared" si="294"/>
        <v>77</v>
      </c>
      <c r="DW218" s="47" t="s">
        <v>0</v>
      </c>
      <c r="DX218" s="58">
        <f t="shared" si="337"/>
        <v>77</v>
      </c>
      <c r="DY218" s="53" cm="1">
        <f t="array" ref="DY218">IF(DX218&lt;&gt;"",INDEX(regNatjecatelj_id,DX218,0),IF(BD218&lt;&gt;"",BD218,""))</f>
        <v>1305</v>
      </c>
      <c r="DZ218" s="47" t="s">
        <v>0</v>
      </c>
      <c r="EA218" s="58" t="str">
        <f t="shared" si="295"/>
        <v>imepre</v>
      </c>
      <c r="EB218" s="73" t="str">
        <f t="shared" si="296"/>
        <v>klu(ali)</v>
      </c>
      <c r="EC218" s="73" t="str">
        <f t="shared" si="297"/>
        <v>kat</v>
      </c>
      <c r="ED218" s="73" t="str">
        <f t="shared" si="298"/>
        <v/>
      </c>
      <c r="EE218" s="66" t="str">
        <f t="shared" si="299"/>
        <v>imepre-klu(ali)-kat</v>
      </c>
      <c r="EF218" s="47" t="s">
        <v>0</v>
      </c>
      <c r="EG218" s="58">
        <f>IF(AL218="","",MAX(EG$12:EG217)+1)</f>
        <v>378</v>
      </c>
      <c r="EH218" s="73">
        <f t="shared" si="300"/>
        <v>35</v>
      </c>
      <c r="EI218" s="73">
        <f t="shared" si="338"/>
        <v>1305</v>
      </c>
      <c r="EJ218" s="73" t="str">
        <f t="shared" si="301"/>
        <v/>
      </c>
      <c r="EK218" s="73">
        <f t="shared" si="302"/>
        <v>6</v>
      </c>
      <c r="EL218" s="73">
        <f t="shared" si="339"/>
        <v>1</v>
      </c>
      <c r="EM218" s="73">
        <f t="shared" si="340"/>
        <v>3</v>
      </c>
      <c r="EN218" s="73" t="str">
        <f t="shared" si="303"/>
        <v>1</v>
      </c>
      <c r="EO218" s="73" t="str">
        <f t="shared" si="304"/>
        <v/>
      </c>
      <c r="EP218" s="73">
        <f t="shared" si="305"/>
        <v>1</v>
      </c>
      <c r="EQ218" s="53" t="str">
        <f t="shared" si="306"/>
        <v/>
      </c>
      <c r="ER218" s="47" t="s">
        <v>0</v>
      </c>
      <c r="ES218" s="19" t="str">
        <f t="shared" si="341"/>
        <v>INSERT INTO rezultat(id,stazakategorija_id,imeprezime_id,vrijeme_sec,status_id,registracija,uparivanje_id,originalstatus_id,imeprezimealias_id,klubalias_id,kategorijaalias_id) VALUES (378,35,1305,Null,6,1,3,1,Null,1,Null);</v>
      </c>
      <c r="ET218" s="47" t="s">
        <v>0</v>
      </c>
      <c r="EU218" s="19" t="str">
        <f t="shared" si="342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8" s="47" t="s">
        <v>0</v>
      </c>
      <c r="EW218" s="180" t="str">
        <f t="shared" si="307"/>
        <v xml:space="preserve">
INSERT INTO rezultat(id,stazakategorija_id,imeprezime_id,vrijeme_sec,status_id,registracija,uparivanje_id,originalstatus_id,imeprezimealias_id,klubalias_id,kategorijaalias_id) VALUES (378,35,1305,Null,6,1,3,1,Null,1,Null);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8" s="47" t="s">
        <v>0</v>
      </c>
    </row>
    <row r="219" spans="1:154" x14ac:dyDescent="0.25">
      <c r="A219" t="s">
        <v>0</v>
      </c>
      <c r="B219" s="52" t="str">
        <f>IF(csv!F209="","",csv!T209)</f>
        <v>Ž12</v>
      </c>
      <c r="C219" s="31" t="s">
        <v>0</v>
      </c>
      <c r="D219" s="31" t="str">
        <f>IF(csv!F209="","",csv!F209)</f>
        <v>Ema</v>
      </c>
      <c r="E219" s="31" t="str">
        <f>IF(csv!E209="","",csv!E209)</f>
        <v>Jurač</v>
      </c>
      <c r="F219" s="31" t="s">
        <v>0</v>
      </c>
      <c r="G219" s="73" t="str">
        <f>IF(csv!M209="","",csv!M209)</f>
        <v/>
      </c>
      <c r="H219" s="73" t="str">
        <f>IF(csv!N209="","",csv!N209)</f>
        <v>1</v>
      </c>
      <c r="I219" s="31" t="s">
        <v>0</v>
      </c>
      <c r="J219" s="31" t="str">
        <f>IF(csv!P209="","",csv!P209)</f>
        <v>Vihor</v>
      </c>
      <c r="K219" s="31" t="str">
        <f>IF(csv!Q209="","",csv!Q209)</f>
        <v>OK Vihor</v>
      </c>
      <c r="L219" s="31" t="s">
        <v>0</v>
      </c>
      <c r="M219" s="66" t="str">
        <f>IF(csv!R209="","",csv!R209)</f>
        <v>CRO</v>
      </c>
      <c r="N219" s="47" t="s">
        <v>0</v>
      </c>
      <c r="O219" s="246" t="str">
        <f t="shared" si="308"/>
        <v>ok</v>
      </c>
      <c r="P219" s="47"/>
      <c r="Q219" s="52" t="str">
        <f t="shared" si="309"/>
        <v>Ž12</v>
      </c>
      <c r="R219" s="73">
        <f>IF(Q219="","",IF(COUNTIF(Q$12:Q218,Q219)=0,R218+1,R218))</f>
        <v>13</v>
      </c>
      <c r="S219" s="73">
        <f t="shared" si="310"/>
        <v>122</v>
      </c>
      <c r="T219" s="73">
        <f t="shared" si="273"/>
        <v>22</v>
      </c>
      <c r="U219" s="66" t="str">
        <f t="shared" si="274"/>
        <v>M12 – Ž12</v>
      </c>
      <c r="V219" s="47" t="s">
        <v>0</v>
      </c>
      <c r="W219" s="222" t="str">
        <f t="shared" si="275"/>
        <v>Ž12</v>
      </c>
      <c r="X219" s="223">
        <f t="shared" si="276"/>
        <v>35</v>
      </c>
      <c r="Y219" s="47" t="s">
        <v>0</v>
      </c>
      <c r="Z219" s="52" t="str">
        <f t="shared" si="311"/>
        <v>CRO</v>
      </c>
      <c r="AA219" s="73">
        <f t="shared" si="277"/>
        <v>1</v>
      </c>
      <c r="AB219" s="31" t="str">
        <f t="shared" si="312"/>
        <v/>
      </c>
      <c r="AC219" s="66" t="str">
        <f>IF(AB219="","",MAX(AC$12:AC218)+1)</f>
        <v/>
      </c>
      <c r="AD219" s="47" t="s">
        <v>0</v>
      </c>
      <c r="AE219" s="125"/>
      <c r="AF219" s="47" t="s">
        <v>0</v>
      </c>
      <c r="AG219" s="19" t="str">
        <f t="shared" si="313"/>
        <v/>
      </c>
      <c r="AH219" s="47" t="s">
        <v>0</v>
      </c>
      <c r="AI219" s="143" t="str">
        <f t="shared" si="314"/>
        <v>CRO</v>
      </c>
      <c r="AJ219" s="47"/>
      <c r="AK219" s="52" t="str">
        <f t="shared" si="315"/>
        <v>Ema</v>
      </c>
      <c r="AL219" s="31" t="str">
        <f t="shared" si="316"/>
        <v>Jurač</v>
      </c>
      <c r="AM219" s="73">
        <f t="shared" si="317"/>
        <v>1440</v>
      </c>
      <c r="AN219" s="73" t="str">
        <f t="shared" si="318"/>
        <v/>
      </c>
      <c r="AO219" s="31" t="str">
        <f t="shared" si="278"/>
        <v>Ema</v>
      </c>
      <c r="AP219" s="66" t="str">
        <f t="shared" si="279"/>
        <v>Jurač</v>
      </c>
      <c r="AQ219" s="47" t="s">
        <v>0</v>
      </c>
      <c r="AR219" s="82" t="str">
        <f t="shared" si="319"/>
        <v/>
      </c>
      <c r="AS219" s="47" t="s">
        <v>0</v>
      </c>
      <c r="AT219" s="19" t="str">
        <f t="shared" si="320"/>
        <v/>
      </c>
      <c r="AU219" s="47" t="s">
        <v>0</v>
      </c>
      <c r="AV219" s="103"/>
      <c r="AW219" s="105"/>
      <c r="AX219" s="47" t="s">
        <v>0</v>
      </c>
      <c r="AY219" s="259" t="str">
        <f t="shared" si="343"/>
        <v/>
      </c>
      <c r="AZ219" s="47" t="s">
        <v>0</v>
      </c>
      <c r="BA219" s="52" t="str">
        <f t="shared" si="280"/>
        <v/>
      </c>
      <c r="BB219" s="73" t="str">
        <f>IF(AV219&amp;AW219="","",MAX(BB$12:BB218)+1)</f>
        <v/>
      </c>
      <c r="BC219" s="272" t="str">
        <f t="shared" si="281"/>
        <v/>
      </c>
      <c r="BD219" s="53" t="str">
        <f>IF(AND(AM219="NEMA",AN219="NEMA",OR(AV219&amp;AW219="",BC219="NEMA")),MAX(BD$12:BD218)+1,"")</f>
        <v/>
      </c>
      <c r="BE219" s="47" t="s">
        <v>0</v>
      </c>
      <c r="BF219" s="52" t="str">
        <f t="shared" si="321"/>
        <v>Ema</v>
      </c>
      <c r="BG219" s="66" t="str">
        <f t="shared" si="322"/>
        <v>Jurač</v>
      </c>
      <c r="BH219" s="47" t="s">
        <v>0</v>
      </c>
      <c r="BI219" s="52" t="str">
        <f t="shared" si="282"/>
        <v>Vihor</v>
      </c>
      <c r="BJ219" s="31" t="str">
        <f t="shared" si="283"/>
        <v>OK Vihor</v>
      </c>
      <c r="BK219" s="73" t="str">
        <f t="shared" si="284"/>
        <v/>
      </c>
      <c r="BL219" s="31" t="str" cm="1">
        <f t="array" ref="BL219">IF(BK219="",""&amp;BJ219,IF(BK219="NEMA",BJ219,INDEX(regKlub_naziv,MATCH(INDEX(regKlub_alias_klubId,BK219),regKlub_id,0))))</f>
        <v>OK Vihor</v>
      </c>
      <c r="BM219" s="31" t="str" cm="1">
        <f t="array" ref="BM219">IFERROR(""&amp;INDEX(regNatjecatelj_klub,DV219),"")</f>
        <v>OK Vihor</v>
      </c>
      <c r="BN219" s="88" t="str">
        <f t="shared" si="323"/>
        <v/>
      </c>
      <c r="BO219" s="66" t="str">
        <f t="shared" si="324"/>
        <v>OK Vihor</v>
      </c>
      <c r="BP219" s="47" t="s">
        <v>0</v>
      </c>
      <c r="BQ219" s="52" t="str">
        <f>IF(X219&lt;&gt;"NEMA","",IF(IFERROR(MATCH(W219,W$12:W218,0),0)&lt;&gt;0,"",W219))</f>
        <v/>
      </c>
      <c r="BR219" s="73" t="str">
        <f t="shared" si="325"/>
        <v/>
      </c>
      <c r="BS219" s="31" t="str">
        <f>IF(OR(BR219="",BR219&lt;&gt;"NEMA"),"",MAX(BS$12:BS218)+1)</f>
        <v/>
      </c>
      <c r="BT219" s="66" t="str">
        <f t="shared" si="326"/>
        <v/>
      </c>
      <c r="BU219" s="47" t="s">
        <v>0</v>
      </c>
      <c r="BV219" s="19" t="str">
        <f t="shared" si="327"/>
        <v/>
      </c>
      <c r="BW219" s="47" t="s">
        <v>0</v>
      </c>
      <c r="BX219" s="82" t="str">
        <f>IF(BK219&lt;&gt;"NEMA","",IF(IFERROR(MATCH(BJ219,BJ$12:BJ218,0),0)&lt;&gt;0,"",BJ219))</f>
        <v/>
      </c>
      <c r="BY219" s="47" t="s">
        <v>0</v>
      </c>
      <c r="BZ219" s="125"/>
      <c r="CA219" s="47" t="s">
        <v>0</v>
      </c>
      <c r="CB219" s="58" t="str">
        <f t="shared" si="328"/>
        <v/>
      </c>
      <c r="CC219" s="31" t="str">
        <f t="shared" si="329"/>
        <v/>
      </c>
      <c r="CD219" s="31" t="str">
        <f>IF(CC219="","",MAX(CD$12:CD218)+1)</f>
        <v/>
      </c>
      <c r="CE219" s="31" t="str">
        <f t="shared" si="285"/>
        <v/>
      </c>
      <c r="CF219" s="31" t="str">
        <f t="shared" si="330"/>
        <v/>
      </c>
      <c r="CG219" s="31" t="str">
        <f>IF(BZ219="","",MAX(CG$12:CG218)+1)</f>
        <v/>
      </c>
      <c r="CH219" s="31" t="str">
        <f t="shared" si="331"/>
        <v/>
      </c>
      <c r="CI219" s="66" t="str">
        <f t="shared" si="332"/>
        <v/>
      </c>
      <c r="CJ219" s="47" t="s">
        <v>0</v>
      </c>
      <c r="CK219" s="73" t="str">
        <f t="shared" si="286"/>
        <v/>
      </c>
      <c r="CL219" s="47"/>
      <c r="CM219" s="19" t="str">
        <f t="shared" si="333"/>
        <v/>
      </c>
      <c r="CN219" s="47" t="s">
        <v>0</v>
      </c>
      <c r="CO219" s="143" t="str">
        <f t="shared" si="334"/>
        <v>OK Vihor</v>
      </c>
      <c r="CP219" s="47" t="s">
        <v>0</v>
      </c>
      <c r="CQ219" s="58" t="str">
        <f t="shared" si="270"/>
        <v/>
      </c>
      <c r="CR219" s="73" t="str">
        <f t="shared" si="271"/>
        <v>1</v>
      </c>
      <c r="CS219" s="229" t="str">
        <f t="shared" si="287"/>
        <v/>
      </c>
      <c r="CT219" s="230" t="str">
        <f t="shared" si="272"/>
        <v/>
      </c>
      <c r="CU219" s="163">
        <f t="shared" si="288"/>
        <v>6</v>
      </c>
      <c r="CV219" s="47" t="s">
        <v>0</v>
      </c>
      <c r="CW219" s="222" t="str">
        <f t="shared" si="335"/>
        <v xml:space="preserve">
</v>
      </c>
      <c r="CX219" s="223" t="e">
        <f t="shared" si="336"/>
        <v>#N/A</v>
      </c>
      <c r="CY219" s="47" t="s">
        <v>0</v>
      </c>
      <c r="CZ219" s="47"/>
      <c r="DA219" s="47"/>
      <c r="DB219" s="47"/>
      <c r="DC219" s="47" t="s">
        <v>0</v>
      </c>
      <c r="DD219" s="53" t="str">
        <f t="shared" si="344"/>
        <v/>
      </c>
      <c r="DE219" t="s">
        <v>0</v>
      </c>
      <c r="DF219" s="128" t="str">
        <f t="shared" si="345"/>
        <v>Ž</v>
      </c>
      <c r="DG219" t="s">
        <v>0</v>
      </c>
      <c r="DH219" s="52" t="str">
        <f t="shared" si="346"/>
        <v/>
      </c>
      <c r="DI219" s="66" t="str">
        <f t="shared" si="347"/>
        <v/>
      </c>
      <c r="DJ219" t="s">
        <v>0</v>
      </c>
      <c r="DK219" s="19" t="str">
        <f t="shared" si="348"/>
        <v/>
      </c>
      <c r="DL219" s="47" t="s">
        <v>0</v>
      </c>
      <c r="DM219" s="19" t="str">
        <f t="shared" si="349"/>
        <v/>
      </c>
      <c r="DN219" s="47" t="s">
        <v>0</v>
      </c>
      <c r="DO219" s="52" t="str">
        <f t="shared" si="289"/>
        <v>Ema – Jurač – OK Vihor – Ž12</v>
      </c>
      <c r="DP219" s="53">
        <f t="shared" si="290"/>
        <v>717</v>
      </c>
      <c r="DQ219" s="47" t="s">
        <v>0</v>
      </c>
      <c r="DR219" s="52" t="str">
        <f t="shared" si="291"/>
        <v>Ema – Jurač – OK Vihor</v>
      </c>
      <c r="DS219" s="53">
        <f t="shared" si="292"/>
        <v>717</v>
      </c>
      <c r="DT219" s="47" t="s">
        <v>0</v>
      </c>
      <c r="DU219" s="52" t="str">
        <f t="shared" si="293"/>
        <v>Ema – Jurač</v>
      </c>
      <c r="DV219" s="53">
        <f t="shared" si="294"/>
        <v>717</v>
      </c>
      <c r="DW219" s="47" t="s">
        <v>0</v>
      </c>
      <c r="DX219" s="58">
        <f t="shared" si="337"/>
        <v>717</v>
      </c>
      <c r="DY219" s="53" cm="1">
        <f t="array" ref="DY219">IF(DX219&lt;&gt;"",INDEX(regNatjecatelj_id,DX219,0),IF(BD219&lt;&gt;"",BD219,""))</f>
        <v>1440</v>
      </c>
      <c r="DZ219" s="47" t="s">
        <v>0</v>
      </c>
      <c r="EA219" s="58" t="str">
        <f t="shared" si="295"/>
        <v>imepre</v>
      </c>
      <c r="EB219" s="73" t="str">
        <f t="shared" si="296"/>
        <v>klu</v>
      </c>
      <c r="EC219" s="73" t="str">
        <f t="shared" si="297"/>
        <v>kat</v>
      </c>
      <c r="ED219" s="73" t="str">
        <f t="shared" si="298"/>
        <v/>
      </c>
      <c r="EE219" s="66" t="str">
        <f t="shared" si="299"/>
        <v>imepre-klu-kat</v>
      </c>
      <c r="EF219" s="47" t="s">
        <v>0</v>
      </c>
      <c r="EG219" s="58">
        <f>IF(AL219="","",MAX(EG$12:EG218)+1)</f>
        <v>379</v>
      </c>
      <c r="EH219" s="73">
        <f t="shared" si="300"/>
        <v>35</v>
      </c>
      <c r="EI219" s="73">
        <f t="shared" si="338"/>
        <v>1440</v>
      </c>
      <c r="EJ219" s="73" t="str">
        <f t="shared" si="301"/>
        <v/>
      </c>
      <c r="EK219" s="73">
        <f t="shared" si="302"/>
        <v>6</v>
      </c>
      <c r="EL219" s="73">
        <f t="shared" si="339"/>
        <v>1</v>
      </c>
      <c r="EM219" s="73">
        <f t="shared" si="340"/>
        <v>1</v>
      </c>
      <c r="EN219" s="73" t="str">
        <f t="shared" si="303"/>
        <v>1</v>
      </c>
      <c r="EO219" s="73" t="str">
        <f t="shared" si="304"/>
        <v/>
      </c>
      <c r="EP219" s="73" t="str">
        <f t="shared" si="305"/>
        <v/>
      </c>
      <c r="EQ219" s="53" t="str">
        <f t="shared" si="306"/>
        <v/>
      </c>
      <c r="ER219" s="47" t="s">
        <v>0</v>
      </c>
      <c r="ES219" s="19" t="str">
        <f t="shared" si="341"/>
        <v>INSERT INTO rezultat(id,stazakategorija_id,imeprezime_id,vrijeme_sec,status_id,registracija,uparivanje_id,originalstatus_id,imeprezimealias_id,klubalias_id,kategorijaalias_id) VALUES (379,35,1440,Null,6,1,1,1,Null,Null,Null);</v>
      </c>
      <c r="ET219" s="47" t="s">
        <v>0</v>
      </c>
      <c r="EU219" s="19" t="str">
        <f t="shared" si="342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9" s="47" t="s">
        <v>0</v>
      </c>
      <c r="EW219" s="180" t="str">
        <f t="shared" si="307"/>
        <v xml:space="preserve">
INSERT INTO rezultat(id,stazakategorija_id,imeprezime_id,vrijeme_sec,status_id,registracija,uparivanje_id,originalstatus_id,imeprezimealias_id,klubalias_id,kategorijaalias_id) VALUES (379,35,1440,Null,6,1,1,1,Null,Null,Null);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9" s="47" t="s">
        <v>0</v>
      </c>
    </row>
    <row r="220" spans="1:154" x14ac:dyDescent="0.25">
      <c r="A220" t="s">
        <v>0</v>
      </c>
      <c r="B220" s="52" t="str">
        <f>IF(csv!F210="","",csv!T210)</f>
        <v>Ž12</v>
      </c>
      <c r="C220" s="31" t="s">
        <v>0</v>
      </c>
      <c r="D220" s="31" t="str">
        <f>IF(csv!F210="","",csv!F210)</f>
        <v>Vacant</v>
      </c>
      <c r="E220" s="31" t="str">
        <f>IF(csv!E210="","",csv!E210)</f>
        <v/>
      </c>
      <c r="F220" s="31" t="s">
        <v>0</v>
      </c>
      <c r="G220" s="73" t="str">
        <f>IF(csv!M210="","",csv!M210)</f>
        <v/>
      </c>
      <c r="H220" s="73" t="str">
        <f>IF(csv!N210="","",csv!N210)</f>
        <v>0</v>
      </c>
      <c r="I220" s="31" t="s">
        <v>0</v>
      </c>
      <c r="J220" s="31" t="str">
        <f>IF(csv!P210="","",csv!P210)</f>
        <v/>
      </c>
      <c r="K220" s="31" t="str">
        <f>IF(csv!Q210="","",csv!Q210)</f>
        <v/>
      </c>
      <c r="L220" s="31" t="s">
        <v>0</v>
      </c>
      <c r="M220" s="66" t="str">
        <f>IF(csv!R210="","",csv!R210)</f>
        <v/>
      </c>
      <c r="N220" s="47" t="s">
        <v>0</v>
      </c>
      <c r="O220" s="246" t="str">
        <f t="shared" si="308"/>
        <v/>
      </c>
      <c r="P220" s="47"/>
      <c r="Q220" s="52" t="str">
        <f t="shared" si="309"/>
        <v>Ž12</v>
      </c>
      <c r="R220" s="73">
        <f>IF(Q220="","",IF(COUNTIF(Q$12:Q219,Q220)=0,R219+1,R219))</f>
        <v>13</v>
      </c>
      <c r="S220" s="73">
        <f t="shared" si="310"/>
        <v>122</v>
      </c>
      <c r="T220" s="73">
        <f t="shared" si="273"/>
        <v>22</v>
      </c>
      <c r="U220" s="66" t="str">
        <f t="shared" si="274"/>
        <v>M12 – Ž12</v>
      </c>
      <c r="V220" s="47" t="s">
        <v>0</v>
      </c>
      <c r="W220" s="222" t="str">
        <f t="shared" si="275"/>
        <v/>
      </c>
      <c r="X220" s="223" t="str">
        <f t="shared" si="276"/>
        <v/>
      </c>
      <c r="Y220" s="47" t="s">
        <v>0</v>
      </c>
      <c r="Z220" s="52" t="str">
        <f t="shared" si="311"/>
        <v/>
      </c>
      <c r="AA220" s="73" t="str">
        <f t="shared" si="277"/>
        <v/>
      </c>
      <c r="AB220" s="31" t="str">
        <f t="shared" si="312"/>
        <v/>
      </c>
      <c r="AC220" s="66" t="str">
        <f>IF(AB220="","",MAX(AC$12:AC219)+1)</f>
        <v/>
      </c>
      <c r="AD220" s="47" t="s">
        <v>0</v>
      </c>
      <c r="AE220" s="125"/>
      <c r="AF220" s="47" t="s">
        <v>0</v>
      </c>
      <c r="AG220" s="19" t="str">
        <f t="shared" si="313"/>
        <v/>
      </c>
      <c r="AH220" s="47" t="s">
        <v>0</v>
      </c>
      <c r="AI220" s="143" t="str">
        <f t="shared" si="314"/>
        <v/>
      </c>
      <c r="AJ220" s="47"/>
      <c r="AK220" s="52" t="str">
        <f t="shared" si="315"/>
        <v/>
      </c>
      <c r="AL220" s="31" t="str">
        <f t="shared" si="316"/>
        <v/>
      </c>
      <c r="AM220" s="73" t="str">
        <f t="shared" si="317"/>
        <v/>
      </c>
      <c r="AN220" s="73" t="str">
        <f t="shared" si="318"/>
        <v/>
      </c>
      <c r="AO220" s="31" t="str">
        <f t="shared" si="278"/>
        <v/>
      </c>
      <c r="AP220" s="66" t="str">
        <f t="shared" si="279"/>
        <v/>
      </c>
      <c r="AQ220" s="47" t="s">
        <v>0</v>
      </c>
      <c r="AR220" s="82" t="str">
        <f t="shared" si="319"/>
        <v/>
      </c>
      <c r="AS220" s="47" t="s">
        <v>0</v>
      </c>
      <c r="AT220" s="19" t="str">
        <f t="shared" si="320"/>
        <v/>
      </c>
      <c r="AU220" s="47" t="s">
        <v>0</v>
      </c>
      <c r="AV220" s="103"/>
      <c r="AW220" s="105"/>
      <c r="AX220" s="47" t="s">
        <v>0</v>
      </c>
      <c r="AY220" s="259" t="str">
        <f t="shared" si="343"/>
        <v/>
      </c>
      <c r="AZ220" s="47" t="s">
        <v>0</v>
      </c>
      <c r="BA220" s="52" t="str">
        <f t="shared" si="280"/>
        <v/>
      </c>
      <c r="BB220" s="73" t="str">
        <f>IF(AV220&amp;AW220="","",MAX(BB$12:BB219)+1)</f>
        <v/>
      </c>
      <c r="BC220" s="272" t="str">
        <f t="shared" si="281"/>
        <v/>
      </c>
      <c r="BD220" s="53" t="str">
        <f>IF(AND(AM220="NEMA",AN220="NEMA",OR(AV220&amp;AW220="",BC220="NEMA")),MAX(BD$12:BD219)+1,"")</f>
        <v/>
      </c>
      <c r="BE220" s="47" t="s">
        <v>0</v>
      </c>
      <c r="BF220" s="52" t="str">
        <f t="shared" si="321"/>
        <v/>
      </c>
      <c r="BG220" s="66" t="str">
        <f t="shared" si="322"/>
        <v/>
      </c>
      <c r="BH220" s="47" t="s">
        <v>0</v>
      </c>
      <c r="BI220" s="52" t="str">
        <f t="shared" si="282"/>
        <v/>
      </c>
      <c r="BJ220" s="31" t="str">
        <f t="shared" si="283"/>
        <v/>
      </c>
      <c r="BK220" s="73" t="str">
        <f t="shared" si="284"/>
        <v/>
      </c>
      <c r="BL220" s="31" t="str" cm="1">
        <f t="array" ref="BL220">IF(BK220="",""&amp;BJ220,IF(BK220="NEMA",BJ220,INDEX(regKlub_naziv,MATCH(INDEX(regKlub_alias_klubId,BK220),regKlub_id,0))))</f>
        <v/>
      </c>
      <c r="BM220" s="31" t="str" cm="1">
        <f t="array" ref="BM220">IFERROR(""&amp;INDEX(regNatjecatelj_klub,DV220),"")</f>
        <v/>
      </c>
      <c r="BN220" s="88" t="str">
        <f t="shared" si="323"/>
        <v/>
      </c>
      <c r="BO220" s="66" t="str">
        <f t="shared" si="324"/>
        <v/>
      </c>
      <c r="BP220" s="47" t="s">
        <v>0</v>
      </c>
      <c r="BQ220" s="52" t="str">
        <f>IF(X220&lt;&gt;"NEMA","",IF(IFERROR(MATCH(W220,W$12:W219,0),0)&lt;&gt;0,"",W220))</f>
        <v/>
      </c>
      <c r="BR220" s="73" t="str">
        <f t="shared" si="325"/>
        <v/>
      </c>
      <c r="BS220" s="31" t="str">
        <f>IF(OR(BR220="",BR220&lt;&gt;"NEMA"),"",MAX(BS$12:BS219)+1)</f>
        <v/>
      </c>
      <c r="BT220" s="66" t="str">
        <f t="shared" si="326"/>
        <v/>
      </c>
      <c r="BU220" s="47" t="s">
        <v>0</v>
      </c>
      <c r="BV220" s="19" t="str">
        <f t="shared" si="327"/>
        <v/>
      </c>
      <c r="BW220" s="47" t="s">
        <v>0</v>
      </c>
      <c r="BX220" s="82" t="str">
        <f>IF(BK220&lt;&gt;"NEMA","",IF(IFERROR(MATCH(BJ220,BJ$12:BJ219,0),0)&lt;&gt;0,"",BJ220))</f>
        <v/>
      </c>
      <c r="BY220" s="47" t="s">
        <v>0</v>
      </c>
      <c r="BZ220" s="125"/>
      <c r="CA220" s="47" t="s">
        <v>0</v>
      </c>
      <c r="CB220" s="58" t="str">
        <f t="shared" si="328"/>
        <v/>
      </c>
      <c r="CC220" s="31" t="str">
        <f t="shared" si="329"/>
        <v/>
      </c>
      <c r="CD220" s="31" t="str">
        <f>IF(CC220="","",MAX(CD$12:CD219)+1)</f>
        <v/>
      </c>
      <c r="CE220" s="31" t="str">
        <f t="shared" si="285"/>
        <v/>
      </c>
      <c r="CF220" s="31" t="str">
        <f t="shared" si="330"/>
        <v/>
      </c>
      <c r="CG220" s="31" t="str">
        <f>IF(BZ220="","",MAX(CG$12:CG219)+1)</f>
        <v/>
      </c>
      <c r="CH220" s="31" t="str">
        <f t="shared" si="331"/>
        <v/>
      </c>
      <c r="CI220" s="66" t="str">
        <f t="shared" si="332"/>
        <v/>
      </c>
      <c r="CJ220" s="47" t="s">
        <v>0</v>
      </c>
      <c r="CK220" s="73" t="str">
        <f t="shared" si="286"/>
        <v/>
      </c>
      <c r="CL220" s="47"/>
      <c r="CM220" s="19" t="str">
        <f t="shared" si="333"/>
        <v/>
      </c>
      <c r="CN220" s="47" t="s">
        <v>0</v>
      </c>
      <c r="CO220" s="143" t="str">
        <f t="shared" si="334"/>
        <v/>
      </c>
      <c r="CP220" s="47" t="s">
        <v>0</v>
      </c>
      <c r="CQ220" s="58" t="str">
        <f t="shared" si="270"/>
        <v/>
      </c>
      <c r="CR220" s="73" t="str">
        <f t="shared" si="271"/>
        <v>0</v>
      </c>
      <c r="CS220" s="229" t="str">
        <f t="shared" si="287"/>
        <v/>
      </c>
      <c r="CT220" s="230" t="str">
        <f t="shared" si="272"/>
        <v/>
      </c>
      <c r="CU220" s="163" t="str">
        <f t="shared" si="288"/>
        <v/>
      </c>
      <c r="CV220" s="47" t="s">
        <v>0</v>
      </c>
      <c r="CW220" s="222" t="str">
        <f t="shared" si="335"/>
        <v xml:space="preserve">
</v>
      </c>
      <c r="CX220" s="223" t="str">
        <f t="shared" si="336"/>
        <v/>
      </c>
      <c r="CY220" s="47" t="s">
        <v>0</v>
      </c>
      <c r="CZ220" s="47"/>
      <c r="DA220" s="47"/>
      <c r="DB220" s="47"/>
      <c r="DC220" s="47" t="s">
        <v>0</v>
      </c>
      <c r="DD220" s="53" t="str">
        <f t="shared" si="344"/>
        <v/>
      </c>
      <c r="DE220" t="s">
        <v>0</v>
      </c>
      <c r="DF220" s="128" t="str">
        <f t="shared" si="345"/>
        <v>Ž</v>
      </c>
      <c r="DG220" t="s">
        <v>0</v>
      </c>
      <c r="DH220" s="52" t="str">
        <f t="shared" si="346"/>
        <v/>
      </c>
      <c r="DI220" s="66" t="str">
        <f t="shared" si="347"/>
        <v/>
      </c>
      <c r="DJ220" t="s">
        <v>0</v>
      </c>
      <c r="DK220" s="19" t="str">
        <f t="shared" si="348"/>
        <v/>
      </c>
      <c r="DL220" s="47" t="s">
        <v>0</v>
      </c>
      <c r="DM220" s="19" t="str">
        <f t="shared" si="349"/>
        <v/>
      </c>
      <c r="DN220" s="47" t="s">
        <v>0</v>
      </c>
      <c r="DO220" s="52" t="str">
        <f t="shared" si="289"/>
        <v/>
      </c>
      <c r="DP220" s="53" t="str">
        <f t="shared" si="290"/>
        <v/>
      </c>
      <c r="DQ220" s="47" t="s">
        <v>0</v>
      </c>
      <c r="DR220" s="52" t="str">
        <f t="shared" si="291"/>
        <v/>
      </c>
      <c r="DS220" s="53" t="str">
        <f t="shared" si="292"/>
        <v/>
      </c>
      <c r="DT220" s="47" t="s">
        <v>0</v>
      </c>
      <c r="DU220" s="52" t="str">
        <f t="shared" si="293"/>
        <v/>
      </c>
      <c r="DV220" s="53" t="str">
        <f t="shared" si="294"/>
        <v/>
      </c>
      <c r="DW220" s="47" t="s">
        <v>0</v>
      </c>
      <c r="DX220" s="58" t="str">
        <f t="shared" si="337"/>
        <v/>
      </c>
      <c r="DY220" s="53" t="str" cm="1">
        <f t="array" ref="DY220">IF(DX220&lt;&gt;"",INDEX(regNatjecatelj_id,DX220,0),IF(BD220&lt;&gt;"",BD220,""))</f>
        <v/>
      </c>
      <c r="DZ220" s="47" t="s">
        <v>0</v>
      </c>
      <c r="EA220" s="58" t="str">
        <f t="shared" si="295"/>
        <v/>
      </c>
      <c r="EB220" s="73" t="str">
        <f t="shared" si="296"/>
        <v/>
      </c>
      <c r="EC220" s="73" t="str">
        <f t="shared" si="297"/>
        <v/>
      </c>
      <c r="ED220" s="73" t="str">
        <f t="shared" si="298"/>
        <v/>
      </c>
      <c r="EE220" s="66" t="str">
        <f t="shared" si="299"/>
        <v/>
      </c>
      <c r="EF220" s="47" t="s">
        <v>0</v>
      </c>
      <c r="EG220" s="58" t="str">
        <f>IF(AL220="","",MAX(EG$12:EG219)+1)</f>
        <v/>
      </c>
      <c r="EH220" s="73" t="str">
        <f t="shared" si="300"/>
        <v/>
      </c>
      <c r="EI220" s="73" t="str">
        <f t="shared" si="338"/>
        <v/>
      </c>
      <c r="EJ220" s="73" t="str">
        <f t="shared" si="301"/>
        <v/>
      </c>
      <c r="EK220" s="73" t="str">
        <f t="shared" si="302"/>
        <v/>
      </c>
      <c r="EL220" s="73" t="str">
        <f t="shared" si="339"/>
        <v/>
      </c>
      <c r="EM220" s="73" t="str">
        <f t="shared" si="340"/>
        <v/>
      </c>
      <c r="EN220" s="73" t="str">
        <f t="shared" si="303"/>
        <v/>
      </c>
      <c r="EO220" s="73" t="str">
        <f t="shared" si="304"/>
        <v/>
      </c>
      <c r="EP220" s="73" t="str">
        <f t="shared" si="305"/>
        <v/>
      </c>
      <c r="EQ220" s="53" t="str">
        <f t="shared" si="306"/>
        <v/>
      </c>
      <c r="ER220" s="47" t="s">
        <v>0</v>
      </c>
      <c r="ES220" s="19" t="str">
        <f t="shared" si="341"/>
        <v/>
      </c>
      <c r="ET220" s="47" t="s">
        <v>0</v>
      </c>
      <c r="EU220" s="19" t="str">
        <f t="shared" si="342"/>
        <v/>
      </c>
      <c r="EV220" s="47" t="s">
        <v>0</v>
      </c>
      <c r="EW220" s="180" t="str">
        <f t="shared" si="307"/>
        <v/>
      </c>
      <c r="EX220" s="47" t="s">
        <v>0</v>
      </c>
    </row>
    <row r="221" spans="1:154" x14ac:dyDescent="0.25">
      <c r="A221" t="s">
        <v>0</v>
      </c>
      <c r="B221" s="52" t="str">
        <f>IF(csv!F211="","",csv!T211)</f>
        <v>Ž14</v>
      </c>
      <c r="C221" s="31" t="s">
        <v>0</v>
      </c>
      <c r="D221" s="31" t="str">
        <f>IF(csv!F211="","",csv!F211)</f>
        <v>Paola</v>
      </c>
      <c r="E221" s="31" t="str">
        <f>IF(csv!E211="","",csv!E211)</f>
        <v>Rako</v>
      </c>
      <c r="F221" s="31" t="s">
        <v>0</v>
      </c>
      <c r="G221" s="73" t="str">
        <f>IF(csv!M211="","",csv!M211)</f>
        <v>30:24</v>
      </c>
      <c r="H221" s="73" t="str">
        <f>IF(csv!N211="","",csv!N211)</f>
        <v>0</v>
      </c>
      <c r="I221" s="31" t="s">
        <v>0</v>
      </c>
      <c r="J221" s="31" t="str">
        <f>IF(csv!P211="","",csv!P211)</f>
        <v>Vihor</v>
      </c>
      <c r="K221" s="31" t="str">
        <f>IF(csv!Q211="","",csv!Q211)</f>
        <v>OK Vihor</v>
      </c>
      <c r="L221" s="31" t="s">
        <v>0</v>
      </c>
      <c r="M221" s="66" t="str">
        <f>IF(csv!R211="","",csv!R211)</f>
        <v>CRO</v>
      </c>
      <c r="N221" s="47" t="s">
        <v>0</v>
      </c>
      <c r="O221" s="246" t="str">
        <f t="shared" si="308"/>
        <v>ok</v>
      </c>
      <c r="P221" s="47"/>
      <c r="Q221" s="52" t="str">
        <f t="shared" si="309"/>
        <v>Ž14</v>
      </c>
      <c r="R221" s="73">
        <f>IF(Q221="","",IF(COUNTIF(Q$12:Q220,Q221)=0,R220+1,R220))</f>
        <v>14</v>
      </c>
      <c r="S221" s="73">
        <f t="shared" si="310"/>
        <v>121</v>
      </c>
      <c r="T221" s="73">
        <f t="shared" si="273"/>
        <v>21</v>
      </c>
      <c r="U221" s="66" t="str">
        <f t="shared" si="274"/>
        <v>M14 – Ž14</v>
      </c>
      <c r="V221" s="47" t="s">
        <v>0</v>
      </c>
      <c r="W221" s="222" t="str">
        <f t="shared" si="275"/>
        <v>Ž14</v>
      </c>
      <c r="X221" s="223">
        <f t="shared" si="276"/>
        <v>36</v>
      </c>
      <c r="Y221" s="47" t="s">
        <v>0</v>
      </c>
      <c r="Z221" s="52" t="str">
        <f t="shared" si="311"/>
        <v>CRO</v>
      </c>
      <c r="AA221" s="73">
        <f t="shared" si="277"/>
        <v>1</v>
      </c>
      <c r="AB221" s="31" t="str">
        <f t="shared" si="312"/>
        <v/>
      </c>
      <c r="AC221" s="66" t="str">
        <f>IF(AB221="","",MAX(AC$12:AC220)+1)</f>
        <v/>
      </c>
      <c r="AD221" s="47" t="s">
        <v>0</v>
      </c>
      <c r="AE221" s="125"/>
      <c r="AF221" s="47" t="s">
        <v>0</v>
      </c>
      <c r="AG221" s="19" t="str">
        <f t="shared" si="313"/>
        <v/>
      </c>
      <c r="AH221" s="47" t="s">
        <v>0</v>
      </c>
      <c r="AI221" s="143" t="str">
        <f t="shared" si="314"/>
        <v>CRO</v>
      </c>
      <c r="AJ221" s="47"/>
      <c r="AK221" s="52" t="str">
        <f t="shared" si="315"/>
        <v>Paola</v>
      </c>
      <c r="AL221" s="31" t="str">
        <f t="shared" si="316"/>
        <v>Rako</v>
      </c>
      <c r="AM221" s="73">
        <f t="shared" si="317"/>
        <v>1047</v>
      </c>
      <c r="AN221" s="73" t="str">
        <f t="shared" si="318"/>
        <v/>
      </c>
      <c r="AO221" s="31" t="str">
        <f t="shared" si="278"/>
        <v>Paola</v>
      </c>
      <c r="AP221" s="66" t="str">
        <f t="shared" si="279"/>
        <v>Rako</v>
      </c>
      <c r="AQ221" s="47" t="s">
        <v>0</v>
      </c>
      <c r="AR221" s="82" t="str">
        <f t="shared" si="319"/>
        <v/>
      </c>
      <c r="AS221" s="47" t="s">
        <v>0</v>
      </c>
      <c r="AT221" s="19" t="str">
        <f t="shared" si="320"/>
        <v/>
      </c>
      <c r="AU221" s="47" t="s">
        <v>0</v>
      </c>
      <c r="AV221" s="103"/>
      <c r="AW221" s="105"/>
      <c r="AX221" s="47" t="s">
        <v>0</v>
      </c>
      <c r="AY221" s="259" t="str">
        <f t="shared" si="343"/>
        <v/>
      </c>
      <c r="AZ221" s="47" t="s">
        <v>0</v>
      </c>
      <c r="BA221" s="52" t="str">
        <f t="shared" si="280"/>
        <v/>
      </c>
      <c r="BB221" s="73" t="str">
        <f>IF(AV221&amp;AW221="","",MAX(BB$12:BB220)+1)</f>
        <v/>
      </c>
      <c r="BC221" s="272" t="str">
        <f t="shared" si="281"/>
        <v/>
      </c>
      <c r="BD221" s="53" t="str">
        <f>IF(AND(AM221="NEMA",AN221="NEMA",OR(AV221&amp;AW221="",BC221="NEMA")),MAX(BD$12:BD220)+1,"")</f>
        <v/>
      </c>
      <c r="BE221" s="47" t="s">
        <v>0</v>
      </c>
      <c r="BF221" s="52" t="str">
        <f t="shared" si="321"/>
        <v>Paola</v>
      </c>
      <c r="BG221" s="66" t="str">
        <f t="shared" si="322"/>
        <v>Rako</v>
      </c>
      <c r="BH221" s="47" t="s">
        <v>0</v>
      </c>
      <c r="BI221" s="52" t="str">
        <f t="shared" si="282"/>
        <v>Vihor</v>
      </c>
      <c r="BJ221" s="31" t="str">
        <f t="shared" si="283"/>
        <v>OK Vihor</v>
      </c>
      <c r="BK221" s="73" t="str">
        <f t="shared" si="284"/>
        <v/>
      </c>
      <c r="BL221" s="31" t="str" cm="1">
        <f t="array" ref="BL221">IF(BK221="",""&amp;BJ221,IF(BK221="NEMA",BJ221,INDEX(regKlub_naziv,MATCH(INDEX(regKlub_alias_klubId,BK221),regKlub_id,0))))</f>
        <v>OK Vihor</v>
      </c>
      <c r="BM221" s="31" t="str" cm="1">
        <f t="array" ref="BM221">IFERROR(""&amp;INDEX(regNatjecatelj_klub,DV221),"")</f>
        <v>OK Vihor</v>
      </c>
      <c r="BN221" s="88" t="str">
        <f t="shared" si="323"/>
        <v/>
      </c>
      <c r="BO221" s="66" t="str">
        <f t="shared" si="324"/>
        <v>OK Vihor</v>
      </c>
      <c r="BP221" s="47" t="s">
        <v>0</v>
      </c>
      <c r="BQ221" s="52" t="str">
        <f>IF(X221&lt;&gt;"NEMA","",IF(IFERROR(MATCH(W221,W$12:W220,0),0)&lt;&gt;0,"",W221))</f>
        <v/>
      </c>
      <c r="BR221" s="73" t="str">
        <f t="shared" si="325"/>
        <v/>
      </c>
      <c r="BS221" s="31" t="str">
        <f>IF(OR(BR221="",BR221&lt;&gt;"NEMA"),"",MAX(BS$12:BS220)+1)</f>
        <v/>
      </c>
      <c r="BT221" s="66" t="str">
        <f t="shared" si="326"/>
        <v/>
      </c>
      <c r="BU221" s="47" t="s">
        <v>0</v>
      </c>
      <c r="BV221" s="19" t="str">
        <f t="shared" si="327"/>
        <v/>
      </c>
      <c r="BW221" s="47" t="s">
        <v>0</v>
      </c>
      <c r="BX221" s="82" t="str">
        <f>IF(BK221&lt;&gt;"NEMA","",IF(IFERROR(MATCH(BJ221,BJ$12:BJ220,0),0)&lt;&gt;0,"",BJ221))</f>
        <v/>
      </c>
      <c r="BY221" s="47" t="s">
        <v>0</v>
      </c>
      <c r="BZ221" s="125"/>
      <c r="CA221" s="47" t="s">
        <v>0</v>
      </c>
      <c r="CB221" s="58" t="str">
        <f t="shared" si="328"/>
        <v/>
      </c>
      <c r="CC221" s="31" t="str">
        <f t="shared" si="329"/>
        <v/>
      </c>
      <c r="CD221" s="31" t="str">
        <f>IF(CC221="","",MAX(CD$12:CD220)+1)</f>
        <v/>
      </c>
      <c r="CE221" s="31" t="str">
        <f t="shared" si="285"/>
        <v/>
      </c>
      <c r="CF221" s="31" t="str">
        <f t="shared" si="330"/>
        <v/>
      </c>
      <c r="CG221" s="31" t="str">
        <f>IF(BZ221="","",MAX(CG$12:CG220)+1)</f>
        <v/>
      </c>
      <c r="CH221" s="31" t="str">
        <f t="shared" si="331"/>
        <v/>
      </c>
      <c r="CI221" s="66" t="str">
        <f t="shared" si="332"/>
        <v/>
      </c>
      <c r="CJ221" s="47" t="s">
        <v>0</v>
      </c>
      <c r="CK221" s="73" t="str">
        <f t="shared" si="286"/>
        <v/>
      </c>
      <c r="CL221" s="47"/>
      <c r="CM221" s="19" t="str">
        <f t="shared" si="333"/>
        <v/>
      </c>
      <c r="CN221" s="47" t="s">
        <v>0</v>
      </c>
      <c r="CO221" s="143" t="str">
        <f t="shared" si="334"/>
        <v>OK Vihor</v>
      </c>
      <c r="CP221" s="47" t="s">
        <v>0</v>
      </c>
      <c r="CQ221" s="58" t="str">
        <f t="shared" si="270"/>
        <v>30:24</v>
      </c>
      <c r="CR221" s="73" t="str">
        <f t="shared" si="271"/>
        <v>0</v>
      </c>
      <c r="CS221" s="229" t="str">
        <f t="shared" si="287"/>
        <v/>
      </c>
      <c r="CT221" s="230">
        <f t="shared" si="272"/>
        <v>1824</v>
      </c>
      <c r="CU221" s="163">
        <f t="shared" si="288"/>
        <v>1</v>
      </c>
      <c r="CV221" s="47" t="s">
        <v>0</v>
      </c>
      <c r="CW221" s="222" t="str">
        <f t="shared" si="335"/>
        <v xml:space="preserve">
</v>
      </c>
      <c r="CX221" s="223">
        <f t="shared" si="336"/>
        <v>6</v>
      </c>
      <c r="CY221" s="47" t="s">
        <v>0</v>
      </c>
      <c r="CZ221" s="47"/>
      <c r="DA221" s="47"/>
      <c r="DB221" s="47"/>
      <c r="DC221" s="47" t="s">
        <v>0</v>
      </c>
      <c r="DD221" s="53" t="str">
        <f t="shared" si="344"/>
        <v/>
      </c>
      <c r="DE221" t="s">
        <v>0</v>
      </c>
      <c r="DF221" s="128" t="str">
        <f t="shared" si="345"/>
        <v>Ž</v>
      </c>
      <c r="DG221" t="s">
        <v>0</v>
      </c>
      <c r="DH221" s="52" t="str">
        <f t="shared" si="346"/>
        <v/>
      </c>
      <c r="DI221" s="66" t="str">
        <f t="shared" si="347"/>
        <v/>
      </c>
      <c r="DJ221" t="s">
        <v>0</v>
      </c>
      <c r="DK221" s="19" t="str">
        <f t="shared" si="348"/>
        <v/>
      </c>
      <c r="DL221" s="47" t="s">
        <v>0</v>
      </c>
      <c r="DM221" s="19" t="str">
        <f t="shared" si="349"/>
        <v/>
      </c>
      <c r="DN221" s="47" t="s">
        <v>0</v>
      </c>
      <c r="DO221" s="52" t="str">
        <f t="shared" si="289"/>
        <v>Paola – Rako – OK Vihor – Ž14</v>
      </c>
      <c r="DP221" s="53">
        <f t="shared" si="290"/>
        <v>870</v>
      </c>
      <c r="DQ221" s="47" t="s">
        <v>0</v>
      </c>
      <c r="DR221" s="52" t="str">
        <f t="shared" si="291"/>
        <v>Paola – Rako – OK Vihor</v>
      </c>
      <c r="DS221" s="53">
        <f t="shared" si="292"/>
        <v>870</v>
      </c>
      <c r="DT221" s="47" t="s">
        <v>0</v>
      </c>
      <c r="DU221" s="52" t="str">
        <f t="shared" si="293"/>
        <v>Paola – Rako</v>
      </c>
      <c r="DV221" s="53">
        <f t="shared" si="294"/>
        <v>870</v>
      </c>
      <c r="DW221" s="47" t="s">
        <v>0</v>
      </c>
      <c r="DX221" s="58">
        <f t="shared" si="337"/>
        <v>870</v>
      </c>
      <c r="DY221" s="53" cm="1">
        <f t="array" ref="DY221">IF(DX221&lt;&gt;"",INDEX(regNatjecatelj_id,DX221,0),IF(BD221&lt;&gt;"",BD221,""))</f>
        <v>1047</v>
      </c>
      <c r="DZ221" s="47" t="s">
        <v>0</v>
      </c>
      <c r="EA221" s="58" t="str">
        <f t="shared" si="295"/>
        <v>imepre</v>
      </c>
      <c r="EB221" s="73" t="str">
        <f t="shared" si="296"/>
        <v>klu</v>
      </c>
      <c r="EC221" s="73" t="str">
        <f t="shared" si="297"/>
        <v>kat</v>
      </c>
      <c r="ED221" s="73" t="str">
        <f t="shared" si="298"/>
        <v/>
      </c>
      <c r="EE221" s="66" t="str">
        <f t="shared" si="299"/>
        <v>imepre-klu-kat</v>
      </c>
      <c r="EF221" s="47" t="s">
        <v>0</v>
      </c>
      <c r="EG221" s="58">
        <f>IF(AL221="","",MAX(EG$12:EG220)+1)</f>
        <v>380</v>
      </c>
      <c r="EH221" s="73">
        <f t="shared" si="300"/>
        <v>36</v>
      </c>
      <c r="EI221" s="73">
        <f t="shared" si="338"/>
        <v>1047</v>
      </c>
      <c r="EJ221" s="73">
        <f t="shared" si="301"/>
        <v>1824</v>
      </c>
      <c r="EK221" s="73">
        <f t="shared" si="302"/>
        <v>1</v>
      </c>
      <c r="EL221" s="73">
        <f t="shared" si="339"/>
        <v>1</v>
      </c>
      <c r="EM221" s="73">
        <f t="shared" si="340"/>
        <v>1</v>
      </c>
      <c r="EN221" s="73" t="str">
        <f t="shared" si="303"/>
        <v>0</v>
      </c>
      <c r="EO221" s="73" t="str">
        <f t="shared" si="304"/>
        <v/>
      </c>
      <c r="EP221" s="73" t="str">
        <f t="shared" si="305"/>
        <v/>
      </c>
      <c r="EQ221" s="53" t="str">
        <f t="shared" si="306"/>
        <v/>
      </c>
      <c r="ER221" s="47" t="s">
        <v>0</v>
      </c>
      <c r="ES221" s="19" t="str">
        <f t="shared" si="341"/>
        <v>INSERT INTO rezultat(id,stazakategorija_id,imeprezime_id,vrijeme_sec,status_id,registracija,uparivanje_id,originalstatus_id,imeprezimealias_id,klubalias_id,kategorijaalias_id) VALUES (380,36,1047,1824,1,1,1,0,Null,Null,Null);</v>
      </c>
      <c r="ET221" s="47" t="s">
        <v>0</v>
      </c>
      <c r="EU221" s="19" t="str">
        <f t="shared" si="342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1" s="47" t="s">
        <v>0</v>
      </c>
      <c r="EW221" s="180" t="str">
        <f t="shared" si="307"/>
        <v xml:space="preserve">
INSERT INTO rezultat(id,stazakategorija_id,imeprezime_id,vrijeme_sec,status_id,registracija,uparivanje_id,originalstatus_id,imeprezimealias_id,klubalias_id,kategorijaalias_id) VALUES (380,36,1047,1824,1,1,1,0,Null,Null,Null);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1" s="47" t="s">
        <v>0</v>
      </c>
    </row>
    <row r="222" spans="1:154" x14ac:dyDescent="0.25">
      <c r="A222" t="s">
        <v>0</v>
      </c>
      <c r="B222" s="52" t="str">
        <f>IF(csv!F212="","",csv!T212)</f>
        <v>Ž14</v>
      </c>
      <c r="C222" s="31" t="s">
        <v>0</v>
      </c>
      <c r="D222" s="31" t="str">
        <f>IF(csv!F212="","",csv!F212)</f>
        <v>Monika</v>
      </c>
      <c r="E222" s="31" t="str">
        <f>IF(csv!E212="","",csv!E212)</f>
        <v>Pavić</v>
      </c>
      <c r="F222" s="31" t="s">
        <v>0</v>
      </c>
      <c r="G222" s="73" t="str">
        <f>IF(csv!M212="","",csv!M212)</f>
        <v>46:42</v>
      </c>
      <c r="H222" s="73" t="str">
        <f>IF(csv!N212="","",csv!N212)</f>
        <v>0</v>
      </c>
      <c r="I222" s="31" t="s">
        <v>0</v>
      </c>
      <c r="J222" s="31" t="str">
        <f>IF(csv!P212="","",csv!P212)</f>
        <v>Vihor</v>
      </c>
      <c r="K222" s="31" t="str">
        <f>IF(csv!Q212="","",csv!Q212)</f>
        <v>OK Vihor</v>
      </c>
      <c r="L222" s="31" t="s">
        <v>0</v>
      </c>
      <c r="M222" s="66" t="str">
        <f>IF(csv!R212="","",csv!R212)</f>
        <v>CRO</v>
      </c>
      <c r="N222" s="47" t="s">
        <v>0</v>
      </c>
      <c r="O222" s="246" t="str">
        <f t="shared" si="308"/>
        <v>ok</v>
      </c>
      <c r="P222" s="47"/>
      <c r="Q222" s="52" t="str">
        <f t="shared" si="309"/>
        <v>Ž14</v>
      </c>
      <c r="R222" s="73">
        <f>IF(Q222="","",IF(COUNTIF(Q$12:Q221,Q222)=0,R221+1,R221))</f>
        <v>14</v>
      </c>
      <c r="S222" s="73">
        <f t="shared" si="310"/>
        <v>121</v>
      </c>
      <c r="T222" s="73">
        <f t="shared" si="273"/>
        <v>21</v>
      </c>
      <c r="U222" s="66" t="str">
        <f t="shared" si="274"/>
        <v>M14 – Ž14</v>
      </c>
      <c r="V222" s="47" t="s">
        <v>0</v>
      </c>
      <c r="W222" s="222" t="str">
        <f t="shared" si="275"/>
        <v>Ž14</v>
      </c>
      <c r="X222" s="223">
        <f t="shared" si="276"/>
        <v>36</v>
      </c>
      <c r="Y222" s="47" t="s">
        <v>0</v>
      </c>
      <c r="Z222" s="52" t="str">
        <f t="shared" si="311"/>
        <v>CRO</v>
      </c>
      <c r="AA222" s="73">
        <f t="shared" si="277"/>
        <v>1</v>
      </c>
      <c r="AB222" s="31" t="str">
        <f t="shared" si="312"/>
        <v/>
      </c>
      <c r="AC222" s="66" t="str">
        <f>IF(AB222="","",MAX(AC$12:AC221)+1)</f>
        <v/>
      </c>
      <c r="AD222" s="47" t="s">
        <v>0</v>
      </c>
      <c r="AE222" s="125"/>
      <c r="AF222" s="47" t="s">
        <v>0</v>
      </c>
      <c r="AG222" s="19" t="str">
        <f t="shared" si="313"/>
        <v/>
      </c>
      <c r="AH222" s="47" t="s">
        <v>0</v>
      </c>
      <c r="AI222" s="143" t="str">
        <f t="shared" si="314"/>
        <v>CRO</v>
      </c>
      <c r="AJ222" s="47"/>
      <c r="AK222" s="52" t="str">
        <f t="shared" si="315"/>
        <v>Monika</v>
      </c>
      <c r="AL222" s="31" t="str">
        <f t="shared" si="316"/>
        <v>Pavić</v>
      </c>
      <c r="AM222" s="73">
        <f t="shared" si="317"/>
        <v>1530</v>
      </c>
      <c r="AN222" s="73" t="str">
        <f t="shared" si="318"/>
        <v/>
      </c>
      <c r="AO222" s="31" t="str">
        <f t="shared" si="278"/>
        <v>Monika</v>
      </c>
      <c r="AP222" s="66" t="str">
        <f t="shared" si="279"/>
        <v>Pavić</v>
      </c>
      <c r="AQ222" s="47" t="s">
        <v>0</v>
      </c>
      <c r="AR222" s="82" t="str">
        <f t="shared" si="319"/>
        <v/>
      </c>
      <c r="AS222" s="47" t="s">
        <v>0</v>
      </c>
      <c r="AT222" s="19" t="str">
        <f t="shared" si="320"/>
        <v/>
      </c>
      <c r="AU222" s="47" t="s">
        <v>0</v>
      </c>
      <c r="AV222" s="103"/>
      <c r="AW222" s="105"/>
      <c r="AX222" s="47" t="s">
        <v>0</v>
      </c>
      <c r="AY222" s="259" t="str">
        <f t="shared" si="343"/>
        <v/>
      </c>
      <c r="AZ222" s="47" t="s">
        <v>0</v>
      </c>
      <c r="BA222" s="52" t="str">
        <f t="shared" si="280"/>
        <v/>
      </c>
      <c r="BB222" s="73" t="str">
        <f>IF(AV222&amp;AW222="","",MAX(BB$12:BB221)+1)</f>
        <v/>
      </c>
      <c r="BC222" s="272" t="str">
        <f t="shared" si="281"/>
        <v/>
      </c>
      <c r="BD222" s="53" t="str">
        <f>IF(AND(AM222="NEMA",AN222="NEMA",OR(AV222&amp;AW222="",BC222="NEMA")),MAX(BD$12:BD221)+1,"")</f>
        <v/>
      </c>
      <c r="BE222" s="47" t="s">
        <v>0</v>
      </c>
      <c r="BF222" s="52" t="str">
        <f t="shared" si="321"/>
        <v>Monika</v>
      </c>
      <c r="BG222" s="66" t="str">
        <f t="shared" si="322"/>
        <v>Pavić</v>
      </c>
      <c r="BH222" s="47" t="s">
        <v>0</v>
      </c>
      <c r="BI222" s="52" t="str">
        <f t="shared" si="282"/>
        <v>Vihor</v>
      </c>
      <c r="BJ222" s="31" t="str">
        <f t="shared" si="283"/>
        <v>OK Vihor</v>
      </c>
      <c r="BK222" s="73" t="str">
        <f t="shared" si="284"/>
        <v/>
      </c>
      <c r="BL222" s="31" t="str" cm="1">
        <f t="array" ref="BL222">IF(BK222="",""&amp;BJ222,IF(BK222="NEMA",BJ222,INDEX(regKlub_naziv,MATCH(INDEX(regKlub_alias_klubId,BK222),regKlub_id,0))))</f>
        <v>OK Vihor</v>
      </c>
      <c r="BM222" s="31" t="str" cm="1">
        <f t="array" ref="BM222">IFERROR(""&amp;INDEX(regNatjecatelj_klub,DV222),"")</f>
        <v>OK Vihor</v>
      </c>
      <c r="BN222" s="88" t="str">
        <f t="shared" si="323"/>
        <v/>
      </c>
      <c r="BO222" s="66" t="str">
        <f t="shared" si="324"/>
        <v>OK Vihor</v>
      </c>
      <c r="BP222" s="47" t="s">
        <v>0</v>
      </c>
      <c r="BQ222" s="52" t="str">
        <f>IF(X222&lt;&gt;"NEMA","",IF(IFERROR(MATCH(W222,W$12:W221,0),0)&lt;&gt;0,"",W222))</f>
        <v/>
      </c>
      <c r="BR222" s="73" t="str">
        <f t="shared" si="325"/>
        <v/>
      </c>
      <c r="BS222" s="31" t="str">
        <f>IF(OR(BR222="",BR222&lt;&gt;"NEMA"),"",MAX(BS$12:BS221)+1)</f>
        <v/>
      </c>
      <c r="BT222" s="66" t="str">
        <f t="shared" si="326"/>
        <v/>
      </c>
      <c r="BU222" s="47" t="s">
        <v>0</v>
      </c>
      <c r="BV222" s="19" t="str">
        <f t="shared" si="327"/>
        <v/>
      </c>
      <c r="BW222" s="47" t="s">
        <v>0</v>
      </c>
      <c r="BX222" s="82" t="str">
        <f>IF(BK222&lt;&gt;"NEMA","",IF(IFERROR(MATCH(BJ222,BJ$12:BJ221,0),0)&lt;&gt;0,"",BJ222))</f>
        <v/>
      </c>
      <c r="BY222" s="47" t="s">
        <v>0</v>
      </c>
      <c r="BZ222" s="125"/>
      <c r="CA222" s="47" t="s">
        <v>0</v>
      </c>
      <c r="CB222" s="58" t="str">
        <f t="shared" si="328"/>
        <v/>
      </c>
      <c r="CC222" s="31" t="str">
        <f t="shared" si="329"/>
        <v/>
      </c>
      <c r="CD222" s="31" t="str">
        <f>IF(CC222="","",MAX(CD$12:CD221)+1)</f>
        <v/>
      </c>
      <c r="CE222" s="31" t="str">
        <f t="shared" si="285"/>
        <v/>
      </c>
      <c r="CF222" s="31" t="str">
        <f t="shared" si="330"/>
        <v/>
      </c>
      <c r="CG222" s="31" t="str">
        <f>IF(BZ222="","",MAX(CG$12:CG221)+1)</f>
        <v/>
      </c>
      <c r="CH222" s="31" t="str">
        <f t="shared" si="331"/>
        <v/>
      </c>
      <c r="CI222" s="66" t="str">
        <f t="shared" si="332"/>
        <v/>
      </c>
      <c r="CJ222" s="47" t="s">
        <v>0</v>
      </c>
      <c r="CK222" s="73" t="str">
        <f t="shared" si="286"/>
        <v/>
      </c>
      <c r="CL222" s="47"/>
      <c r="CM222" s="19" t="str">
        <f t="shared" si="333"/>
        <v/>
      </c>
      <c r="CN222" s="47" t="s">
        <v>0</v>
      </c>
      <c r="CO222" s="143" t="str">
        <f t="shared" si="334"/>
        <v>OK Vihor</v>
      </c>
      <c r="CP222" s="47" t="s">
        <v>0</v>
      </c>
      <c r="CQ222" s="58" t="str">
        <f t="shared" si="270"/>
        <v>46:42</v>
      </c>
      <c r="CR222" s="73" t="str">
        <f t="shared" si="271"/>
        <v>0</v>
      </c>
      <c r="CS222" s="229" t="str">
        <f t="shared" si="287"/>
        <v/>
      </c>
      <c r="CT222" s="230">
        <f t="shared" si="272"/>
        <v>2802</v>
      </c>
      <c r="CU222" s="163">
        <f t="shared" si="288"/>
        <v>1</v>
      </c>
      <c r="CV222" s="47" t="s">
        <v>0</v>
      </c>
      <c r="CW222" s="222" t="str">
        <f t="shared" si="335"/>
        <v xml:space="preserve">
</v>
      </c>
      <c r="CX222" s="223">
        <f t="shared" si="336"/>
        <v>6</v>
      </c>
      <c r="CY222" s="47" t="s">
        <v>0</v>
      </c>
      <c r="CZ222" s="47"/>
      <c r="DA222" s="47"/>
      <c r="DB222" s="47"/>
      <c r="DC222" s="47" t="s">
        <v>0</v>
      </c>
      <c r="DD222" s="53" t="str">
        <f t="shared" si="344"/>
        <v/>
      </c>
      <c r="DE222" t="s">
        <v>0</v>
      </c>
      <c r="DF222" s="128" t="str">
        <f t="shared" si="345"/>
        <v>Ž</v>
      </c>
      <c r="DG222" t="s">
        <v>0</v>
      </c>
      <c r="DH222" s="52" t="str">
        <f t="shared" si="346"/>
        <v/>
      </c>
      <c r="DI222" s="66" t="str">
        <f t="shared" si="347"/>
        <v/>
      </c>
      <c r="DJ222" t="s">
        <v>0</v>
      </c>
      <c r="DK222" s="19" t="str">
        <f t="shared" si="348"/>
        <v/>
      </c>
      <c r="DL222" s="47" t="s">
        <v>0</v>
      </c>
      <c r="DM222" s="19" t="str">
        <f t="shared" si="349"/>
        <v/>
      </c>
      <c r="DN222" s="47" t="s">
        <v>0</v>
      </c>
      <c r="DO222" s="52" t="str">
        <f t="shared" si="289"/>
        <v>Monika – Pavić – OK Vihor – Ž14</v>
      </c>
      <c r="DP222" s="53">
        <f t="shared" si="290"/>
        <v>839</v>
      </c>
      <c r="DQ222" s="47" t="s">
        <v>0</v>
      </c>
      <c r="DR222" s="52" t="str">
        <f t="shared" si="291"/>
        <v>Monika – Pavić – OK Vihor</v>
      </c>
      <c r="DS222" s="53">
        <f t="shared" si="292"/>
        <v>839</v>
      </c>
      <c r="DT222" s="47" t="s">
        <v>0</v>
      </c>
      <c r="DU222" s="52" t="str">
        <f t="shared" si="293"/>
        <v>Monika – Pavić</v>
      </c>
      <c r="DV222" s="53">
        <f t="shared" si="294"/>
        <v>839</v>
      </c>
      <c r="DW222" s="47" t="s">
        <v>0</v>
      </c>
      <c r="DX222" s="58">
        <f t="shared" si="337"/>
        <v>839</v>
      </c>
      <c r="DY222" s="53" cm="1">
        <f t="array" ref="DY222">IF(DX222&lt;&gt;"",INDEX(regNatjecatelj_id,DX222,0),IF(BD222&lt;&gt;"",BD222,""))</f>
        <v>1530</v>
      </c>
      <c r="DZ222" s="47" t="s">
        <v>0</v>
      </c>
      <c r="EA222" s="58" t="str">
        <f t="shared" si="295"/>
        <v>imepre</v>
      </c>
      <c r="EB222" s="73" t="str">
        <f t="shared" si="296"/>
        <v>klu</v>
      </c>
      <c r="EC222" s="73" t="str">
        <f t="shared" si="297"/>
        <v>kat</v>
      </c>
      <c r="ED222" s="73" t="str">
        <f t="shared" si="298"/>
        <v/>
      </c>
      <c r="EE222" s="66" t="str">
        <f t="shared" si="299"/>
        <v>imepre-klu-kat</v>
      </c>
      <c r="EF222" s="47" t="s">
        <v>0</v>
      </c>
      <c r="EG222" s="58">
        <f>IF(AL222="","",MAX(EG$12:EG221)+1)</f>
        <v>381</v>
      </c>
      <c r="EH222" s="73">
        <f t="shared" si="300"/>
        <v>36</v>
      </c>
      <c r="EI222" s="73">
        <f t="shared" si="338"/>
        <v>1530</v>
      </c>
      <c r="EJ222" s="73">
        <f t="shared" si="301"/>
        <v>2802</v>
      </c>
      <c r="EK222" s="73">
        <f t="shared" si="302"/>
        <v>1</v>
      </c>
      <c r="EL222" s="73">
        <f t="shared" si="339"/>
        <v>1</v>
      </c>
      <c r="EM222" s="73">
        <f t="shared" si="340"/>
        <v>1</v>
      </c>
      <c r="EN222" s="73" t="str">
        <f t="shared" si="303"/>
        <v>0</v>
      </c>
      <c r="EO222" s="73" t="str">
        <f t="shared" si="304"/>
        <v/>
      </c>
      <c r="EP222" s="73" t="str">
        <f t="shared" si="305"/>
        <v/>
      </c>
      <c r="EQ222" s="53" t="str">
        <f t="shared" si="306"/>
        <v/>
      </c>
      <c r="ER222" s="47" t="s">
        <v>0</v>
      </c>
      <c r="ES222" s="19" t="str">
        <f t="shared" si="341"/>
        <v>INSERT INTO rezultat(id,stazakategorija_id,imeprezime_id,vrijeme_sec,status_id,registracija,uparivanje_id,originalstatus_id,imeprezimealias_id,klubalias_id,kategorijaalias_id) VALUES (381,36,1530,2802,1,1,1,0,Null,Null,Null);</v>
      </c>
      <c r="ET222" s="47" t="s">
        <v>0</v>
      </c>
      <c r="EU222" s="19" t="str">
        <f t="shared" si="342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2" s="47" t="s">
        <v>0</v>
      </c>
      <c r="EW222" s="180" t="str">
        <f t="shared" si="307"/>
        <v xml:space="preserve">
INSERT INTO rezultat(id,stazakategorija_id,imeprezime_id,vrijeme_sec,status_id,registracija,uparivanje_id,originalstatus_id,imeprezimealias_id,klubalias_id,kategorijaalias_id) VALUES (381,36,1530,2802,1,1,1,0,Null,Null,Null);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2" s="47" t="s">
        <v>0</v>
      </c>
    </row>
    <row r="223" spans="1:154" x14ac:dyDescent="0.25">
      <c r="A223" t="s">
        <v>0</v>
      </c>
      <c r="B223" s="52" t="str">
        <f>IF(csv!F213="","",csv!T213)</f>
        <v>Ž14</v>
      </c>
      <c r="C223" s="31" t="s">
        <v>0</v>
      </c>
      <c r="D223" s="31" t="str">
        <f>IF(csv!F213="","",csv!F213)</f>
        <v>Lucija</v>
      </c>
      <c r="E223" s="31" t="str">
        <f>IF(csv!E213="","",csv!E213)</f>
        <v>Hercigonja</v>
      </c>
      <c r="F223" s="31" t="s">
        <v>0</v>
      </c>
      <c r="G223" s="73" t="str">
        <f>IF(csv!M213="","",csv!M213)</f>
        <v>53:09</v>
      </c>
      <c r="H223" s="73" t="str">
        <f>IF(csv!N213="","",csv!N213)</f>
        <v>0</v>
      </c>
      <c r="I223" s="31" t="s">
        <v>0</v>
      </c>
      <c r="J223" s="31" t="str">
        <f>IF(csv!P213="","",csv!P213)</f>
        <v>KAP</v>
      </c>
      <c r="K223" s="31" t="str">
        <f>IF(csv!Q213="","",csv!Q213)</f>
        <v>OK Kapela</v>
      </c>
      <c r="L223" s="31" t="s">
        <v>0</v>
      </c>
      <c r="M223" s="66" t="str">
        <f>IF(csv!R213="","",csv!R213)</f>
        <v>CRO</v>
      </c>
      <c r="N223" s="47" t="s">
        <v>0</v>
      </c>
      <c r="O223" s="246" t="str">
        <f t="shared" si="308"/>
        <v>ok</v>
      </c>
      <c r="P223" s="47"/>
      <c r="Q223" s="52" t="str">
        <f t="shared" si="309"/>
        <v>Ž14</v>
      </c>
      <c r="R223" s="73">
        <f>IF(Q223="","",IF(COUNTIF(Q$12:Q222,Q223)=0,R222+1,R222))</f>
        <v>14</v>
      </c>
      <c r="S223" s="73">
        <f t="shared" si="310"/>
        <v>121</v>
      </c>
      <c r="T223" s="73">
        <f t="shared" si="273"/>
        <v>21</v>
      </c>
      <c r="U223" s="66" t="str">
        <f t="shared" si="274"/>
        <v>M14 – Ž14</v>
      </c>
      <c r="V223" s="47" t="s">
        <v>0</v>
      </c>
      <c r="W223" s="222" t="str">
        <f t="shared" si="275"/>
        <v>Ž14</v>
      </c>
      <c r="X223" s="223">
        <f t="shared" si="276"/>
        <v>36</v>
      </c>
      <c r="Y223" s="47" t="s">
        <v>0</v>
      </c>
      <c r="Z223" s="52" t="str">
        <f t="shared" si="311"/>
        <v>CRO</v>
      </c>
      <c r="AA223" s="73">
        <f t="shared" si="277"/>
        <v>1</v>
      </c>
      <c r="AB223" s="31" t="str">
        <f t="shared" si="312"/>
        <v/>
      </c>
      <c r="AC223" s="66" t="str">
        <f>IF(AB223="","",MAX(AC$12:AC222)+1)</f>
        <v/>
      </c>
      <c r="AD223" s="47" t="s">
        <v>0</v>
      </c>
      <c r="AE223" s="125"/>
      <c r="AF223" s="47" t="s">
        <v>0</v>
      </c>
      <c r="AG223" s="19" t="str">
        <f t="shared" si="313"/>
        <v/>
      </c>
      <c r="AH223" s="47" t="s">
        <v>0</v>
      </c>
      <c r="AI223" s="143" t="str">
        <f t="shared" si="314"/>
        <v>CRO</v>
      </c>
      <c r="AJ223" s="47"/>
      <c r="AK223" s="52" t="str">
        <f t="shared" si="315"/>
        <v>Lucija</v>
      </c>
      <c r="AL223" s="31" t="str">
        <f t="shared" si="316"/>
        <v>Hercigonja</v>
      </c>
      <c r="AM223" s="73">
        <f t="shared" si="317"/>
        <v>1467</v>
      </c>
      <c r="AN223" s="73" t="str">
        <f t="shared" si="318"/>
        <v/>
      </c>
      <c r="AO223" s="31" t="str">
        <f t="shared" si="278"/>
        <v>Lucija</v>
      </c>
      <c r="AP223" s="66" t="str">
        <f t="shared" si="279"/>
        <v>Hercigonja</v>
      </c>
      <c r="AQ223" s="47" t="s">
        <v>0</v>
      </c>
      <c r="AR223" s="82" t="str">
        <f t="shared" si="319"/>
        <v/>
      </c>
      <c r="AS223" s="47" t="s">
        <v>0</v>
      </c>
      <c r="AT223" s="19" t="str">
        <f t="shared" si="320"/>
        <v/>
      </c>
      <c r="AU223" s="47" t="s">
        <v>0</v>
      </c>
      <c r="AV223" s="103"/>
      <c r="AW223" s="105"/>
      <c r="AX223" s="47" t="s">
        <v>0</v>
      </c>
      <c r="AY223" s="259" t="str">
        <f t="shared" si="343"/>
        <v/>
      </c>
      <c r="AZ223" s="47" t="s">
        <v>0</v>
      </c>
      <c r="BA223" s="52" t="str">
        <f t="shared" si="280"/>
        <v/>
      </c>
      <c r="BB223" s="73" t="str">
        <f>IF(AV223&amp;AW223="","",MAX(BB$12:BB222)+1)</f>
        <v/>
      </c>
      <c r="BC223" s="272" t="str">
        <f t="shared" si="281"/>
        <v/>
      </c>
      <c r="BD223" s="53" t="str">
        <f>IF(AND(AM223="NEMA",AN223="NEMA",OR(AV223&amp;AW223="",BC223="NEMA")),MAX(BD$12:BD222)+1,"")</f>
        <v/>
      </c>
      <c r="BE223" s="47" t="s">
        <v>0</v>
      </c>
      <c r="BF223" s="52" t="str">
        <f t="shared" si="321"/>
        <v>Lucija</v>
      </c>
      <c r="BG223" s="66" t="str">
        <f t="shared" si="322"/>
        <v>Hercigonja</v>
      </c>
      <c r="BH223" s="47" t="s">
        <v>0</v>
      </c>
      <c r="BI223" s="52" t="str">
        <f t="shared" si="282"/>
        <v>KAP</v>
      </c>
      <c r="BJ223" s="31" t="str">
        <f t="shared" si="283"/>
        <v>OK Kapela</v>
      </c>
      <c r="BK223" s="73" t="str">
        <f t="shared" si="284"/>
        <v/>
      </c>
      <c r="BL223" s="31" t="str" cm="1">
        <f t="array" ref="BL223">IF(BK223="",""&amp;BJ223,IF(BK223="NEMA",BJ223,INDEX(regKlub_naziv,MATCH(INDEX(regKlub_alias_klubId,BK223),regKlub_id,0))))</f>
        <v>OK Kapela</v>
      </c>
      <c r="BM223" s="31" t="str" cm="1">
        <f t="array" ref="BM223">IFERROR(""&amp;INDEX(regNatjecatelj_klub,DV223),"")</f>
        <v>OK Kapela</v>
      </c>
      <c r="BN223" s="88" t="str">
        <f t="shared" si="323"/>
        <v/>
      </c>
      <c r="BO223" s="66" t="str">
        <f t="shared" si="324"/>
        <v>OK Kapela</v>
      </c>
      <c r="BP223" s="47" t="s">
        <v>0</v>
      </c>
      <c r="BQ223" s="52" t="str">
        <f>IF(X223&lt;&gt;"NEMA","",IF(IFERROR(MATCH(W223,W$12:W222,0),0)&lt;&gt;0,"",W223))</f>
        <v/>
      </c>
      <c r="BR223" s="73" t="str">
        <f t="shared" si="325"/>
        <v/>
      </c>
      <c r="BS223" s="31" t="str">
        <f>IF(OR(BR223="",BR223&lt;&gt;"NEMA"),"",MAX(BS$12:BS222)+1)</f>
        <v/>
      </c>
      <c r="BT223" s="66" t="str">
        <f t="shared" si="326"/>
        <v/>
      </c>
      <c r="BU223" s="47" t="s">
        <v>0</v>
      </c>
      <c r="BV223" s="19" t="str">
        <f t="shared" si="327"/>
        <v/>
      </c>
      <c r="BW223" s="47" t="s">
        <v>0</v>
      </c>
      <c r="BX223" s="82" t="str">
        <f>IF(BK223&lt;&gt;"NEMA","",IF(IFERROR(MATCH(BJ223,BJ$12:BJ222,0),0)&lt;&gt;0,"",BJ223))</f>
        <v/>
      </c>
      <c r="BY223" s="47" t="s">
        <v>0</v>
      </c>
      <c r="BZ223" s="125"/>
      <c r="CA223" s="47" t="s">
        <v>0</v>
      </c>
      <c r="CB223" s="58" t="str">
        <f t="shared" si="328"/>
        <v/>
      </c>
      <c r="CC223" s="31" t="str">
        <f t="shared" si="329"/>
        <v/>
      </c>
      <c r="CD223" s="31" t="str">
        <f>IF(CC223="","",MAX(CD$12:CD222)+1)</f>
        <v/>
      </c>
      <c r="CE223" s="31" t="str">
        <f t="shared" si="285"/>
        <v/>
      </c>
      <c r="CF223" s="31" t="str">
        <f t="shared" si="330"/>
        <v/>
      </c>
      <c r="CG223" s="31" t="str">
        <f>IF(BZ223="","",MAX(CG$12:CG222)+1)</f>
        <v/>
      </c>
      <c r="CH223" s="31" t="str">
        <f t="shared" si="331"/>
        <v/>
      </c>
      <c r="CI223" s="66" t="str">
        <f t="shared" si="332"/>
        <v/>
      </c>
      <c r="CJ223" s="47" t="s">
        <v>0</v>
      </c>
      <c r="CK223" s="73" t="str">
        <f t="shared" si="286"/>
        <v/>
      </c>
      <c r="CL223" s="47"/>
      <c r="CM223" s="19" t="str">
        <f t="shared" si="333"/>
        <v/>
      </c>
      <c r="CN223" s="47" t="s">
        <v>0</v>
      </c>
      <c r="CO223" s="143" t="str">
        <f t="shared" si="334"/>
        <v>OK Kapela</v>
      </c>
      <c r="CP223" s="47" t="s">
        <v>0</v>
      </c>
      <c r="CQ223" s="58" t="str">
        <f t="shared" si="270"/>
        <v>53:09</v>
      </c>
      <c r="CR223" s="73" t="str">
        <f t="shared" si="271"/>
        <v>0</v>
      </c>
      <c r="CS223" s="229" t="str">
        <f t="shared" si="287"/>
        <v/>
      </c>
      <c r="CT223" s="230">
        <f t="shared" si="272"/>
        <v>3189</v>
      </c>
      <c r="CU223" s="163">
        <f t="shared" si="288"/>
        <v>1</v>
      </c>
      <c r="CV223" s="47" t="s">
        <v>0</v>
      </c>
      <c r="CW223" s="222" t="str">
        <f t="shared" si="335"/>
        <v xml:space="preserve">
</v>
      </c>
      <c r="CX223" s="223">
        <f t="shared" si="336"/>
        <v>6</v>
      </c>
      <c r="CY223" s="47" t="s">
        <v>0</v>
      </c>
      <c r="CZ223" s="47"/>
      <c r="DA223" s="47"/>
      <c r="DB223" s="47"/>
      <c r="DC223" s="47" t="s">
        <v>0</v>
      </c>
      <c r="DD223" s="53" t="str">
        <f t="shared" si="344"/>
        <v/>
      </c>
      <c r="DE223" t="s">
        <v>0</v>
      </c>
      <c r="DF223" s="128" t="str">
        <f t="shared" si="345"/>
        <v>Ž</v>
      </c>
      <c r="DG223" t="s">
        <v>0</v>
      </c>
      <c r="DH223" s="52" t="str">
        <f t="shared" si="346"/>
        <v/>
      </c>
      <c r="DI223" s="66" t="str">
        <f t="shared" si="347"/>
        <v/>
      </c>
      <c r="DJ223" t="s">
        <v>0</v>
      </c>
      <c r="DK223" s="19" t="str">
        <f t="shared" si="348"/>
        <v/>
      </c>
      <c r="DL223" s="47" t="s">
        <v>0</v>
      </c>
      <c r="DM223" s="19" t="str">
        <f t="shared" si="349"/>
        <v/>
      </c>
      <c r="DN223" s="47" t="s">
        <v>0</v>
      </c>
      <c r="DO223" s="52" t="str">
        <f t="shared" si="289"/>
        <v>Lucija – Hercigonja – OK Kapela – Ž14</v>
      </c>
      <c r="DP223" s="53">
        <f t="shared" si="290"/>
        <v>251</v>
      </c>
      <c r="DQ223" s="47" t="s">
        <v>0</v>
      </c>
      <c r="DR223" s="52" t="str">
        <f t="shared" si="291"/>
        <v>Lucija – Hercigonja – OK Kapela</v>
      </c>
      <c r="DS223" s="53">
        <f t="shared" si="292"/>
        <v>251</v>
      </c>
      <c r="DT223" s="47" t="s">
        <v>0</v>
      </c>
      <c r="DU223" s="52" t="str">
        <f t="shared" si="293"/>
        <v>Lucija – Hercigonja</v>
      </c>
      <c r="DV223" s="53">
        <f t="shared" si="294"/>
        <v>251</v>
      </c>
      <c r="DW223" s="47" t="s">
        <v>0</v>
      </c>
      <c r="DX223" s="58">
        <f t="shared" si="337"/>
        <v>251</v>
      </c>
      <c r="DY223" s="53" cm="1">
        <f t="array" ref="DY223">IF(DX223&lt;&gt;"",INDEX(regNatjecatelj_id,DX223,0),IF(BD223&lt;&gt;"",BD223,""))</f>
        <v>1467</v>
      </c>
      <c r="DZ223" s="47" t="s">
        <v>0</v>
      </c>
      <c r="EA223" s="58" t="str">
        <f t="shared" si="295"/>
        <v>imepre</v>
      </c>
      <c r="EB223" s="73" t="str">
        <f t="shared" si="296"/>
        <v>klu</v>
      </c>
      <c r="EC223" s="73" t="str">
        <f t="shared" si="297"/>
        <v>kat</v>
      </c>
      <c r="ED223" s="73" t="str">
        <f t="shared" si="298"/>
        <v/>
      </c>
      <c r="EE223" s="66" t="str">
        <f t="shared" si="299"/>
        <v>imepre-klu-kat</v>
      </c>
      <c r="EF223" s="47" t="s">
        <v>0</v>
      </c>
      <c r="EG223" s="58">
        <f>IF(AL223="","",MAX(EG$12:EG222)+1)</f>
        <v>382</v>
      </c>
      <c r="EH223" s="73">
        <f t="shared" si="300"/>
        <v>36</v>
      </c>
      <c r="EI223" s="73">
        <f t="shared" si="338"/>
        <v>1467</v>
      </c>
      <c r="EJ223" s="73">
        <f t="shared" si="301"/>
        <v>3189</v>
      </c>
      <c r="EK223" s="73">
        <f t="shared" si="302"/>
        <v>1</v>
      </c>
      <c r="EL223" s="73">
        <f t="shared" si="339"/>
        <v>1</v>
      </c>
      <c r="EM223" s="73">
        <f t="shared" si="340"/>
        <v>1</v>
      </c>
      <c r="EN223" s="73" t="str">
        <f t="shared" si="303"/>
        <v>0</v>
      </c>
      <c r="EO223" s="73" t="str">
        <f t="shared" si="304"/>
        <v/>
      </c>
      <c r="EP223" s="73" t="str">
        <f t="shared" si="305"/>
        <v/>
      </c>
      <c r="EQ223" s="53" t="str">
        <f t="shared" si="306"/>
        <v/>
      </c>
      <c r="ER223" s="47" t="s">
        <v>0</v>
      </c>
      <c r="ES223" s="19" t="str">
        <f t="shared" si="341"/>
        <v>INSERT INTO rezultat(id,stazakategorija_id,imeprezime_id,vrijeme_sec,status_id,registracija,uparivanje_id,originalstatus_id,imeprezimealias_id,klubalias_id,kategorijaalias_id) VALUES (382,36,1467,3189,1,1,1,0,Null,Null,Null);</v>
      </c>
      <c r="ET223" s="47" t="s">
        <v>0</v>
      </c>
      <c r="EU223" s="19" t="str">
        <f t="shared" si="342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3" s="47" t="s">
        <v>0</v>
      </c>
      <c r="EW223" s="180" t="str">
        <f t="shared" si="307"/>
        <v xml:space="preserve">
INSERT INTO rezultat(id,stazakategorija_id,imeprezime_id,vrijeme_sec,status_id,registracija,uparivanje_id,originalstatus_id,imeprezimealias_id,klubalias_id,kategorijaalias_id) VALUES (382,36,1467,3189,1,1,1,0,Null,Null,Null);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3" s="47" t="s">
        <v>0</v>
      </c>
    </row>
    <row r="224" spans="1:154" x14ac:dyDescent="0.25">
      <c r="A224" t="s">
        <v>0</v>
      </c>
      <c r="B224" s="52" t="str">
        <f>IF(csv!F214="","",csv!T214)</f>
        <v>Ž14</v>
      </c>
      <c r="C224" s="31" t="s">
        <v>0</v>
      </c>
      <c r="D224" s="31" t="str">
        <f>IF(csv!F214="","",csv!F214)</f>
        <v>Vacant</v>
      </c>
      <c r="E224" s="31" t="str">
        <f>IF(csv!E214="","",csv!E214)</f>
        <v/>
      </c>
      <c r="F224" s="31" t="s">
        <v>0</v>
      </c>
      <c r="G224" s="73" t="str">
        <f>IF(csv!M214="","",csv!M214)</f>
        <v/>
      </c>
      <c r="H224" s="73" t="str">
        <f>IF(csv!N214="","",csv!N214)</f>
        <v>0</v>
      </c>
      <c r="I224" s="31" t="s">
        <v>0</v>
      </c>
      <c r="J224" s="31" t="str">
        <f>IF(csv!P214="","",csv!P214)</f>
        <v/>
      </c>
      <c r="K224" s="31" t="str">
        <f>IF(csv!Q214="","",csv!Q214)</f>
        <v/>
      </c>
      <c r="L224" s="31" t="s">
        <v>0</v>
      </c>
      <c r="M224" s="66" t="str">
        <f>IF(csv!R214="","",csv!R214)</f>
        <v/>
      </c>
      <c r="N224" s="47" t="s">
        <v>0</v>
      </c>
      <c r="O224" s="246" t="str">
        <f t="shared" si="308"/>
        <v/>
      </c>
      <c r="P224" s="47"/>
      <c r="Q224" s="52" t="str">
        <f t="shared" si="309"/>
        <v>Ž14</v>
      </c>
      <c r="R224" s="73">
        <f>IF(Q224="","",IF(COUNTIF(Q$12:Q223,Q224)=0,R223+1,R223))</f>
        <v>14</v>
      </c>
      <c r="S224" s="73">
        <f t="shared" si="310"/>
        <v>121</v>
      </c>
      <c r="T224" s="73">
        <f t="shared" si="273"/>
        <v>21</v>
      </c>
      <c r="U224" s="66" t="str">
        <f t="shared" si="274"/>
        <v>M14 – Ž14</v>
      </c>
      <c r="V224" s="47" t="s">
        <v>0</v>
      </c>
      <c r="W224" s="222" t="str">
        <f t="shared" si="275"/>
        <v/>
      </c>
      <c r="X224" s="223" t="str">
        <f t="shared" si="276"/>
        <v/>
      </c>
      <c r="Y224" s="47" t="s">
        <v>0</v>
      </c>
      <c r="Z224" s="52" t="str">
        <f t="shared" si="311"/>
        <v/>
      </c>
      <c r="AA224" s="73" t="str">
        <f t="shared" si="277"/>
        <v/>
      </c>
      <c r="AB224" s="31" t="str">
        <f t="shared" si="312"/>
        <v/>
      </c>
      <c r="AC224" s="66" t="str">
        <f>IF(AB224="","",MAX(AC$12:AC223)+1)</f>
        <v/>
      </c>
      <c r="AD224" s="47" t="s">
        <v>0</v>
      </c>
      <c r="AE224" s="125"/>
      <c r="AF224" s="47" t="s">
        <v>0</v>
      </c>
      <c r="AG224" s="19" t="str">
        <f t="shared" si="313"/>
        <v/>
      </c>
      <c r="AH224" s="47" t="s">
        <v>0</v>
      </c>
      <c r="AI224" s="143" t="str">
        <f t="shared" si="314"/>
        <v/>
      </c>
      <c r="AJ224" s="47"/>
      <c r="AK224" s="52" t="str">
        <f t="shared" si="315"/>
        <v/>
      </c>
      <c r="AL224" s="31" t="str">
        <f t="shared" si="316"/>
        <v/>
      </c>
      <c r="AM224" s="73" t="str">
        <f t="shared" si="317"/>
        <v/>
      </c>
      <c r="AN224" s="73" t="str">
        <f t="shared" si="318"/>
        <v/>
      </c>
      <c r="AO224" s="31" t="str">
        <f t="shared" si="278"/>
        <v/>
      </c>
      <c r="AP224" s="66" t="str">
        <f t="shared" si="279"/>
        <v/>
      </c>
      <c r="AQ224" s="47" t="s">
        <v>0</v>
      </c>
      <c r="AR224" s="82" t="str">
        <f t="shared" si="319"/>
        <v/>
      </c>
      <c r="AS224" s="47" t="s">
        <v>0</v>
      </c>
      <c r="AT224" s="19" t="str">
        <f t="shared" si="320"/>
        <v/>
      </c>
      <c r="AU224" s="47" t="s">
        <v>0</v>
      </c>
      <c r="AV224" s="103"/>
      <c r="AW224" s="105"/>
      <c r="AX224" s="47" t="s">
        <v>0</v>
      </c>
      <c r="AY224" s="259" t="str">
        <f t="shared" si="343"/>
        <v/>
      </c>
      <c r="AZ224" s="47" t="s">
        <v>0</v>
      </c>
      <c r="BA224" s="52" t="str">
        <f t="shared" si="280"/>
        <v/>
      </c>
      <c r="BB224" s="73" t="str">
        <f>IF(AV224&amp;AW224="","",MAX(BB$12:BB223)+1)</f>
        <v/>
      </c>
      <c r="BC224" s="272" t="str">
        <f t="shared" si="281"/>
        <v/>
      </c>
      <c r="BD224" s="53" t="str">
        <f>IF(AND(AM224="NEMA",AN224="NEMA",OR(AV224&amp;AW224="",BC224="NEMA")),MAX(BD$12:BD223)+1,"")</f>
        <v/>
      </c>
      <c r="BE224" s="47" t="s">
        <v>0</v>
      </c>
      <c r="BF224" s="52" t="str">
        <f t="shared" si="321"/>
        <v/>
      </c>
      <c r="BG224" s="66" t="str">
        <f t="shared" si="322"/>
        <v/>
      </c>
      <c r="BH224" s="47" t="s">
        <v>0</v>
      </c>
      <c r="BI224" s="52" t="str">
        <f t="shared" si="282"/>
        <v/>
      </c>
      <c r="BJ224" s="31" t="str">
        <f t="shared" si="283"/>
        <v/>
      </c>
      <c r="BK224" s="73" t="str">
        <f t="shared" si="284"/>
        <v/>
      </c>
      <c r="BL224" s="31" t="str" cm="1">
        <f t="array" ref="BL224">IF(BK224="",""&amp;BJ224,IF(BK224="NEMA",BJ224,INDEX(regKlub_naziv,MATCH(INDEX(regKlub_alias_klubId,BK224),regKlub_id,0))))</f>
        <v/>
      </c>
      <c r="BM224" s="31" t="str" cm="1">
        <f t="array" ref="BM224">IFERROR(""&amp;INDEX(regNatjecatelj_klub,DV224),"")</f>
        <v/>
      </c>
      <c r="BN224" s="88" t="str">
        <f t="shared" si="323"/>
        <v/>
      </c>
      <c r="BO224" s="66" t="str">
        <f t="shared" si="324"/>
        <v/>
      </c>
      <c r="BP224" s="47" t="s">
        <v>0</v>
      </c>
      <c r="BQ224" s="52" t="str">
        <f>IF(X224&lt;&gt;"NEMA","",IF(IFERROR(MATCH(W224,W$12:W223,0),0)&lt;&gt;0,"",W224))</f>
        <v/>
      </c>
      <c r="BR224" s="73" t="str">
        <f t="shared" si="325"/>
        <v/>
      </c>
      <c r="BS224" s="31" t="str">
        <f>IF(OR(BR224="",BR224&lt;&gt;"NEMA"),"",MAX(BS$12:BS223)+1)</f>
        <v/>
      </c>
      <c r="BT224" s="66" t="str">
        <f t="shared" si="326"/>
        <v/>
      </c>
      <c r="BU224" s="47" t="s">
        <v>0</v>
      </c>
      <c r="BV224" s="19" t="str">
        <f t="shared" si="327"/>
        <v/>
      </c>
      <c r="BW224" s="47" t="s">
        <v>0</v>
      </c>
      <c r="BX224" s="82" t="str">
        <f>IF(BK224&lt;&gt;"NEMA","",IF(IFERROR(MATCH(BJ224,BJ$12:BJ223,0),0)&lt;&gt;0,"",BJ224))</f>
        <v/>
      </c>
      <c r="BY224" s="47" t="s">
        <v>0</v>
      </c>
      <c r="BZ224" s="125"/>
      <c r="CA224" s="47" t="s">
        <v>0</v>
      </c>
      <c r="CB224" s="58" t="str">
        <f t="shared" si="328"/>
        <v/>
      </c>
      <c r="CC224" s="31" t="str">
        <f t="shared" si="329"/>
        <v/>
      </c>
      <c r="CD224" s="31" t="str">
        <f>IF(CC224="","",MAX(CD$12:CD223)+1)</f>
        <v/>
      </c>
      <c r="CE224" s="31" t="str">
        <f t="shared" si="285"/>
        <v/>
      </c>
      <c r="CF224" s="31" t="str">
        <f t="shared" si="330"/>
        <v/>
      </c>
      <c r="CG224" s="31" t="str">
        <f>IF(BZ224="","",MAX(CG$12:CG223)+1)</f>
        <v/>
      </c>
      <c r="CH224" s="31" t="str">
        <f t="shared" si="331"/>
        <v/>
      </c>
      <c r="CI224" s="66" t="str">
        <f t="shared" si="332"/>
        <v/>
      </c>
      <c r="CJ224" s="47" t="s">
        <v>0</v>
      </c>
      <c r="CK224" s="73" t="str">
        <f t="shared" si="286"/>
        <v/>
      </c>
      <c r="CL224" s="47"/>
      <c r="CM224" s="19" t="str">
        <f t="shared" si="333"/>
        <v/>
      </c>
      <c r="CN224" s="47" t="s">
        <v>0</v>
      </c>
      <c r="CO224" s="143" t="str">
        <f t="shared" si="334"/>
        <v/>
      </c>
      <c r="CP224" s="47" t="s">
        <v>0</v>
      </c>
      <c r="CQ224" s="58" t="str">
        <f t="shared" si="270"/>
        <v/>
      </c>
      <c r="CR224" s="73" t="str">
        <f t="shared" si="271"/>
        <v>0</v>
      </c>
      <c r="CS224" s="229" t="str">
        <f t="shared" si="287"/>
        <v/>
      </c>
      <c r="CT224" s="230" t="str">
        <f t="shared" si="272"/>
        <v/>
      </c>
      <c r="CU224" s="163" t="str">
        <f t="shared" si="288"/>
        <v/>
      </c>
      <c r="CV224" s="47" t="s">
        <v>0</v>
      </c>
      <c r="CW224" s="222" t="str">
        <f t="shared" si="335"/>
        <v xml:space="preserve">
</v>
      </c>
      <c r="CX224" s="223" t="str">
        <f t="shared" si="336"/>
        <v/>
      </c>
      <c r="CY224" s="47" t="s">
        <v>0</v>
      </c>
      <c r="CZ224" s="47"/>
      <c r="DA224" s="47"/>
      <c r="DB224" s="47"/>
      <c r="DC224" s="47" t="s">
        <v>0</v>
      </c>
      <c r="DD224" s="53" t="str">
        <f t="shared" si="344"/>
        <v/>
      </c>
      <c r="DE224" t="s">
        <v>0</v>
      </c>
      <c r="DF224" s="128" t="str">
        <f t="shared" si="345"/>
        <v>Ž</v>
      </c>
      <c r="DG224" t="s">
        <v>0</v>
      </c>
      <c r="DH224" s="52" t="str">
        <f t="shared" si="346"/>
        <v/>
      </c>
      <c r="DI224" s="66" t="str">
        <f t="shared" si="347"/>
        <v/>
      </c>
      <c r="DJ224" t="s">
        <v>0</v>
      </c>
      <c r="DK224" s="19" t="str">
        <f t="shared" si="348"/>
        <v/>
      </c>
      <c r="DL224" s="47" t="s">
        <v>0</v>
      </c>
      <c r="DM224" s="19" t="str">
        <f t="shared" si="349"/>
        <v/>
      </c>
      <c r="DN224" s="47" t="s">
        <v>0</v>
      </c>
      <c r="DO224" s="52" t="str">
        <f t="shared" si="289"/>
        <v/>
      </c>
      <c r="DP224" s="53" t="str">
        <f t="shared" si="290"/>
        <v/>
      </c>
      <c r="DQ224" s="47" t="s">
        <v>0</v>
      </c>
      <c r="DR224" s="52" t="str">
        <f t="shared" si="291"/>
        <v/>
      </c>
      <c r="DS224" s="53" t="str">
        <f t="shared" si="292"/>
        <v/>
      </c>
      <c r="DT224" s="47" t="s">
        <v>0</v>
      </c>
      <c r="DU224" s="52" t="str">
        <f t="shared" si="293"/>
        <v/>
      </c>
      <c r="DV224" s="53" t="str">
        <f t="shared" si="294"/>
        <v/>
      </c>
      <c r="DW224" s="47" t="s">
        <v>0</v>
      </c>
      <c r="DX224" s="58" t="str">
        <f t="shared" si="337"/>
        <v/>
      </c>
      <c r="DY224" s="53" t="str" cm="1">
        <f t="array" ref="DY224">IF(DX224&lt;&gt;"",INDEX(regNatjecatelj_id,DX224,0),IF(BD224&lt;&gt;"",BD224,""))</f>
        <v/>
      </c>
      <c r="DZ224" s="47" t="s">
        <v>0</v>
      </c>
      <c r="EA224" s="58" t="str">
        <f t="shared" si="295"/>
        <v/>
      </c>
      <c r="EB224" s="73" t="str">
        <f t="shared" si="296"/>
        <v/>
      </c>
      <c r="EC224" s="73" t="str">
        <f t="shared" si="297"/>
        <v/>
      </c>
      <c r="ED224" s="73" t="str">
        <f t="shared" si="298"/>
        <v/>
      </c>
      <c r="EE224" s="66" t="str">
        <f t="shared" si="299"/>
        <v/>
      </c>
      <c r="EF224" s="47" t="s">
        <v>0</v>
      </c>
      <c r="EG224" s="58" t="str">
        <f>IF(AL224="","",MAX(EG$12:EG223)+1)</f>
        <v/>
      </c>
      <c r="EH224" s="73" t="str">
        <f t="shared" si="300"/>
        <v/>
      </c>
      <c r="EI224" s="73" t="str">
        <f t="shared" si="338"/>
        <v/>
      </c>
      <c r="EJ224" s="73" t="str">
        <f t="shared" si="301"/>
        <v/>
      </c>
      <c r="EK224" s="73" t="str">
        <f t="shared" si="302"/>
        <v/>
      </c>
      <c r="EL224" s="73" t="str">
        <f t="shared" si="339"/>
        <v/>
      </c>
      <c r="EM224" s="73" t="str">
        <f t="shared" si="340"/>
        <v/>
      </c>
      <c r="EN224" s="73" t="str">
        <f t="shared" si="303"/>
        <v/>
      </c>
      <c r="EO224" s="73" t="str">
        <f t="shared" si="304"/>
        <v/>
      </c>
      <c r="EP224" s="73" t="str">
        <f t="shared" si="305"/>
        <v/>
      </c>
      <c r="EQ224" s="53" t="str">
        <f t="shared" si="306"/>
        <v/>
      </c>
      <c r="ER224" s="47" t="s">
        <v>0</v>
      </c>
      <c r="ES224" s="19" t="str">
        <f t="shared" si="341"/>
        <v/>
      </c>
      <c r="ET224" s="47" t="s">
        <v>0</v>
      </c>
      <c r="EU224" s="19" t="str">
        <f t="shared" si="342"/>
        <v/>
      </c>
      <c r="EV224" s="47" t="s">
        <v>0</v>
      </c>
      <c r="EW224" s="180" t="str">
        <f t="shared" si="307"/>
        <v/>
      </c>
      <c r="EX224" s="47" t="s">
        <v>0</v>
      </c>
    </row>
    <row r="225" spans="1:154" x14ac:dyDescent="0.25">
      <c r="A225" t="s">
        <v>0</v>
      </c>
      <c r="B225" s="52" t="str">
        <f>IF(csv!F215="","",csv!T215)</f>
        <v>Ž14</v>
      </c>
      <c r="C225" s="31" t="s">
        <v>0</v>
      </c>
      <c r="D225" s="31" t="str">
        <f>IF(csv!F215="","",csv!F215)</f>
        <v>Vacant</v>
      </c>
      <c r="E225" s="31" t="str">
        <f>IF(csv!E215="","",csv!E215)</f>
        <v/>
      </c>
      <c r="F225" s="31" t="s">
        <v>0</v>
      </c>
      <c r="G225" s="73" t="str">
        <f>IF(csv!M215="","",csv!M215)</f>
        <v/>
      </c>
      <c r="H225" s="73" t="str">
        <f>IF(csv!N215="","",csv!N215)</f>
        <v>0</v>
      </c>
      <c r="I225" s="31" t="s">
        <v>0</v>
      </c>
      <c r="J225" s="31" t="str">
        <f>IF(csv!P215="","",csv!P215)</f>
        <v/>
      </c>
      <c r="K225" s="31" t="str">
        <f>IF(csv!Q215="","",csv!Q215)</f>
        <v/>
      </c>
      <c r="L225" s="31" t="s">
        <v>0</v>
      </c>
      <c r="M225" s="66" t="str">
        <f>IF(csv!R215="","",csv!R215)</f>
        <v/>
      </c>
      <c r="N225" s="47" t="s">
        <v>0</v>
      </c>
      <c r="O225" s="246" t="str">
        <f t="shared" si="308"/>
        <v/>
      </c>
      <c r="P225" s="47"/>
      <c r="Q225" s="52" t="str">
        <f t="shared" si="309"/>
        <v>Ž14</v>
      </c>
      <c r="R225" s="73">
        <f>IF(Q225="","",IF(COUNTIF(Q$12:Q224,Q225)=0,R224+1,R224))</f>
        <v>14</v>
      </c>
      <c r="S225" s="73">
        <f t="shared" si="310"/>
        <v>121</v>
      </c>
      <c r="T225" s="73">
        <f t="shared" si="273"/>
        <v>21</v>
      </c>
      <c r="U225" s="66" t="str">
        <f t="shared" si="274"/>
        <v>M14 – Ž14</v>
      </c>
      <c r="V225" s="47" t="s">
        <v>0</v>
      </c>
      <c r="W225" s="222" t="str">
        <f t="shared" si="275"/>
        <v/>
      </c>
      <c r="X225" s="223" t="str">
        <f t="shared" si="276"/>
        <v/>
      </c>
      <c r="Y225" s="47" t="s">
        <v>0</v>
      </c>
      <c r="Z225" s="52" t="str">
        <f t="shared" si="311"/>
        <v/>
      </c>
      <c r="AA225" s="73" t="str">
        <f t="shared" si="277"/>
        <v/>
      </c>
      <c r="AB225" s="31" t="str">
        <f t="shared" si="312"/>
        <v/>
      </c>
      <c r="AC225" s="66" t="str">
        <f>IF(AB225="","",MAX(AC$12:AC224)+1)</f>
        <v/>
      </c>
      <c r="AD225" s="47" t="s">
        <v>0</v>
      </c>
      <c r="AE225" s="125"/>
      <c r="AF225" s="47" t="s">
        <v>0</v>
      </c>
      <c r="AG225" s="19" t="str">
        <f t="shared" si="313"/>
        <v/>
      </c>
      <c r="AH225" s="47" t="s">
        <v>0</v>
      </c>
      <c r="AI225" s="143" t="str">
        <f t="shared" si="314"/>
        <v/>
      </c>
      <c r="AJ225" s="47"/>
      <c r="AK225" s="52" t="str">
        <f t="shared" si="315"/>
        <v/>
      </c>
      <c r="AL225" s="31" t="str">
        <f t="shared" si="316"/>
        <v/>
      </c>
      <c r="AM225" s="73" t="str">
        <f t="shared" si="317"/>
        <v/>
      </c>
      <c r="AN225" s="73" t="str">
        <f t="shared" si="318"/>
        <v/>
      </c>
      <c r="AO225" s="31" t="str">
        <f t="shared" si="278"/>
        <v/>
      </c>
      <c r="AP225" s="66" t="str">
        <f t="shared" si="279"/>
        <v/>
      </c>
      <c r="AQ225" s="47" t="s">
        <v>0</v>
      </c>
      <c r="AR225" s="82" t="str">
        <f t="shared" si="319"/>
        <v/>
      </c>
      <c r="AS225" s="47" t="s">
        <v>0</v>
      </c>
      <c r="AT225" s="19" t="str">
        <f t="shared" si="320"/>
        <v/>
      </c>
      <c r="AU225" s="47" t="s">
        <v>0</v>
      </c>
      <c r="AV225" s="103"/>
      <c r="AW225" s="105"/>
      <c r="AX225" s="47" t="s">
        <v>0</v>
      </c>
      <c r="AY225" s="259" t="str">
        <f t="shared" si="343"/>
        <v/>
      </c>
      <c r="AZ225" s="47" t="s">
        <v>0</v>
      </c>
      <c r="BA225" s="52" t="str">
        <f t="shared" si="280"/>
        <v/>
      </c>
      <c r="BB225" s="73" t="str">
        <f>IF(AV225&amp;AW225="","",MAX(BB$12:BB224)+1)</f>
        <v/>
      </c>
      <c r="BC225" s="272" t="str">
        <f t="shared" si="281"/>
        <v/>
      </c>
      <c r="BD225" s="53" t="str">
        <f>IF(AND(AM225="NEMA",AN225="NEMA",OR(AV225&amp;AW225="",BC225="NEMA")),MAX(BD$12:BD224)+1,"")</f>
        <v/>
      </c>
      <c r="BE225" s="47" t="s">
        <v>0</v>
      </c>
      <c r="BF225" s="52" t="str">
        <f t="shared" si="321"/>
        <v/>
      </c>
      <c r="BG225" s="66" t="str">
        <f t="shared" si="322"/>
        <v/>
      </c>
      <c r="BH225" s="47" t="s">
        <v>0</v>
      </c>
      <c r="BI225" s="52" t="str">
        <f t="shared" si="282"/>
        <v/>
      </c>
      <c r="BJ225" s="31" t="str">
        <f t="shared" si="283"/>
        <v/>
      </c>
      <c r="BK225" s="73" t="str">
        <f t="shared" si="284"/>
        <v/>
      </c>
      <c r="BL225" s="31" t="str" cm="1">
        <f t="array" ref="BL225">IF(BK225="",""&amp;BJ225,IF(BK225="NEMA",BJ225,INDEX(regKlub_naziv,MATCH(INDEX(regKlub_alias_klubId,BK225),regKlub_id,0))))</f>
        <v/>
      </c>
      <c r="BM225" s="31" t="str" cm="1">
        <f t="array" ref="BM225">IFERROR(""&amp;INDEX(regNatjecatelj_klub,DV225),"")</f>
        <v/>
      </c>
      <c r="BN225" s="88" t="str">
        <f t="shared" si="323"/>
        <v/>
      </c>
      <c r="BO225" s="66" t="str">
        <f t="shared" si="324"/>
        <v/>
      </c>
      <c r="BP225" s="47" t="s">
        <v>0</v>
      </c>
      <c r="BQ225" s="52" t="str">
        <f>IF(X225&lt;&gt;"NEMA","",IF(IFERROR(MATCH(W225,W$12:W224,0),0)&lt;&gt;0,"",W225))</f>
        <v/>
      </c>
      <c r="BR225" s="73" t="str">
        <f t="shared" si="325"/>
        <v/>
      </c>
      <c r="BS225" s="31" t="str">
        <f>IF(OR(BR225="",BR225&lt;&gt;"NEMA"),"",MAX(BS$12:BS224)+1)</f>
        <v/>
      </c>
      <c r="BT225" s="66" t="str">
        <f t="shared" si="326"/>
        <v/>
      </c>
      <c r="BU225" s="47" t="s">
        <v>0</v>
      </c>
      <c r="BV225" s="19" t="str">
        <f t="shared" si="327"/>
        <v/>
      </c>
      <c r="BW225" s="47" t="s">
        <v>0</v>
      </c>
      <c r="BX225" s="82" t="str">
        <f>IF(BK225&lt;&gt;"NEMA","",IF(IFERROR(MATCH(BJ225,BJ$12:BJ224,0),0)&lt;&gt;0,"",BJ225))</f>
        <v/>
      </c>
      <c r="BY225" s="47" t="s">
        <v>0</v>
      </c>
      <c r="BZ225" s="125"/>
      <c r="CA225" s="47" t="s">
        <v>0</v>
      </c>
      <c r="CB225" s="58" t="str">
        <f t="shared" si="328"/>
        <v/>
      </c>
      <c r="CC225" s="31" t="str">
        <f t="shared" si="329"/>
        <v/>
      </c>
      <c r="CD225" s="31" t="str">
        <f>IF(CC225="","",MAX(CD$12:CD224)+1)</f>
        <v/>
      </c>
      <c r="CE225" s="31" t="str">
        <f t="shared" si="285"/>
        <v/>
      </c>
      <c r="CF225" s="31" t="str">
        <f t="shared" si="330"/>
        <v/>
      </c>
      <c r="CG225" s="31" t="str">
        <f>IF(BZ225="","",MAX(CG$12:CG224)+1)</f>
        <v/>
      </c>
      <c r="CH225" s="31" t="str">
        <f t="shared" si="331"/>
        <v/>
      </c>
      <c r="CI225" s="66" t="str">
        <f t="shared" si="332"/>
        <v/>
      </c>
      <c r="CJ225" s="47" t="s">
        <v>0</v>
      </c>
      <c r="CK225" s="73" t="str">
        <f t="shared" si="286"/>
        <v/>
      </c>
      <c r="CL225" s="47"/>
      <c r="CM225" s="19" t="str">
        <f t="shared" si="333"/>
        <v/>
      </c>
      <c r="CN225" s="47" t="s">
        <v>0</v>
      </c>
      <c r="CO225" s="143" t="str">
        <f t="shared" si="334"/>
        <v/>
      </c>
      <c r="CP225" s="47" t="s">
        <v>0</v>
      </c>
      <c r="CQ225" s="58" t="str">
        <f t="shared" si="270"/>
        <v/>
      </c>
      <c r="CR225" s="73" t="str">
        <f t="shared" si="271"/>
        <v>0</v>
      </c>
      <c r="CS225" s="229" t="str">
        <f t="shared" si="287"/>
        <v/>
      </c>
      <c r="CT225" s="230" t="str">
        <f t="shared" si="272"/>
        <v/>
      </c>
      <c r="CU225" s="163" t="str">
        <f t="shared" si="288"/>
        <v/>
      </c>
      <c r="CV225" s="47" t="s">
        <v>0</v>
      </c>
      <c r="CW225" s="222" t="str">
        <f t="shared" si="335"/>
        <v xml:space="preserve">
</v>
      </c>
      <c r="CX225" s="223" t="str">
        <f t="shared" si="336"/>
        <v/>
      </c>
      <c r="CY225" s="47" t="s">
        <v>0</v>
      </c>
      <c r="CZ225" s="47"/>
      <c r="DA225" s="47"/>
      <c r="DB225" s="47"/>
      <c r="DC225" s="47" t="s">
        <v>0</v>
      </c>
      <c r="DD225" s="53" t="str">
        <f t="shared" si="344"/>
        <v/>
      </c>
      <c r="DE225" t="s">
        <v>0</v>
      </c>
      <c r="DF225" s="128" t="str">
        <f t="shared" si="345"/>
        <v>Ž</v>
      </c>
      <c r="DG225" t="s">
        <v>0</v>
      </c>
      <c r="DH225" s="52" t="str">
        <f t="shared" si="346"/>
        <v/>
      </c>
      <c r="DI225" s="66" t="str">
        <f t="shared" si="347"/>
        <v/>
      </c>
      <c r="DJ225" t="s">
        <v>0</v>
      </c>
      <c r="DK225" s="19" t="str">
        <f t="shared" si="348"/>
        <v/>
      </c>
      <c r="DL225" s="47" t="s">
        <v>0</v>
      </c>
      <c r="DM225" s="19" t="str">
        <f t="shared" si="349"/>
        <v/>
      </c>
      <c r="DN225" s="47" t="s">
        <v>0</v>
      </c>
      <c r="DO225" s="52" t="str">
        <f t="shared" si="289"/>
        <v/>
      </c>
      <c r="DP225" s="53" t="str">
        <f t="shared" si="290"/>
        <v/>
      </c>
      <c r="DQ225" s="47" t="s">
        <v>0</v>
      </c>
      <c r="DR225" s="52" t="str">
        <f t="shared" si="291"/>
        <v/>
      </c>
      <c r="DS225" s="53" t="str">
        <f t="shared" si="292"/>
        <v/>
      </c>
      <c r="DT225" s="47" t="s">
        <v>0</v>
      </c>
      <c r="DU225" s="52" t="str">
        <f t="shared" si="293"/>
        <v/>
      </c>
      <c r="DV225" s="53" t="str">
        <f t="shared" si="294"/>
        <v/>
      </c>
      <c r="DW225" s="47" t="s">
        <v>0</v>
      </c>
      <c r="DX225" s="58" t="str">
        <f t="shared" si="337"/>
        <v/>
      </c>
      <c r="DY225" s="53" t="str" cm="1">
        <f t="array" ref="DY225">IF(DX225&lt;&gt;"",INDEX(regNatjecatelj_id,DX225,0),IF(BD225&lt;&gt;"",BD225,""))</f>
        <v/>
      </c>
      <c r="DZ225" s="47" t="s">
        <v>0</v>
      </c>
      <c r="EA225" s="58" t="str">
        <f t="shared" si="295"/>
        <v/>
      </c>
      <c r="EB225" s="73" t="str">
        <f t="shared" si="296"/>
        <v/>
      </c>
      <c r="EC225" s="73" t="str">
        <f t="shared" si="297"/>
        <v/>
      </c>
      <c r="ED225" s="73" t="str">
        <f t="shared" si="298"/>
        <v/>
      </c>
      <c r="EE225" s="66" t="str">
        <f t="shared" si="299"/>
        <v/>
      </c>
      <c r="EF225" s="47" t="s">
        <v>0</v>
      </c>
      <c r="EG225" s="58" t="str">
        <f>IF(AL225="","",MAX(EG$12:EG224)+1)</f>
        <v/>
      </c>
      <c r="EH225" s="73" t="str">
        <f t="shared" si="300"/>
        <v/>
      </c>
      <c r="EI225" s="73" t="str">
        <f t="shared" si="338"/>
        <v/>
      </c>
      <c r="EJ225" s="73" t="str">
        <f t="shared" si="301"/>
        <v/>
      </c>
      <c r="EK225" s="73" t="str">
        <f t="shared" si="302"/>
        <v/>
      </c>
      <c r="EL225" s="73" t="str">
        <f t="shared" si="339"/>
        <v/>
      </c>
      <c r="EM225" s="73" t="str">
        <f t="shared" si="340"/>
        <v/>
      </c>
      <c r="EN225" s="73" t="str">
        <f t="shared" si="303"/>
        <v/>
      </c>
      <c r="EO225" s="73" t="str">
        <f t="shared" si="304"/>
        <v/>
      </c>
      <c r="EP225" s="73" t="str">
        <f t="shared" si="305"/>
        <v/>
      </c>
      <c r="EQ225" s="53" t="str">
        <f t="shared" si="306"/>
        <v/>
      </c>
      <c r="ER225" s="47" t="s">
        <v>0</v>
      </c>
      <c r="ES225" s="19" t="str">
        <f t="shared" si="341"/>
        <v/>
      </c>
      <c r="ET225" s="47" t="s">
        <v>0</v>
      </c>
      <c r="EU225" s="19" t="str">
        <f t="shared" si="342"/>
        <v/>
      </c>
      <c r="EV225" s="47" t="s">
        <v>0</v>
      </c>
      <c r="EW225" s="180" t="str">
        <f t="shared" si="307"/>
        <v/>
      </c>
      <c r="EX225" s="47" t="s">
        <v>0</v>
      </c>
    </row>
    <row r="226" spans="1:154" x14ac:dyDescent="0.25">
      <c r="A226" t="s">
        <v>0</v>
      </c>
      <c r="B226" s="52" t="str">
        <f>IF(csv!F216="","",csv!T216)</f>
        <v>Ž16</v>
      </c>
      <c r="C226" s="31" t="s">
        <v>0</v>
      </c>
      <c r="D226" s="31" t="str">
        <f>IF(csv!F216="","",csv!F216)</f>
        <v>Dora</v>
      </c>
      <c r="E226" s="31" t="str">
        <f>IF(csv!E216="","",csv!E216)</f>
        <v>Vukelić</v>
      </c>
      <c r="F226" s="31" t="s">
        <v>0</v>
      </c>
      <c r="G226" s="73" t="str">
        <f>IF(csv!M216="","",csv!M216)</f>
        <v>41:27</v>
      </c>
      <c r="H226" s="73" t="str">
        <f>IF(csv!N216="","",csv!N216)</f>
        <v>0</v>
      </c>
      <c r="I226" s="31" t="s">
        <v>0</v>
      </c>
      <c r="J226" s="31" t="str">
        <f>IF(csv!P216="","",csv!P216)</f>
        <v>Maksimir</v>
      </c>
      <c r="K226" s="31" t="str">
        <f>IF(csv!Q216="","",csv!Q216)</f>
        <v>OK Maksimir</v>
      </c>
      <c r="L226" s="31" t="s">
        <v>0</v>
      </c>
      <c r="M226" s="66" t="str">
        <f>IF(csv!R216="","",csv!R216)</f>
        <v>CRO</v>
      </c>
      <c r="N226" s="47" t="s">
        <v>0</v>
      </c>
      <c r="O226" s="246" t="str">
        <f t="shared" si="308"/>
        <v>ok</v>
      </c>
      <c r="P226" s="47"/>
      <c r="Q226" s="52" t="str">
        <f t="shared" si="309"/>
        <v>Ž16</v>
      </c>
      <c r="R226" s="73">
        <f>IF(Q226="","",IF(COUNTIF(Q$12:Q225,Q226)=0,R225+1,R225))</f>
        <v>15</v>
      </c>
      <c r="S226" s="73">
        <f t="shared" si="310"/>
        <v>120</v>
      </c>
      <c r="T226" s="73">
        <f t="shared" si="273"/>
        <v>27</v>
      </c>
      <c r="U226" s="66" t="str">
        <f t="shared" si="274"/>
        <v>Ž21B – Ž16</v>
      </c>
      <c r="V226" s="47" t="s">
        <v>0</v>
      </c>
      <c r="W226" s="222" t="str">
        <f t="shared" si="275"/>
        <v>Ž16</v>
      </c>
      <c r="X226" s="223">
        <f t="shared" si="276"/>
        <v>37</v>
      </c>
      <c r="Y226" s="47" t="s">
        <v>0</v>
      </c>
      <c r="Z226" s="52" t="str">
        <f t="shared" si="311"/>
        <v>CRO</v>
      </c>
      <c r="AA226" s="73">
        <f t="shared" si="277"/>
        <v>1</v>
      </c>
      <c r="AB226" s="31" t="str">
        <f t="shared" si="312"/>
        <v/>
      </c>
      <c r="AC226" s="66" t="str">
        <f>IF(AB226="","",MAX(AC$12:AC225)+1)</f>
        <v/>
      </c>
      <c r="AD226" s="47" t="s">
        <v>0</v>
      </c>
      <c r="AE226" s="125"/>
      <c r="AF226" s="47" t="s">
        <v>0</v>
      </c>
      <c r="AG226" s="19" t="str">
        <f t="shared" si="313"/>
        <v/>
      </c>
      <c r="AH226" s="47" t="s">
        <v>0</v>
      </c>
      <c r="AI226" s="143" t="str">
        <f t="shared" si="314"/>
        <v>CRO</v>
      </c>
      <c r="AJ226" s="47"/>
      <c r="AK226" s="52" t="str">
        <f t="shared" si="315"/>
        <v>Dora</v>
      </c>
      <c r="AL226" s="31" t="str">
        <f t="shared" si="316"/>
        <v>Vukelić</v>
      </c>
      <c r="AM226" s="73">
        <f t="shared" si="317"/>
        <v>1442</v>
      </c>
      <c r="AN226" s="73" t="str">
        <f t="shared" si="318"/>
        <v/>
      </c>
      <c r="AO226" s="31" t="str">
        <f t="shared" si="278"/>
        <v>Dora</v>
      </c>
      <c r="AP226" s="66" t="str">
        <f t="shared" si="279"/>
        <v>Vukelić</v>
      </c>
      <c r="AQ226" s="47" t="s">
        <v>0</v>
      </c>
      <c r="AR226" s="82" t="str">
        <f t="shared" si="319"/>
        <v/>
      </c>
      <c r="AS226" s="47" t="s">
        <v>0</v>
      </c>
      <c r="AT226" s="19" t="str">
        <f t="shared" si="320"/>
        <v/>
      </c>
      <c r="AU226" s="47" t="s">
        <v>0</v>
      </c>
      <c r="AV226" s="103"/>
      <c r="AW226" s="105"/>
      <c r="AX226" s="47" t="s">
        <v>0</v>
      </c>
      <c r="AY226" s="259" t="str">
        <f t="shared" si="343"/>
        <v/>
      </c>
      <c r="AZ226" s="47" t="s">
        <v>0</v>
      </c>
      <c r="BA226" s="52" t="str">
        <f t="shared" si="280"/>
        <v/>
      </c>
      <c r="BB226" s="73" t="str">
        <f>IF(AV226&amp;AW226="","",MAX(BB$12:BB225)+1)</f>
        <v/>
      </c>
      <c r="BC226" s="272" t="str">
        <f t="shared" si="281"/>
        <v/>
      </c>
      <c r="BD226" s="53" t="str">
        <f>IF(AND(AM226="NEMA",AN226="NEMA",OR(AV226&amp;AW226="",BC226="NEMA")),MAX(BD$12:BD225)+1,"")</f>
        <v/>
      </c>
      <c r="BE226" s="47" t="s">
        <v>0</v>
      </c>
      <c r="BF226" s="52" t="str">
        <f t="shared" si="321"/>
        <v>Dora</v>
      </c>
      <c r="BG226" s="66" t="str">
        <f t="shared" si="322"/>
        <v>Vukelić</v>
      </c>
      <c r="BH226" s="47" t="s">
        <v>0</v>
      </c>
      <c r="BI226" s="52" t="str">
        <f t="shared" si="282"/>
        <v>Maksimir</v>
      </c>
      <c r="BJ226" s="31" t="str">
        <f t="shared" si="283"/>
        <v>OK Maksimir</v>
      </c>
      <c r="BK226" s="73" t="str">
        <f t="shared" si="284"/>
        <v/>
      </c>
      <c r="BL226" s="31" t="str" cm="1">
        <f t="array" ref="BL226">IF(BK226="",""&amp;BJ226,IF(BK226="NEMA",BJ226,INDEX(regKlub_naziv,MATCH(INDEX(regKlub_alias_klubId,BK226),regKlub_id,0))))</f>
        <v>OK Maksimir</v>
      </c>
      <c r="BM226" s="31" t="str" cm="1">
        <f t="array" ref="BM226">IFERROR(""&amp;INDEX(regNatjecatelj_klub,DV226),"")</f>
        <v>OK Maksimir</v>
      </c>
      <c r="BN226" s="88" t="str">
        <f t="shared" si="323"/>
        <v/>
      </c>
      <c r="BO226" s="66" t="str">
        <f t="shared" si="324"/>
        <v>OK Maksimir</v>
      </c>
      <c r="BP226" s="47" t="s">
        <v>0</v>
      </c>
      <c r="BQ226" s="52" t="str">
        <f>IF(X226&lt;&gt;"NEMA","",IF(IFERROR(MATCH(W226,W$12:W225,0),0)&lt;&gt;0,"",W226))</f>
        <v/>
      </c>
      <c r="BR226" s="73" t="str">
        <f t="shared" si="325"/>
        <v/>
      </c>
      <c r="BS226" s="31" t="str">
        <f>IF(OR(BR226="",BR226&lt;&gt;"NEMA"),"",MAX(BS$12:BS225)+1)</f>
        <v/>
      </c>
      <c r="BT226" s="66" t="str">
        <f t="shared" si="326"/>
        <v/>
      </c>
      <c r="BU226" s="47" t="s">
        <v>0</v>
      </c>
      <c r="BV226" s="19" t="str">
        <f t="shared" si="327"/>
        <v/>
      </c>
      <c r="BW226" s="47" t="s">
        <v>0</v>
      </c>
      <c r="BX226" s="82" t="str">
        <f>IF(BK226&lt;&gt;"NEMA","",IF(IFERROR(MATCH(BJ226,BJ$12:BJ225,0),0)&lt;&gt;0,"",BJ226))</f>
        <v/>
      </c>
      <c r="BY226" s="47" t="s">
        <v>0</v>
      </c>
      <c r="BZ226" s="125"/>
      <c r="CA226" s="47" t="s">
        <v>0</v>
      </c>
      <c r="CB226" s="58" t="str">
        <f t="shared" si="328"/>
        <v/>
      </c>
      <c r="CC226" s="31" t="str">
        <f t="shared" si="329"/>
        <v/>
      </c>
      <c r="CD226" s="31" t="str">
        <f>IF(CC226="","",MAX(CD$12:CD225)+1)</f>
        <v/>
      </c>
      <c r="CE226" s="31" t="str">
        <f t="shared" si="285"/>
        <v/>
      </c>
      <c r="CF226" s="31" t="str">
        <f t="shared" si="330"/>
        <v/>
      </c>
      <c r="CG226" s="31" t="str">
        <f>IF(BZ226="","",MAX(CG$12:CG225)+1)</f>
        <v/>
      </c>
      <c r="CH226" s="31" t="str">
        <f t="shared" si="331"/>
        <v/>
      </c>
      <c r="CI226" s="66" t="str">
        <f t="shared" si="332"/>
        <v/>
      </c>
      <c r="CJ226" s="47" t="s">
        <v>0</v>
      </c>
      <c r="CK226" s="73" t="str">
        <f t="shared" si="286"/>
        <v/>
      </c>
      <c r="CL226" s="47"/>
      <c r="CM226" s="19" t="str">
        <f t="shared" si="333"/>
        <v/>
      </c>
      <c r="CN226" s="47" t="s">
        <v>0</v>
      </c>
      <c r="CO226" s="143" t="str">
        <f t="shared" si="334"/>
        <v>OK Maksimir</v>
      </c>
      <c r="CP226" s="47" t="s">
        <v>0</v>
      </c>
      <c r="CQ226" s="58" t="str">
        <f t="shared" si="270"/>
        <v>41:27</v>
      </c>
      <c r="CR226" s="73" t="str">
        <f t="shared" si="271"/>
        <v>0</v>
      </c>
      <c r="CS226" s="229" t="str">
        <f t="shared" si="287"/>
        <v/>
      </c>
      <c r="CT226" s="230">
        <f t="shared" si="272"/>
        <v>2487</v>
      </c>
      <c r="CU226" s="163">
        <f t="shared" si="288"/>
        <v>1</v>
      </c>
      <c r="CV226" s="47" t="s">
        <v>0</v>
      </c>
      <c r="CW226" s="222" t="str">
        <f t="shared" si="335"/>
        <v xml:space="preserve">
</v>
      </c>
      <c r="CX226" s="223">
        <f t="shared" si="336"/>
        <v>6</v>
      </c>
      <c r="CY226" s="47" t="s">
        <v>0</v>
      </c>
      <c r="CZ226" s="47"/>
      <c r="DA226" s="47"/>
      <c r="DB226" s="47"/>
      <c r="DC226" s="47" t="s">
        <v>0</v>
      </c>
      <c r="DD226" s="53" t="str">
        <f t="shared" si="344"/>
        <v/>
      </c>
      <c r="DE226" t="s">
        <v>0</v>
      </c>
      <c r="DF226" s="128" t="str">
        <f t="shared" si="345"/>
        <v>Ž</v>
      </c>
      <c r="DG226" t="s">
        <v>0</v>
      </c>
      <c r="DH226" s="52" t="str">
        <f t="shared" si="346"/>
        <v/>
      </c>
      <c r="DI226" s="66" t="str">
        <f t="shared" si="347"/>
        <v/>
      </c>
      <c r="DJ226" t="s">
        <v>0</v>
      </c>
      <c r="DK226" s="19" t="str">
        <f t="shared" si="348"/>
        <v/>
      </c>
      <c r="DL226" s="47" t="s">
        <v>0</v>
      </c>
      <c r="DM226" s="19" t="str">
        <f t="shared" si="349"/>
        <v/>
      </c>
      <c r="DN226" s="47" t="s">
        <v>0</v>
      </c>
      <c r="DO226" s="52" t="str">
        <f t="shared" si="289"/>
        <v>Dora – Vukelić – OK Maksimir – Ž16</v>
      </c>
      <c r="DP226" s="53">
        <f t="shared" si="290"/>
        <v>392</v>
      </c>
      <c r="DQ226" s="47" t="s">
        <v>0</v>
      </c>
      <c r="DR226" s="52" t="str">
        <f t="shared" si="291"/>
        <v>Dora – Vukelić – OK Maksimir</v>
      </c>
      <c r="DS226" s="53">
        <f t="shared" si="292"/>
        <v>392</v>
      </c>
      <c r="DT226" s="47" t="s">
        <v>0</v>
      </c>
      <c r="DU226" s="52" t="str">
        <f t="shared" si="293"/>
        <v>Dora – Vukelić</v>
      </c>
      <c r="DV226" s="53">
        <f t="shared" si="294"/>
        <v>392</v>
      </c>
      <c r="DW226" s="47" t="s">
        <v>0</v>
      </c>
      <c r="DX226" s="58">
        <f t="shared" si="337"/>
        <v>392</v>
      </c>
      <c r="DY226" s="53" cm="1">
        <f t="array" ref="DY226">IF(DX226&lt;&gt;"",INDEX(regNatjecatelj_id,DX226,0),IF(BD226&lt;&gt;"",BD226,""))</f>
        <v>1442</v>
      </c>
      <c r="DZ226" s="47" t="s">
        <v>0</v>
      </c>
      <c r="EA226" s="58" t="str">
        <f t="shared" si="295"/>
        <v>imepre</v>
      </c>
      <c r="EB226" s="73" t="str">
        <f t="shared" si="296"/>
        <v>klu</v>
      </c>
      <c r="EC226" s="73" t="str">
        <f t="shared" si="297"/>
        <v>kat</v>
      </c>
      <c r="ED226" s="73" t="str">
        <f t="shared" si="298"/>
        <v/>
      </c>
      <c r="EE226" s="66" t="str">
        <f t="shared" si="299"/>
        <v>imepre-klu-kat</v>
      </c>
      <c r="EF226" s="47" t="s">
        <v>0</v>
      </c>
      <c r="EG226" s="58">
        <f>IF(AL226="","",MAX(EG$12:EG225)+1)</f>
        <v>383</v>
      </c>
      <c r="EH226" s="73">
        <f t="shared" si="300"/>
        <v>37</v>
      </c>
      <c r="EI226" s="73">
        <f t="shared" si="338"/>
        <v>1442</v>
      </c>
      <c r="EJ226" s="73">
        <f t="shared" si="301"/>
        <v>2487</v>
      </c>
      <c r="EK226" s="73">
        <f t="shared" si="302"/>
        <v>1</v>
      </c>
      <c r="EL226" s="73">
        <f t="shared" si="339"/>
        <v>1</v>
      </c>
      <c r="EM226" s="73">
        <f t="shared" si="340"/>
        <v>1</v>
      </c>
      <c r="EN226" s="73" t="str">
        <f t="shared" si="303"/>
        <v>0</v>
      </c>
      <c r="EO226" s="73" t="str">
        <f t="shared" si="304"/>
        <v/>
      </c>
      <c r="EP226" s="73" t="str">
        <f t="shared" si="305"/>
        <v/>
      </c>
      <c r="EQ226" s="53" t="str">
        <f t="shared" si="306"/>
        <v/>
      </c>
      <c r="ER226" s="47" t="s">
        <v>0</v>
      </c>
      <c r="ES226" s="19" t="str">
        <f t="shared" si="341"/>
        <v>INSERT INTO rezultat(id,stazakategorija_id,imeprezime_id,vrijeme_sec,status_id,registracija,uparivanje_id,originalstatus_id,imeprezimealias_id,klubalias_id,kategorijaalias_id) VALUES (383,37,1442,2487,1,1,1,0,Null,Null,Null);</v>
      </c>
      <c r="ET226" s="47" t="s">
        <v>0</v>
      </c>
      <c r="EU226" s="19" t="str">
        <f t="shared" si="342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6" s="47" t="s">
        <v>0</v>
      </c>
      <c r="EW226" s="180" t="str">
        <f t="shared" si="307"/>
        <v xml:space="preserve">
INSERT INTO rezultat(id,stazakategorija_id,imeprezime_id,vrijeme_sec,status_id,registracija,uparivanje_id,originalstatus_id,imeprezimealias_id,klubalias_id,kategorijaalias_id) VALUES (383,37,1442,2487,1,1,1,0,Null,Null,Null);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6" s="47" t="s">
        <v>0</v>
      </c>
    </row>
    <row r="227" spans="1:154" x14ac:dyDescent="0.25">
      <c r="A227" t="s">
        <v>0</v>
      </c>
      <c r="B227" s="52" t="str">
        <f>IF(csv!F217="","",csv!T217)</f>
        <v>Ž16</v>
      </c>
      <c r="C227" s="31" t="s">
        <v>0</v>
      </c>
      <c r="D227" s="31" t="str">
        <f>IF(csv!F217="","",csv!F217)</f>
        <v>Mirta</v>
      </c>
      <c r="E227" s="31" t="str">
        <f>IF(csv!E217="","",csv!E217)</f>
        <v>Hodak</v>
      </c>
      <c r="F227" s="31" t="s">
        <v>0</v>
      </c>
      <c r="G227" s="73" t="str">
        <f>IF(csv!M217="","",csv!M217)</f>
        <v>48:53</v>
      </c>
      <c r="H227" s="73" t="str">
        <f>IF(csv!N217="","",csv!N217)</f>
        <v>0</v>
      </c>
      <c r="I227" s="31" t="s">
        <v>0</v>
      </c>
      <c r="J227" s="31" t="str">
        <f>IF(csv!P217="","",csv!P217)</f>
        <v>Vihor</v>
      </c>
      <c r="K227" s="31" t="str">
        <f>IF(csv!Q217="","",csv!Q217)</f>
        <v>OK Vihor</v>
      </c>
      <c r="L227" s="31" t="s">
        <v>0</v>
      </c>
      <c r="M227" s="66" t="str">
        <f>IF(csv!R217="","",csv!R217)</f>
        <v>CRO</v>
      </c>
      <c r="N227" s="47" t="s">
        <v>0</v>
      </c>
      <c r="O227" s="246" t="str">
        <f t="shared" si="308"/>
        <v>ok</v>
      </c>
      <c r="P227" s="47"/>
      <c r="Q227" s="52" t="str">
        <f t="shared" si="309"/>
        <v>Ž16</v>
      </c>
      <c r="R227" s="73">
        <f>IF(Q227="","",IF(COUNTIF(Q$12:Q226,Q227)=0,R226+1,R226))</f>
        <v>15</v>
      </c>
      <c r="S227" s="73">
        <f t="shared" si="310"/>
        <v>120</v>
      </c>
      <c r="T227" s="73">
        <f t="shared" si="273"/>
        <v>27</v>
      </c>
      <c r="U227" s="66" t="str">
        <f t="shared" si="274"/>
        <v>Ž21B – Ž16</v>
      </c>
      <c r="V227" s="47" t="s">
        <v>0</v>
      </c>
      <c r="W227" s="222" t="str">
        <f t="shared" si="275"/>
        <v>Ž16</v>
      </c>
      <c r="X227" s="223">
        <f t="shared" si="276"/>
        <v>37</v>
      </c>
      <c r="Y227" s="47" t="s">
        <v>0</v>
      </c>
      <c r="Z227" s="52" t="str">
        <f t="shared" si="311"/>
        <v>CRO</v>
      </c>
      <c r="AA227" s="73">
        <f t="shared" si="277"/>
        <v>1</v>
      </c>
      <c r="AB227" s="31" t="str">
        <f t="shared" si="312"/>
        <v/>
      </c>
      <c r="AC227" s="66" t="str">
        <f>IF(AB227="","",MAX(AC$12:AC226)+1)</f>
        <v/>
      </c>
      <c r="AD227" s="47" t="s">
        <v>0</v>
      </c>
      <c r="AE227" s="125"/>
      <c r="AF227" s="47" t="s">
        <v>0</v>
      </c>
      <c r="AG227" s="19" t="str">
        <f t="shared" si="313"/>
        <v/>
      </c>
      <c r="AH227" s="47" t="s">
        <v>0</v>
      </c>
      <c r="AI227" s="143" t="str">
        <f t="shared" si="314"/>
        <v>CRO</v>
      </c>
      <c r="AJ227" s="47"/>
      <c r="AK227" s="52" t="str">
        <f t="shared" si="315"/>
        <v>Mirta</v>
      </c>
      <c r="AL227" s="31" t="str">
        <f t="shared" si="316"/>
        <v>Hodak</v>
      </c>
      <c r="AM227" s="73">
        <f t="shared" si="317"/>
        <v>1371</v>
      </c>
      <c r="AN227" s="73" t="str">
        <f t="shared" si="318"/>
        <v/>
      </c>
      <c r="AO227" s="31" t="str">
        <f t="shared" si="278"/>
        <v>Mirta</v>
      </c>
      <c r="AP227" s="66" t="str">
        <f t="shared" si="279"/>
        <v>Hodak</v>
      </c>
      <c r="AQ227" s="47" t="s">
        <v>0</v>
      </c>
      <c r="AR227" s="82" t="str">
        <f t="shared" si="319"/>
        <v/>
      </c>
      <c r="AS227" s="47" t="s">
        <v>0</v>
      </c>
      <c r="AT227" s="19" t="str">
        <f t="shared" si="320"/>
        <v/>
      </c>
      <c r="AU227" s="47" t="s">
        <v>0</v>
      </c>
      <c r="AV227" s="103"/>
      <c r="AW227" s="105"/>
      <c r="AX227" s="47" t="s">
        <v>0</v>
      </c>
      <c r="AY227" s="259" t="str">
        <f t="shared" si="343"/>
        <v/>
      </c>
      <c r="AZ227" s="47" t="s">
        <v>0</v>
      </c>
      <c r="BA227" s="52" t="str">
        <f t="shared" si="280"/>
        <v/>
      </c>
      <c r="BB227" s="73" t="str">
        <f>IF(AV227&amp;AW227="","",MAX(BB$12:BB226)+1)</f>
        <v/>
      </c>
      <c r="BC227" s="272" t="str">
        <f t="shared" si="281"/>
        <v/>
      </c>
      <c r="BD227" s="53" t="str">
        <f>IF(AND(AM227="NEMA",AN227="NEMA",OR(AV227&amp;AW227="",BC227="NEMA")),MAX(BD$12:BD226)+1,"")</f>
        <v/>
      </c>
      <c r="BE227" s="47" t="s">
        <v>0</v>
      </c>
      <c r="BF227" s="52" t="str">
        <f t="shared" si="321"/>
        <v>Mirta</v>
      </c>
      <c r="BG227" s="66" t="str">
        <f t="shared" si="322"/>
        <v>Hodak</v>
      </c>
      <c r="BH227" s="47" t="s">
        <v>0</v>
      </c>
      <c r="BI227" s="52" t="str">
        <f t="shared" si="282"/>
        <v>Vihor</v>
      </c>
      <c r="BJ227" s="31" t="str">
        <f t="shared" si="283"/>
        <v>OK Vihor</v>
      </c>
      <c r="BK227" s="73" t="str">
        <f t="shared" si="284"/>
        <v/>
      </c>
      <c r="BL227" s="31" t="str" cm="1">
        <f t="array" ref="BL227">IF(BK227="",""&amp;BJ227,IF(BK227="NEMA",BJ227,INDEX(regKlub_naziv,MATCH(INDEX(regKlub_alias_klubId,BK227),regKlub_id,0))))</f>
        <v>OK Vihor</v>
      </c>
      <c r="BM227" s="31" t="str" cm="1">
        <f t="array" ref="BM227">IFERROR(""&amp;INDEX(regNatjecatelj_klub,DV227),"")</f>
        <v>OK Vihor</v>
      </c>
      <c r="BN227" s="88" t="str">
        <f t="shared" si="323"/>
        <v/>
      </c>
      <c r="BO227" s="66" t="str">
        <f t="shared" si="324"/>
        <v>OK Vihor</v>
      </c>
      <c r="BP227" s="47" t="s">
        <v>0</v>
      </c>
      <c r="BQ227" s="52" t="str">
        <f>IF(X227&lt;&gt;"NEMA","",IF(IFERROR(MATCH(W227,W$12:W226,0),0)&lt;&gt;0,"",W227))</f>
        <v/>
      </c>
      <c r="BR227" s="73" t="str">
        <f t="shared" si="325"/>
        <v/>
      </c>
      <c r="BS227" s="31" t="str">
        <f>IF(OR(BR227="",BR227&lt;&gt;"NEMA"),"",MAX(BS$12:BS226)+1)</f>
        <v/>
      </c>
      <c r="BT227" s="66" t="str">
        <f t="shared" si="326"/>
        <v/>
      </c>
      <c r="BU227" s="47" t="s">
        <v>0</v>
      </c>
      <c r="BV227" s="19" t="str">
        <f t="shared" si="327"/>
        <v/>
      </c>
      <c r="BW227" s="47" t="s">
        <v>0</v>
      </c>
      <c r="BX227" s="82" t="str">
        <f>IF(BK227&lt;&gt;"NEMA","",IF(IFERROR(MATCH(BJ227,BJ$12:BJ226,0),0)&lt;&gt;0,"",BJ227))</f>
        <v/>
      </c>
      <c r="BY227" s="47" t="s">
        <v>0</v>
      </c>
      <c r="BZ227" s="125"/>
      <c r="CA227" s="47" t="s">
        <v>0</v>
      </c>
      <c r="CB227" s="58" t="str">
        <f t="shared" si="328"/>
        <v/>
      </c>
      <c r="CC227" s="31" t="str">
        <f t="shared" si="329"/>
        <v/>
      </c>
      <c r="CD227" s="31" t="str">
        <f>IF(CC227="","",MAX(CD$12:CD226)+1)</f>
        <v/>
      </c>
      <c r="CE227" s="31" t="str">
        <f t="shared" si="285"/>
        <v/>
      </c>
      <c r="CF227" s="31" t="str">
        <f t="shared" si="330"/>
        <v/>
      </c>
      <c r="CG227" s="31" t="str">
        <f>IF(BZ227="","",MAX(CG$12:CG226)+1)</f>
        <v/>
      </c>
      <c r="CH227" s="31" t="str">
        <f t="shared" si="331"/>
        <v/>
      </c>
      <c r="CI227" s="66" t="str">
        <f t="shared" si="332"/>
        <v/>
      </c>
      <c r="CJ227" s="47" t="s">
        <v>0</v>
      </c>
      <c r="CK227" s="73" t="str">
        <f t="shared" si="286"/>
        <v/>
      </c>
      <c r="CL227" s="47"/>
      <c r="CM227" s="19" t="str">
        <f t="shared" si="333"/>
        <v/>
      </c>
      <c r="CN227" s="47" t="s">
        <v>0</v>
      </c>
      <c r="CO227" s="143" t="str">
        <f t="shared" si="334"/>
        <v>OK Vihor</v>
      </c>
      <c r="CP227" s="47" t="s">
        <v>0</v>
      </c>
      <c r="CQ227" s="58" t="str">
        <f t="shared" si="270"/>
        <v>48:53</v>
      </c>
      <c r="CR227" s="73" t="str">
        <f t="shared" si="271"/>
        <v>0</v>
      </c>
      <c r="CS227" s="229" t="str">
        <f t="shared" si="287"/>
        <v/>
      </c>
      <c r="CT227" s="230">
        <f t="shared" si="272"/>
        <v>2933</v>
      </c>
      <c r="CU227" s="163">
        <f t="shared" si="288"/>
        <v>1</v>
      </c>
      <c r="CV227" s="47" t="s">
        <v>0</v>
      </c>
      <c r="CW227" s="222" t="str">
        <f t="shared" si="335"/>
        <v xml:space="preserve">
</v>
      </c>
      <c r="CX227" s="223">
        <f t="shared" si="336"/>
        <v>6</v>
      </c>
      <c r="CY227" s="47" t="s">
        <v>0</v>
      </c>
      <c r="CZ227" s="47"/>
      <c r="DA227" s="47"/>
      <c r="DB227" s="47"/>
      <c r="DC227" s="47" t="s">
        <v>0</v>
      </c>
      <c r="DD227" s="53" t="str">
        <f t="shared" si="344"/>
        <v/>
      </c>
      <c r="DE227" t="s">
        <v>0</v>
      </c>
      <c r="DF227" s="128" t="str">
        <f t="shared" si="345"/>
        <v>Ž</v>
      </c>
      <c r="DG227" t="s">
        <v>0</v>
      </c>
      <c r="DH227" s="52" t="str">
        <f t="shared" si="346"/>
        <v/>
      </c>
      <c r="DI227" s="66" t="str">
        <f t="shared" si="347"/>
        <v/>
      </c>
      <c r="DJ227" t="s">
        <v>0</v>
      </c>
      <c r="DK227" s="19" t="str">
        <f t="shared" si="348"/>
        <v/>
      </c>
      <c r="DL227" s="47" t="s">
        <v>0</v>
      </c>
      <c r="DM227" s="19" t="str">
        <f t="shared" si="349"/>
        <v/>
      </c>
      <c r="DN227" s="47" t="s">
        <v>0</v>
      </c>
      <c r="DO227" s="52" t="str">
        <f t="shared" si="289"/>
        <v>Mirta – Hodak – OK Vihor – Ž16</v>
      </c>
      <c r="DP227" s="53">
        <f t="shared" si="290"/>
        <v>698</v>
      </c>
      <c r="DQ227" s="47" t="s">
        <v>0</v>
      </c>
      <c r="DR227" s="52" t="str">
        <f t="shared" si="291"/>
        <v>Mirta – Hodak – OK Vihor</v>
      </c>
      <c r="DS227" s="53">
        <f t="shared" si="292"/>
        <v>698</v>
      </c>
      <c r="DT227" s="47" t="s">
        <v>0</v>
      </c>
      <c r="DU227" s="52" t="str">
        <f t="shared" si="293"/>
        <v>Mirta – Hodak</v>
      </c>
      <c r="DV227" s="53">
        <f t="shared" si="294"/>
        <v>698</v>
      </c>
      <c r="DW227" s="47" t="s">
        <v>0</v>
      </c>
      <c r="DX227" s="58">
        <f t="shared" si="337"/>
        <v>698</v>
      </c>
      <c r="DY227" s="53" cm="1">
        <f t="array" ref="DY227">IF(DX227&lt;&gt;"",INDEX(regNatjecatelj_id,DX227,0),IF(BD227&lt;&gt;"",BD227,""))</f>
        <v>1371</v>
      </c>
      <c r="DZ227" s="47" t="s">
        <v>0</v>
      </c>
      <c r="EA227" s="58" t="str">
        <f t="shared" si="295"/>
        <v>imepre</v>
      </c>
      <c r="EB227" s="73" t="str">
        <f t="shared" si="296"/>
        <v>klu</v>
      </c>
      <c r="EC227" s="73" t="str">
        <f t="shared" si="297"/>
        <v>kat</v>
      </c>
      <c r="ED227" s="73" t="str">
        <f t="shared" si="298"/>
        <v/>
      </c>
      <c r="EE227" s="66" t="str">
        <f t="shared" si="299"/>
        <v>imepre-klu-kat</v>
      </c>
      <c r="EF227" s="47" t="s">
        <v>0</v>
      </c>
      <c r="EG227" s="58">
        <f>IF(AL227="","",MAX(EG$12:EG226)+1)</f>
        <v>384</v>
      </c>
      <c r="EH227" s="73">
        <f t="shared" si="300"/>
        <v>37</v>
      </c>
      <c r="EI227" s="73">
        <f t="shared" si="338"/>
        <v>1371</v>
      </c>
      <c r="EJ227" s="73">
        <f t="shared" si="301"/>
        <v>2933</v>
      </c>
      <c r="EK227" s="73">
        <f t="shared" si="302"/>
        <v>1</v>
      </c>
      <c r="EL227" s="73">
        <f t="shared" si="339"/>
        <v>1</v>
      </c>
      <c r="EM227" s="73">
        <f t="shared" si="340"/>
        <v>1</v>
      </c>
      <c r="EN227" s="73" t="str">
        <f t="shared" si="303"/>
        <v>0</v>
      </c>
      <c r="EO227" s="73" t="str">
        <f t="shared" si="304"/>
        <v/>
      </c>
      <c r="EP227" s="73" t="str">
        <f t="shared" si="305"/>
        <v/>
      </c>
      <c r="EQ227" s="53" t="str">
        <f t="shared" si="306"/>
        <v/>
      </c>
      <c r="ER227" s="47" t="s">
        <v>0</v>
      </c>
      <c r="ES227" s="19" t="str">
        <f t="shared" si="341"/>
        <v>INSERT INTO rezultat(id,stazakategorija_id,imeprezime_id,vrijeme_sec,status_id,registracija,uparivanje_id,originalstatus_id,imeprezimealias_id,klubalias_id,kategorijaalias_id) VALUES (384,37,1371,2933,1,1,1,0,Null,Null,Null);</v>
      </c>
      <c r="ET227" s="47" t="s">
        <v>0</v>
      </c>
      <c r="EU227" s="19" t="str">
        <f t="shared" si="342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7" s="47" t="s">
        <v>0</v>
      </c>
      <c r="EW227" s="180" t="str">
        <f t="shared" si="307"/>
        <v xml:space="preserve">
INSERT INTO rezultat(id,stazakategorija_id,imeprezime_id,vrijeme_sec,status_id,registracija,uparivanje_id,originalstatus_id,imeprezimealias_id,klubalias_id,kategorijaalias_id) VALUES (384,37,1371,2933,1,1,1,0,Null,Null,Null);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7" s="47" t="s">
        <v>0</v>
      </c>
    </row>
    <row r="228" spans="1:154" x14ac:dyDescent="0.25">
      <c r="A228" t="s">
        <v>0</v>
      </c>
      <c r="B228" s="52" t="str">
        <f>IF(csv!F218="","",csv!T218)</f>
        <v>Ž16</v>
      </c>
      <c r="C228" s="31" t="s">
        <v>0</v>
      </c>
      <c r="D228" s="31" t="str">
        <f>IF(csv!F218="","",csv!F218)</f>
        <v>Wanda</v>
      </c>
      <c r="E228" s="31" t="str">
        <f>IF(csv!E218="","",csv!E218)</f>
        <v>Kovač</v>
      </c>
      <c r="F228" s="31" t="s">
        <v>0</v>
      </c>
      <c r="G228" s="73" t="str">
        <f>IF(csv!M218="","",csv!M218)</f>
        <v>48:56</v>
      </c>
      <c r="H228" s="73" t="str">
        <f>IF(csv!N218="","",csv!N218)</f>
        <v>0</v>
      </c>
      <c r="I228" s="31" t="s">
        <v>0</v>
      </c>
      <c r="J228" s="31" t="str">
        <f>IF(csv!P218="","",csv!P218)</f>
        <v>KAP</v>
      </c>
      <c r="K228" s="31" t="str">
        <f>IF(csv!Q218="","",csv!Q218)</f>
        <v>OK Kapela</v>
      </c>
      <c r="L228" s="31" t="s">
        <v>0</v>
      </c>
      <c r="M228" s="66" t="str">
        <f>IF(csv!R218="","",csv!R218)</f>
        <v>CRO</v>
      </c>
      <c r="N228" s="47" t="s">
        <v>0</v>
      </c>
      <c r="O228" s="246" t="str">
        <f t="shared" si="308"/>
        <v>ok</v>
      </c>
      <c r="P228" s="47"/>
      <c r="Q228" s="52" t="str">
        <f t="shared" si="309"/>
        <v>Ž16</v>
      </c>
      <c r="R228" s="73">
        <f>IF(Q228="","",IF(COUNTIF(Q$12:Q227,Q228)=0,R227+1,R227))</f>
        <v>15</v>
      </c>
      <c r="S228" s="73">
        <f t="shared" si="310"/>
        <v>120</v>
      </c>
      <c r="T228" s="73">
        <f t="shared" si="273"/>
        <v>27</v>
      </c>
      <c r="U228" s="66" t="str">
        <f t="shared" si="274"/>
        <v>Ž21B – Ž16</v>
      </c>
      <c r="V228" s="47" t="s">
        <v>0</v>
      </c>
      <c r="W228" s="222" t="str">
        <f t="shared" si="275"/>
        <v>Ž16</v>
      </c>
      <c r="X228" s="223">
        <f t="shared" si="276"/>
        <v>37</v>
      </c>
      <c r="Y228" s="47" t="s">
        <v>0</v>
      </c>
      <c r="Z228" s="52" t="str">
        <f t="shared" si="311"/>
        <v>CRO</v>
      </c>
      <c r="AA228" s="73">
        <f t="shared" si="277"/>
        <v>1</v>
      </c>
      <c r="AB228" s="31" t="str">
        <f t="shared" si="312"/>
        <v/>
      </c>
      <c r="AC228" s="66" t="str">
        <f>IF(AB228="","",MAX(AC$12:AC227)+1)</f>
        <v/>
      </c>
      <c r="AD228" s="47" t="s">
        <v>0</v>
      </c>
      <c r="AE228" s="125"/>
      <c r="AF228" s="47" t="s">
        <v>0</v>
      </c>
      <c r="AG228" s="19" t="str">
        <f t="shared" si="313"/>
        <v/>
      </c>
      <c r="AH228" s="47" t="s">
        <v>0</v>
      </c>
      <c r="AI228" s="143" t="str">
        <f t="shared" si="314"/>
        <v>CRO</v>
      </c>
      <c r="AJ228" s="47"/>
      <c r="AK228" s="52" t="str">
        <f t="shared" si="315"/>
        <v>Wanda</v>
      </c>
      <c r="AL228" s="31" t="str">
        <f t="shared" si="316"/>
        <v>Kovač</v>
      </c>
      <c r="AM228" s="73">
        <f t="shared" si="317"/>
        <v>1204</v>
      </c>
      <c r="AN228" s="73" t="str">
        <f t="shared" si="318"/>
        <v/>
      </c>
      <c r="AO228" s="31" t="str">
        <f t="shared" si="278"/>
        <v>Wanda</v>
      </c>
      <c r="AP228" s="66" t="str">
        <f t="shared" si="279"/>
        <v>Kovač</v>
      </c>
      <c r="AQ228" s="47" t="s">
        <v>0</v>
      </c>
      <c r="AR228" s="82" t="str">
        <f t="shared" si="319"/>
        <v/>
      </c>
      <c r="AS228" s="47" t="s">
        <v>0</v>
      </c>
      <c r="AT228" s="19" t="str">
        <f t="shared" si="320"/>
        <v/>
      </c>
      <c r="AU228" s="47" t="s">
        <v>0</v>
      </c>
      <c r="AV228" s="103"/>
      <c r="AW228" s="105"/>
      <c r="AX228" s="47" t="s">
        <v>0</v>
      </c>
      <c r="AY228" s="259" t="str">
        <f t="shared" si="343"/>
        <v/>
      </c>
      <c r="AZ228" s="47" t="s">
        <v>0</v>
      </c>
      <c r="BA228" s="52" t="str">
        <f t="shared" si="280"/>
        <v/>
      </c>
      <c r="BB228" s="73" t="str">
        <f>IF(AV228&amp;AW228="","",MAX(BB$12:BB227)+1)</f>
        <v/>
      </c>
      <c r="BC228" s="272" t="str">
        <f t="shared" si="281"/>
        <v/>
      </c>
      <c r="BD228" s="53" t="str">
        <f>IF(AND(AM228="NEMA",AN228="NEMA",OR(AV228&amp;AW228="",BC228="NEMA")),MAX(BD$12:BD227)+1,"")</f>
        <v/>
      </c>
      <c r="BE228" s="47" t="s">
        <v>0</v>
      </c>
      <c r="BF228" s="52" t="str">
        <f t="shared" si="321"/>
        <v>Wanda</v>
      </c>
      <c r="BG228" s="66" t="str">
        <f t="shared" si="322"/>
        <v>Kovač</v>
      </c>
      <c r="BH228" s="47" t="s">
        <v>0</v>
      </c>
      <c r="BI228" s="52" t="str">
        <f t="shared" si="282"/>
        <v>KAP</v>
      </c>
      <c r="BJ228" s="31" t="str">
        <f t="shared" si="283"/>
        <v>OK Kapela</v>
      </c>
      <c r="BK228" s="73" t="str">
        <f t="shared" si="284"/>
        <v/>
      </c>
      <c r="BL228" s="31" t="str" cm="1">
        <f t="array" ref="BL228">IF(BK228="",""&amp;BJ228,IF(BK228="NEMA",BJ228,INDEX(regKlub_naziv,MATCH(INDEX(regKlub_alias_klubId,BK228),regKlub_id,0))))</f>
        <v>OK Kapela</v>
      </c>
      <c r="BM228" s="31" t="str" cm="1">
        <f t="array" ref="BM228">IFERROR(""&amp;INDEX(regNatjecatelj_klub,DV228),"")</f>
        <v>OK Kapela</v>
      </c>
      <c r="BN228" s="88" t="str">
        <f t="shared" si="323"/>
        <v/>
      </c>
      <c r="BO228" s="66" t="str">
        <f t="shared" si="324"/>
        <v>OK Kapela</v>
      </c>
      <c r="BP228" s="47" t="s">
        <v>0</v>
      </c>
      <c r="BQ228" s="52" t="str">
        <f>IF(X228&lt;&gt;"NEMA","",IF(IFERROR(MATCH(W228,W$12:W227,0),0)&lt;&gt;0,"",W228))</f>
        <v/>
      </c>
      <c r="BR228" s="73" t="str">
        <f t="shared" si="325"/>
        <v/>
      </c>
      <c r="BS228" s="31" t="str">
        <f>IF(OR(BR228="",BR228&lt;&gt;"NEMA"),"",MAX(BS$12:BS227)+1)</f>
        <v/>
      </c>
      <c r="BT228" s="66" t="str">
        <f t="shared" si="326"/>
        <v/>
      </c>
      <c r="BU228" s="47" t="s">
        <v>0</v>
      </c>
      <c r="BV228" s="19" t="str">
        <f t="shared" si="327"/>
        <v/>
      </c>
      <c r="BW228" s="47" t="s">
        <v>0</v>
      </c>
      <c r="BX228" s="82" t="str">
        <f>IF(BK228&lt;&gt;"NEMA","",IF(IFERROR(MATCH(BJ228,BJ$12:BJ227,0),0)&lt;&gt;0,"",BJ228))</f>
        <v/>
      </c>
      <c r="BY228" s="47" t="s">
        <v>0</v>
      </c>
      <c r="BZ228" s="125"/>
      <c r="CA228" s="47" t="s">
        <v>0</v>
      </c>
      <c r="CB228" s="58" t="str">
        <f t="shared" si="328"/>
        <v/>
      </c>
      <c r="CC228" s="31" t="str">
        <f t="shared" si="329"/>
        <v/>
      </c>
      <c r="CD228" s="31" t="str">
        <f>IF(CC228="","",MAX(CD$12:CD227)+1)</f>
        <v/>
      </c>
      <c r="CE228" s="31" t="str">
        <f t="shared" si="285"/>
        <v/>
      </c>
      <c r="CF228" s="31" t="str">
        <f t="shared" si="330"/>
        <v/>
      </c>
      <c r="CG228" s="31" t="str">
        <f>IF(BZ228="","",MAX(CG$12:CG227)+1)</f>
        <v/>
      </c>
      <c r="CH228" s="31" t="str">
        <f t="shared" si="331"/>
        <v/>
      </c>
      <c r="CI228" s="66" t="str">
        <f t="shared" si="332"/>
        <v/>
      </c>
      <c r="CJ228" s="47" t="s">
        <v>0</v>
      </c>
      <c r="CK228" s="73" t="str">
        <f t="shared" si="286"/>
        <v/>
      </c>
      <c r="CL228" s="47"/>
      <c r="CM228" s="19" t="str">
        <f t="shared" si="333"/>
        <v/>
      </c>
      <c r="CN228" s="47" t="s">
        <v>0</v>
      </c>
      <c r="CO228" s="143" t="str">
        <f t="shared" si="334"/>
        <v>OK Kapela</v>
      </c>
      <c r="CP228" s="47" t="s">
        <v>0</v>
      </c>
      <c r="CQ228" s="58" t="str">
        <f t="shared" si="270"/>
        <v>48:56</v>
      </c>
      <c r="CR228" s="73" t="str">
        <f t="shared" si="271"/>
        <v>0</v>
      </c>
      <c r="CS228" s="229" t="str">
        <f t="shared" si="287"/>
        <v/>
      </c>
      <c r="CT228" s="230">
        <f t="shared" si="272"/>
        <v>2936</v>
      </c>
      <c r="CU228" s="163">
        <f t="shared" si="288"/>
        <v>1</v>
      </c>
      <c r="CV228" s="47" t="s">
        <v>0</v>
      </c>
      <c r="CW228" s="222" t="str">
        <f t="shared" si="335"/>
        <v xml:space="preserve">
</v>
      </c>
      <c r="CX228" s="223">
        <f t="shared" si="336"/>
        <v>6</v>
      </c>
      <c r="CY228" s="47" t="s">
        <v>0</v>
      </c>
      <c r="CZ228" s="47"/>
      <c r="DA228" s="47"/>
      <c r="DB228" s="47"/>
      <c r="DC228" s="47" t="s">
        <v>0</v>
      </c>
      <c r="DD228" s="53" t="str">
        <f t="shared" si="344"/>
        <v/>
      </c>
      <c r="DE228" t="s">
        <v>0</v>
      </c>
      <c r="DF228" s="128" t="str">
        <f t="shared" si="345"/>
        <v>Ž</v>
      </c>
      <c r="DG228" t="s">
        <v>0</v>
      </c>
      <c r="DH228" s="52" t="str">
        <f t="shared" si="346"/>
        <v/>
      </c>
      <c r="DI228" s="66" t="str">
        <f t="shared" si="347"/>
        <v/>
      </c>
      <c r="DJ228" t="s">
        <v>0</v>
      </c>
      <c r="DK228" s="19" t="str">
        <f t="shared" si="348"/>
        <v/>
      </c>
      <c r="DL228" s="47" t="s">
        <v>0</v>
      </c>
      <c r="DM228" s="19" t="str">
        <f t="shared" si="349"/>
        <v/>
      </c>
      <c r="DN228" s="47" t="s">
        <v>0</v>
      </c>
      <c r="DO228" s="52" t="str">
        <f t="shared" si="289"/>
        <v>Wanda – Kovač – OK Kapela – Ž16</v>
      </c>
      <c r="DP228" s="53">
        <f t="shared" si="290"/>
        <v>268</v>
      </c>
      <c r="DQ228" s="47" t="s">
        <v>0</v>
      </c>
      <c r="DR228" s="52" t="str">
        <f t="shared" si="291"/>
        <v>Wanda – Kovač – OK Kapela</v>
      </c>
      <c r="DS228" s="53">
        <f t="shared" si="292"/>
        <v>268</v>
      </c>
      <c r="DT228" s="47" t="s">
        <v>0</v>
      </c>
      <c r="DU228" s="52" t="str">
        <f t="shared" si="293"/>
        <v>Wanda – Kovač</v>
      </c>
      <c r="DV228" s="53">
        <f t="shared" si="294"/>
        <v>268</v>
      </c>
      <c r="DW228" s="47" t="s">
        <v>0</v>
      </c>
      <c r="DX228" s="58">
        <f t="shared" si="337"/>
        <v>268</v>
      </c>
      <c r="DY228" s="53" cm="1">
        <f t="array" ref="DY228">IF(DX228&lt;&gt;"",INDEX(regNatjecatelj_id,DX228,0),IF(BD228&lt;&gt;"",BD228,""))</f>
        <v>1204</v>
      </c>
      <c r="DZ228" s="47" t="s">
        <v>0</v>
      </c>
      <c r="EA228" s="58" t="str">
        <f t="shared" si="295"/>
        <v>imepre</v>
      </c>
      <c r="EB228" s="73" t="str">
        <f t="shared" si="296"/>
        <v>klu</v>
      </c>
      <c r="EC228" s="73" t="str">
        <f t="shared" si="297"/>
        <v>kat</v>
      </c>
      <c r="ED228" s="73" t="str">
        <f t="shared" si="298"/>
        <v/>
      </c>
      <c r="EE228" s="66" t="str">
        <f t="shared" si="299"/>
        <v>imepre-klu-kat</v>
      </c>
      <c r="EF228" s="47" t="s">
        <v>0</v>
      </c>
      <c r="EG228" s="58">
        <f>IF(AL228="","",MAX(EG$12:EG227)+1)</f>
        <v>385</v>
      </c>
      <c r="EH228" s="73">
        <f t="shared" si="300"/>
        <v>37</v>
      </c>
      <c r="EI228" s="73">
        <f t="shared" si="338"/>
        <v>1204</v>
      </c>
      <c r="EJ228" s="73">
        <f t="shared" si="301"/>
        <v>2936</v>
      </c>
      <c r="EK228" s="73">
        <f t="shared" si="302"/>
        <v>1</v>
      </c>
      <c r="EL228" s="73">
        <f t="shared" si="339"/>
        <v>1</v>
      </c>
      <c r="EM228" s="73">
        <f t="shared" si="340"/>
        <v>1</v>
      </c>
      <c r="EN228" s="73" t="str">
        <f t="shared" si="303"/>
        <v>0</v>
      </c>
      <c r="EO228" s="73" t="str">
        <f t="shared" si="304"/>
        <v/>
      </c>
      <c r="EP228" s="73" t="str">
        <f t="shared" si="305"/>
        <v/>
      </c>
      <c r="EQ228" s="53" t="str">
        <f t="shared" si="306"/>
        <v/>
      </c>
      <c r="ER228" s="47" t="s">
        <v>0</v>
      </c>
      <c r="ES228" s="19" t="str">
        <f t="shared" si="341"/>
        <v>INSERT INTO rezultat(id,stazakategorija_id,imeprezime_id,vrijeme_sec,status_id,registracija,uparivanje_id,originalstatus_id,imeprezimealias_id,klubalias_id,kategorijaalias_id) VALUES (385,37,1204,2936,1,1,1,0,Null,Null,Null);</v>
      </c>
      <c r="ET228" s="47" t="s">
        <v>0</v>
      </c>
      <c r="EU228" s="19" t="str">
        <f t="shared" si="342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8" s="47" t="s">
        <v>0</v>
      </c>
      <c r="EW228" s="180" t="str">
        <f t="shared" si="307"/>
        <v xml:space="preserve">
INSERT INTO rezultat(id,stazakategorija_id,imeprezime_id,vrijeme_sec,status_id,registracija,uparivanje_id,originalstatus_id,imeprezimealias_id,klubalias_id,kategorijaalias_id) VALUES (385,37,1204,2936,1,1,1,0,Null,Null,Null);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8" s="47" t="s">
        <v>0</v>
      </c>
    </row>
    <row r="229" spans="1:154" x14ac:dyDescent="0.25">
      <c r="A229" t="s">
        <v>0</v>
      </c>
      <c r="B229" s="52" t="str">
        <f>IF(csv!F219="","",csv!T219)</f>
        <v>Ž16</v>
      </c>
      <c r="C229" s="31" t="s">
        <v>0</v>
      </c>
      <c r="D229" s="31" t="str">
        <f>IF(csv!F219="","",csv!F219)</f>
        <v>Petra</v>
      </c>
      <c r="E229" s="31" t="str">
        <f>IF(csv!E219="","",csv!E219)</f>
        <v>Dasović</v>
      </c>
      <c r="F229" s="31" t="s">
        <v>0</v>
      </c>
      <c r="G229" s="73" t="str">
        <f>IF(csv!M219="","",csv!M219)</f>
        <v>52:05</v>
      </c>
      <c r="H229" s="73" t="str">
        <f>IF(csv!N219="","",csv!N219)</f>
        <v>0</v>
      </c>
      <c r="I229" s="31" t="s">
        <v>0</v>
      </c>
      <c r="J229" s="31" t="str">
        <f>IF(csv!P219="","",csv!P219)</f>
        <v>KAP</v>
      </c>
      <c r="K229" s="31" t="str">
        <f>IF(csv!Q219="","",csv!Q219)</f>
        <v>OK Kapela</v>
      </c>
      <c r="L229" s="31" t="s">
        <v>0</v>
      </c>
      <c r="M229" s="66" t="str">
        <f>IF(csv!R219="","",csv!R219)</f>
        <v>CRO</v>
      </c>
      <c r="N229" s="47" t="s">
        <v>0</v>
      </c>
      <c r="O229" s="246" t="str">
        <f t="shared" si="308"/>
        <v>ok</v>
      </c>
      <c r="P229" s="47"/>
      <c r="Q229" s="52" t="str">
        <f t="shared" si="309"/>
        <v>Ž16</v>
      </c>
      <c r="R229" s="73">
        <f>IF(Q229="","",IF(COUNTIF(Q$12:Q228,Q229)=0,R228+1,R228))</f>
        <v>15</v>
      </c>
      <c r="S229" s="73">
        <f t="shared" si="310"/>
        <v>120</v>
      </c>
      <c r="T229" s="73">
        <f t="shared" si="273"/>
        <v>27</v>
      </c>
      <c r="U229" s="66" t="str">
        <f t="shared" si="274"/>
        <v>Ž21B – Ž16</v>
      </c>
      <c r="V229" s="47" t="s">
        <v>0</v>
      </c>
      <c r="W229" s="222" t="str">
        <f t="shared" si="275"/>
        <v>Ž16</v>
      </c>
      <c r="X229" s="223">
        <f t="shared" si="276"/>
        <v>37</v>
      </c>
      <c r="Y229" s="47" t="s">
        <v>0</v>
      </c>
      <c r="Z229" s="52" t="str">
        <f t="shared" si="311"/>
        <v>CRO</v>
      </c>
      <c r="AA229" s="73">
        <f t="shared" si="277"/>
        <v>1</v>
      </c>
      <c r="AB229" s="31" t="str">
        <f t="shared" si="312"/>
        <v/>
      </c>
      <c r="AC229" s="66" t="str">
        <f>IF(AB229="","",MAX(AC$12:AC228)+1)</f>
        <v/>
      </c>
      <c r="AD229" s="47" t="s">
        <v>0</v>
      </c>
      <c r="AE229" s="125"/>
      <c r="AF229" s="47" t="s">
        <v>0</v>
      </c>
      <c r="AG229" s="19" t="str">
        <f t="shared" si="313"/>
        <v/>
      </c>
      <c r="AH229" s="47" t="s">
        <v>0</v>
      </c>
      <c r="AI229" s="143" t="str">
        <f t="shared" si="314"/>
        <v>CRO</v>
      </c>
      <c r="AJ229" s="47"/>
      <c r="AK229" s="52" t="str">
        <f t="shared" si="315"/>
        <v>Petra</v>
      </c>
      <c r="AL229" s="31" t="str">
        <f t="shared" si="316"/>
        <v>Dasović</v>
      </c>
      <c r="AM229" s="73">
        <f t="shared" si="317"/>
        <v>1438</v>
      </c>
      <c r="AN229" s="73" t="str">
        <f t="shared" si="318"/>
        <v/>
      </c>
      <c r="AO229" s="31" t="str">
        <f t="shared" si="278"/>
        <v>Petra</v>
      </c>
      <c r="AP229" s="66" t="str">
        <f t="shared" si="279"/>
        <v>Dasović</v>
      </c>
      <c r="AQ229" s="47" t="s">
        <v>0</v>
      </c>
      <c r="AR229" s="82" t="str">
        <f t="shared" si="319"/>
        <v/>
      </c>
      <c r="AS229" s="47" t="s">
        <v>0</v>
      </c>
      <c r="AT229" s="19" t="str">
        <f t="shared" si="320"/>
        <v/>
      </c>
      <c r="AU229" s="47" t="s">
        <v>0</v>
      </c>
      <c r="AV229" s="103"/>
      <c r="AW229" s="105"/>
      <c r="AX229" s="47" t="s">
        <v>0</v>
      </c>
      <c r="AY229" s="259" t="str">
        <f t="shared" si="343"/>
        <v/>
      </c>
      <c r="AZ229" s="47" t="s">
        <v>0</v>
      </c>
      <c r="BA229" s="52" t="str">
        <f t="shared" si="280"/>
        <v/>
      </c>
      <c r="BB229" s="73" t="str">
        <f>IF(AV229&amp;AW229="","",MAX(BB$12:BB228)+1)</f>
        <v/>
      </c>
      <c r="BC229" s="272" t="str">
        <f t="shared" si="281"/>
        <v/>
      </c>
      <c r="BD229" s="53" t="str">
        <f>IF(AND(AM229="NEMA",AN229="NEMA",OR(AV229&amp;AW229="",BC229="NEMA")),MAX(BD$12:BD228)+1,"")</f>
        <v/>
      </c>
      <c r="BE229" s="47" t="s">
        <v>0</v>
      </c>
      <c r="BF229" s="52" t="str">
        <f t="shared" si="321"/>
        <v>Petra</v>
      </c>
      <c r="BG229" s="66" t="str">
        <f t="shared" si="322"/>
        <v>Dasović</v>
      </c>
      <c r="BH229" s="47" t="s">
        <v>0</v>
      </c>
      <c r="BI229" s="52" t="str">
        <f t="shared" si="282"/>
        <v>KAP</v>
      </c>
      <c r="BJ229" s="31" t="str">
        <f t="shared" si="283"/>
        <v>OK Kapela</v>
      </c>
      <c r="BK229" s="73" t="str">
        <f t="shared" si="284"/>
        <v/>
      </c>
      <c r="BL229" s="31" t="str" cm="1">
        <f t="array" ref="BL229">IF(BK229="",""&amp;BJ229,IF(BK229="NEMA",BJ229,INDEX(regKlub_naziv,MATCH(INDEX(regKlub_alias_klubId,BK229),regKlub_id,0))))</f>
        <v>OK Kapela</v>
      </c>
      <c r="BM229" s="31" t="str" cm="1">
        <f t="array" ref="BM229">IFERROR(""&amp;INDEX(regNatjecatelj_klub,DV229),"")</f>
        <v>OK Kapela</v>
      </c>
      <c r="BN229" s="88" t="str">
        <f t="shared" si="323"/>
        <v/>
      </c>
      <c r="BO229" s="66" t="str">
        <f t="shared" si="324"/>
        <v>OK Kapela</v>
      </c>
      <c r="BP229" s="47" t="s">
        <v>0</v>
      </c>
      <c r="BQ229" s="52" t="str">
        <f>IF(X229&lt;&gt;"NEMA","",IF(IFERROR(MATCH(W229,W$12:W228,0),0)&lt;&gt;0,"",W229))</f>
        <v/>
      </c>
      <c r="BR229" s="73" t="str">
        <f t="shared" si="325"/>
        <v/>
      </c>
      <c r="BS229" s="31" t="str">
        <f>IF(OR(BR229="",BR229&lt;&gt;"NEMA"),"",MAX(BS$12:BS228)+1)</f>
        <v/>
      </c>
      <c r="BT229" s="66" t="str">
        <f t="shared" si="326"/>
        <v/>
      </c>
      <c r="BU229" s="47" t="s">
        <v>0</v>
      </c>
      <c r="BV229" s="19" t="str">
        <f t="shared" si="327"/>
        <v/>
      </c>
      <c r="BW229" s="47" t="s">
        <v>0</v>
      </c>
      <c r="BX229" s="82" t="str">
        <f>IF(BK229&lt;&gt;"NEMA","",IF(IFERROR(MATCH(BJ229,BJ$12:BJ228,0),0)&lt;&gt;0,"",BJ229))</f>
        <v/>
      </c>
      <c r="BY229" s="47" t="s">
        <v>0</v>
      </c>
      <c r="BZ229" s="125"/>
      <c r="CA229" s="47" t="s">
        <v>0</v>
      </c>
      <c r="CB229" s="58" t="str">
        <f t="shared" si="328"/>
        <v/>
      </c>
      <c r="CC229" s="31" t="str">
        <f t="shared" si="329"/>
        <v/>
      </c>
      <c r="CD229" s="31" t="str">
        <f>IF(CC229="","",MAX(CD$12:CD228)+1)</f>
        <v/>
      </c>
      <c r="CE229" s="31" t="str">
        <f t="shared" si="285"/>
        <v/>
      </c>
      <c r="CF229" s="31" t="str">
        <f t="shared" si="330"/>
        <v/>
      </c>
      <c r="CG229" s="31" t="str">
        <f>IF(BZ229="","",MAX(CG$12:CG228)+1)</f>
        <v/>
      </c>
      <c r="CH229" s="31" t="str">
        <f t="shared" si="331"/>
        <v/>
      </c>
      <c r="CI229" s="66" t="str">
        <f t="shared" si="332"/>
        <v/>
      </c>
      <c r="CJ229" s="47" t="s">
        <v>0</v>
      </c>
      <c r="CK229" s="73" t="str">
        <f t="shared" si="286"/>
        <v/>
      </c>
      <c r="CL229" s="47"/>
      <c r="CM229" s="19" t="str">
        <f t="shared" si="333"/>
        <v/>
      </c>
      <c r="CN229" s="47" t="s">
        <v>0</v>
      </c>
      <c r="CO229" s="143" t="str">
        <f t="shared" si="334"/>
        <v>OK Kapela</v>
      </c>
      <c r="CP229" s="47" t="s">
        <v>0</v>
      </c>
      <c r="CQ229" s="58" t="str">
        <f t="shared" si="270"/>
        <v>52:05</v>
      </c>
      <c r="CR229" s="73" t="str">
        <f t="shared" si="271"/>
        <v>0</v>
      </c>
      <c r="CS229" s="229" t="str">
        <f t="shared" si="287"/>
        <v/>
      </c>
      <c r="CT229" s="230">
        <f t="shared" si="272"/>
        <v>3125</v>
      </c>
      <c r="CU229" s="163">
        <f t="shared" si="288"/>
        <v>1</v>
      </c>
      <c r="CV229" s="47" t="s">
        <v>0</v>
      </c>
      <c r="CW229" s="222" t="str">
        <f t="shared" si="335"/>
        <v xml:space="preserve">
</v>
      </c>
      <c r="CX229" s="223">
        <f t="shared" si="336"/>
        <v>6</v>
      </c>
      <c r="CY229" s="47" t="s">
        <v>0</v>
      </c>
      <c r="CZ229" s="47"/>
      <c r="DA229" s="47"/>
      <c r="DB229" s="47"/>
      <c r="DC229" s="47" t="s">
        <v>0</v>
      </c>
      <c r="DD229" s="53" t="str">
        <f t="shared" si="344"/>
        <v/>
      </c>
      <c r="DE229" t="s">
        <v>0</v>
      </c>
      <c r="DF229" s="128" t="str">
        <f t="shared" si="345"/>
        <v>Ž</v>
      </c>
      <c r="DG229" t="s">
        <v>0</v>
      </c>
      <c r="DH229" s="52" t="str">
        <f t="shared" si="346"/>
        <v/>
      </c>
      <c r="DI229" s="66" t="str">
        <f t="shared" si="347"/>
        <v/>
      </c>
      <c r="DJ229" t="s">
        <v>0</v>
      </c>
      <c r="DK229" s="19" t="str">
        <f t="shared" si="348"/>
        <v/>
      </c>
      <c r="DL229" s="47" t="s">
        <v>0</v>
      </c>
      <c r="DM229" s="19" t="str">
        <f t="shared" si="349"/>
        <v/>
      </c>
      <c r="DN229" s="47" t="s">
        <v>0</v>
      </c>
      <c r="DO229" s="52" t="str">
        <f t="shared" si="289"/>
        <v>Petra – Dasović – OK Kapela – Ž16</v>
      </c>
      <c r="DP229" s="53">
        <f t="shared" si="290"/>
        <v>226</v>
      </c>
      <c r="DQ229" s="47" t="s">
        <v>0</v>
      </c>
      <c r="DR229" s="52" t="str">
        <f t="shared" si="291"/>
        <v>Petra – Dasović – OK Kapela</v>
      </c>
      <c r="DS229" s="53">
        <f t="shared" si="292"/>
        <v>226</v>
      </c>
      <c r="DT229" s="47" t="s">
        <v>0</v>
      </c>
      <c r="DU229" s="52" t="str">
        <f t="shared" si="293"/>
        <v>Petra – Dasović</v>
      </c>
      <c r="DV229" s="53">
        <f t="shared" si="294"/>
        <v>226</v>
      </c>
      <c r="DW229" s="47" t="s">
        <v>0</v>
      </c>
      <c r="DX229" s="58">
        <f t="shared" si="337"/>
        <v>226</v>
      </c>
      <c r="DY229" s="53" cm="1">
        <f t="array" ref="DY229">IF(DX229&lt;&gt;"",INDEX(regNatjecatelj_id,DX229,0),IF(BD229&lt;&gt;"",BD229,""))</f>
        <v>1438</v>
      </c>
      <c r="DZ229" s="47" t="s">
        <v>0</v>
      </c>
      <c r="EA229" s="58" t="str">
        <f t="shared" si="295"/>
        <v>imepre</v>
      </c>
      <c r="EB229" s="73" t="str">
        <f t="shared" si="296"/>
        <v>klu</v>
      </c>
      <c r="EC229" s="73" t="str">
        <f t="shared" si="297"/>
        <v>kat</v>
      </c>
      <c r="ED229" s="73" t="str">
        <f t="shared" si="298"/>
        <v/>
      </c>
      <c r="EE229" s="66" t="str">
        <f t="shared" si="299"/>
        <v>imepre-klu-kat</v>
      </c>
      <c r="EF229" s="47" t="s">
        <v>0</v>
      </c>
      <c r="EG229" s="58">
        <f>IF(AL229="","",MAX(EG$12:EG228)+1)</f>
        <v>386</v>
      </c>
      <c r="EH229" s="73">
        <f t="shared" si="300"/>
        <v>37</v>
      </c>
      <c r="EI229" s="73">
        <f t="shared" si="338"/>
        <v>1438</v>
      </c>
      <c r="EJ229" s="73">
        <f t="shared" si="301"/>
        <v>3125</v>
      </c>
      <c r="EK229" s="73">
        <f t="shared" si="302"/>
        <v>1</v>
      </c>
      <c r="EL229" s="73">
        <f t="shared" si="339"/>
        <v>1</v>
      </c>
      <c r="EM229" s="73">
        <f t="shared" si="340"/>
        <v>1</v>
      </c>
      <c r="EN229" s="73" t="str">
        <f t="shared" si="303"/>
        <v>0</v>
      </c>
      <c r="EO229" s="73" t="str">
        <f t="shared" si="304"/>
        <v/>
      </c>
      <c r="EP229" s="73" t="str">
        <f t="shared" si="305"/>
        <v/>
      </c>
      <c r="EQ229" s="53" t="str">
        <f t="shared" si="306"/>
        <v/>
      </c>
      <c r="ER229" s="47" t="s">
        <v>0</v>
      </c>
      <c r="ES229" s="19" t="str">
        <f t="shared" si="341"/>
        <v>INSERT INTO rezultat(id,stazakategorija_id,imeprezime_id,vrijeme_sec,status_id,registracija,uparivanje_id,originalstatus_id,imeprezimealias_id,klubalias_id,kategorijaalias_id) VALUES (386,37,1438,3125,1,1,1,0,Null,Null,Null);</v>
      </c>
      <c r="ET229" s="47" t="s">
        <v>0</v>
      </c>
      <c r="EU229" s="19" t="str">
        <f t="shared" si="342"/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9" s="47" t="s">
        <v>0</v>
      </c>
      <c r="EW229" s="180" t="str">
        <f t="shared" si="307"/>
        <v xml:space="preserve">
INSERT INTO rezultat(id,stazakategorija_id,imeprezime_id,vrijeme_sec,status_id,registracija,uparivanje_id,originalstatus_id,imeprezimealias_id,klubalias_id,kategorijaalias_id) VALUES (386,37,1438,3125,1,1,1,0,Null,Null,Null);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9" s="47" t="s">
        <v>0</v>
      </c>
    </row>
    <row r="230" spans="1:154" x14ac:dyDescent="0.25">
      <c r="A230" t="s">
        <v>0</v>
      </c>
      <c r="B230" s="52" t="str">
        <f>IF(csv!F220="","",csv!T220)</f>
        <v>Ž16</v>
      </c>
      <c r="C230" s="31" t="s">
        <v>0</v>
      </c>
      <c r="D230" s="31" t="str">
        <f>IF(csv!F220="","",csv!F220)</f>
        <v>Kimi Maria</v>
      </c>
      <c r="E230" s="31" t="str">
        <f>IF(csv!E220="","",csv!E220)</f>
        <v>Gobec</v>
      </c>
      <c r="F230" s="31" t="s">
        <v>0</v>
      </c>
      <c r="G230" s="73" t="str">
        <f>IF(csv!M220="","",csv!M220)</f>
        <v>53:31</v>
      </c>
      <c r="H230" s="73" t="str">
        <f>IF(csv!N220="","",csv!N220)</f>
        <v>0</v>
      </c>
      <c r="I230" s="31" t="s">
        <v>0</v>
      </c>
      <c r="J230" s="31" t="str">
        <f>IF(csv!P220="","",csv!P220)</f>
        <v>Vihor</v>
      </c>
      <c r="K230" s="31" t="str">
        <f>IF(csv!Q220="","",csv!Q220)</f>
        <v>OK Vihor</v>
      </c>
      <c r="L230" s="31" t="s">
        <v>0</v>
      </c>
      <c r="M230" s="66" t="str">
        <f>IF(csv!R220="","",csv!R220)</f>
        <v>CRO</v>
      </c>
      <c r="N230" s="47" t="s">
        <v>0</v>
      </c>
      <c r="O230" s="246" t="str">
        <f t="shared" si="308"/>
        <v>ok</v>
      </c>
      <c r="P230" s="47"/>
      <c r="Q230" s="52" t="str">
        <f t="shared" si="309"/>
        <v>Ž16</v>
      </c>
      <c r="R230" s="73">
        <f>IF(Q230="","",IF(COUNTIF(Q$12:Q229,Q230)=0,R229+1,R229))</f>
        <v>15</v>
      </c>
      <c r="S230" s="73">
        <f t="shared" si="310"/>
        <v>120</v>
      </c>
      <c r="T230" s="73">
        <f t="shared" si="273"/>
        <v>27</v>
      </c>
      <c r="U230" s="66" t="str">
        <f t="shared" si="274"/>
        <v>Ž21B – Ž16</v>
      </c>
      <c r="V230" s="47" t="s">
        <v>0</v>
      </c>
      <c r="W230" s="222" t="str">
        <f t="shared" si="275"/>
        <v>Ž16</v>
      </c>
      <c r="X230" s="223">
        <f t="shared" si="276"/>
        <v>37</v>
      </c>
      <c r="Y230" s="47" t="s">
        <v>0</v>
      </c>
      <c r="Z230" s="52" t="str">
        <f t="shared" si="311"/>
        <v>CRO</v>
      </c>
      <c r="AA230" s="73">
        <f t="shared" si="277"/>
        <v>1</v>
      </c>
      <c r="AB230" s="31" t="str">
        <f t="shared" si="312"/>
        <v/>
      </c>
      <c r="AC230" s="66" t="str">
        <f>IF(AB230="","",MAX(AC$12:AC229)+1)</f>
        <v/>
      </c>
      <c r="AD230" s="47" t="s">
        <v>0</v>
      </c>
      <c r="AE230" s="125"/>
      <c r="AF230" s="47" t="s">
        <v>0</v>
      </c>
      <c r="AG230" s="19" t="str">
        <f t="shared" si="313"/>
        <v/>
      </c>
      <c r="AH230" s="47" t="s">
        <v>0</v>
      </c>
      <c r="AI230" s="143" t="str">
        <f t="shared" si="314"/>
        <v>CRO</v>
      </c>
      <c r="AJ230" s="47"/>
      <c r="AK230" s="52" t="str">
        <f t="shared" si="315"/>
        <v>Kimi Maria</v>
      </c>
      <c r="AL230" s="31" t="str">
        <f t="shared" si="316"/>
        <v>Gobec</v>
      </c>
      <c r="AM230" s="73">
        <f t="shared" si="317"/>
        <v>1301</v>
      </c>
      <c r="AN230" s="73" t="str">
        <f t="shared" si="318"/>
        <v/>
      </c>
      <c r="AO230" s="31" t="str">
        <f t="shared" si="278"/>
        <v>Kimi Maria</v>
      </c>
      <c r="AP230" s="66" t="str">
        <f t="shared" si="279"/>
        <v>Gobec</v>
      </c>
      <c r="AQ230" s="47" t="s">
        <v>0</v>
      </c>
      <c r="AR230" s="82" t="str">
        <f t="shared" si="319"/>
        <v/>
      </c>
      <c r="AS230" s="47" t="s">
        <v>0</v>
      </c>
      <c r="AT230" s="19" t="str">
        <f t="shared" si="320"/>
        <v/>
      </c>
      <c r="AU230" s="47" t="s">
        <v>0</v>
      </c>
      <c r="AV230" s="103"/>
      <c r="AW230" s="105"/>
      <c r="AX230" s="47" t="s">
        <v>0</v>
      </c>
      <c r="AY230" s="259" t="str">
        <f t="shared" si="343"/>
        <v/>
      </c>
      <c r="AZ230" s="47" t="s">
        <v>0</v>
      </c>
      <c r="BA230" s="52" t="str">
        <f t="shared" si="280"/>
        <v/>
      </c>
      <c r="BB230" s="73" t="str">
        <f>IF(AV230&amp;AW230="","",MAX(BB$12:BB229)+1)</f>
        <v/>
      </c>
      <c r="BC230" s="272" t="str">
        <f t="shared" si="281"/>
        <v/>
      </c>
      <c r="BD230" s="53" t="str">
        <f>IF(AND(AM230="NEMA",AN230="NEMA",OR(AV230&amp;AW230="",BC230="NEMA")),MAX(BD$12:BD229)+1,"")</f>
        <v/>
      </c>
      <c r="BE230" s="47" t="s">
        <v>0</v>
      </c>
      <c r="BF230" s="52" t="str">
        <f t="shared" si="321"/>
        <v>Kimi Maria</v>
      </c>
      <c r="BG230" s="66" t="str">
        <f t="shared" si="322"/>
        <v>Gobec</v>
      </c>
      <c r="BH230" s="47" t="s">
        <v>0</v>
      </c>
      <c r="BI230" s="52" t="str">
        <f t="shared" si="282"/>
        <v>Vihor</v>
      </c>
      <c r="BJ230" s="31" t="str">
        <f t="shared" si="283"/>
        <v>OK Vihor</v>
      </c>
      <c r="BK230" s="73" t="str">
        <f t="shared" si="284"/>
        <v/>
      </c>
      <c r="BL230" s="31" t="str" cm="1">
        <f t="array" ref="BL230">IF(BK230="",""&amp;BJ230,IF(BK230="NEMA",BJ230,INDEX(regKlub_naziv,MATCH(INDEX(regKlub_alias_klubId,BK230),regKlub_id,0))))</f>
        <v>OK Vihor</v>
      </c>
      <c r="BM230" s="31" t="str" cm="1">
        <f t="array" ref="BM230">IFERROR(""&amp;INDEX(regNatjecatelj_klub,DV230),"")</f>
        <v>OK Vihor</v>
      </c>
      <c r="BN230" s="88" t="str">
        <f t="shared" si="323"/>
        <v/>
      </c>
      <c r="BO230" s="66" t="str">
        <f t="shared" si="324"/>
        <v>OK Vihor</v>
      </c>
      <c r="BP230" s="47" t="s">
        <v>0</v>
      </c>
      <c r="BQ230" s="52" t="str">
        <f>IF(X230&lt;&gt;"NEMA","",IF(IFERROR(MATCH(W230,W$12:W229,0),0)&lt;&gt;0,"",W230))</f>
        <v/>
      </c>
      <c r="BR230" s="73" t="str">
        <f t="shared" si="325"/>
        <v/>
      </c>
      <c r="BS230" s="31" t="str">
        <f>IF(OR(BR230="",BR230&lt;&gt;"NEMA"),"",MAX(BS$12:BS229)+1)</f>
        <v/>
      </c>
      <c r="BT230" s="66" t="str">
        <f t="shared" si="326"/>
        <v/>
      </c>
      <c r="BU230" s="47" t="s">
        <v>0</v>
      </c>
      <c r="BV230" s="19" t="str">
        <f t="shared" si="327"/>
        <v/>
      </c>
      <c r="BW230" s="47" t="s">
        <v>0</v>
      </c>
      <c r="BX230" s="82" t="str">
        <f>IF(BK230&lt;&gt;"NEMA","",IF(IFERROR(MATCH(BJ230,BJ$12:BJ229,0),0)&lt;&gt;0,"",BJ230))</f>
        <v/>
      </c>
      <c r="BY230" s="47" t="s">
        <v>0</v>
      </c>
      <c r="BZ230" s="125"/>
      <c r="CA230" s="47" t="s">
        <v>0</v>
      </c>
      <c r="CB230" s="58" t="str">
        <f t="shared" si="328"/>
        <v/>
      </c>
      <c r="CC230" s="31" t="str">
        <f t="shared" si="329"/>
        <v/>
      </c>
      <c r="CD230" s="31" t="str">
        <f>IF(CC230="","",MAX(CD$12:CD229)+1)</f>
        <v/>
      </c>
      <c r="CE230" s="31" t="str">
        <f t="shared" si="285"/>
        <v/>
      </c>
      <c r="CF230" s="31" t="str">
        <f t="shared" si="330"/>
        <v/>
      </c>
      <c r="CG230" s="31" t="str">
        <f>IF(BZ230="","",MAX(CG$12:CG229)+1)</f>
        <v/>
      </c>
      <c r="CH230" s="31" t="str">
        <f t="shared" si="331"/>
        <v/>
      </c>
      <c r="CI230" s="66" t="str">
        <f t="shared" si="332"/>
        <v/>
      </c>
      <c r="CJ230" s="47" t="s">
        <v>0</v>
      </c>
      <c r="CK230" s="73" t="str">
        <f t="shared" si="286"/>
        <v/>
      </c>
      <c r="CL230" s="47"/>
      <c r="CM230" s="19" t="str">
        <f t="shared" si="333"/>
        <v/>
      </c>
      <c r="CN230" s="47" t="s">
        <v>0</v>
      </c>
      <c r="CO230" s="143" t="str">
        <f t="shared" si="334"/>
        <v>OK Vihor</v>
      </c>
      <c r="CP230" s="47" t="s">
        <v>0</v>
      </c>
      <c r="CQ230" s="58" t="str">
        <f t="shared" si="270"/>
        <v>53:31</v>
      </c>
      <c r="CR230" s="73" t="str">
        <f t="shared" si="271"/>
        <v>0</v>
      </c>
      <c r="CS230" s="229" t="str">
        <f t="shared" si="287"/>
        <v/>
      </c>
      <c r="CT230" s="230">
        <f t="shared" si="272"/>
        <v>3211</v>
      </c>
      <c r="CU230" s="163">
        <f t="shared" si="288"/>
        <v>1</v>
      </c>
      <c r="CV230" s="47" t="s">
        <v>0</v>
      </c>
      <c r="CW230" s="222" t="str">
        <f t="shared" si="335"/>
        <v xml:space="preserve">
</v>
      </c>
      <c r="CX230" s="223">
        <f t="shared" si="336"/>
        <v>6</v>
      </c>
      <c r="CY230" s="47" t="s">
        <v>0</v>
      </c>
      <c r="CZ230" s="47"/>
      <c r="DA230" s="47"/>
      <c r="DB230" s="47"/>
      <c r="DC230" s="47" t="s">
        <v>0</v>
      </c>
      <c r="DD230" s="53" t="str">
        <f t="shared" si="344"/>
        <v/>
      </c>
      <c r="DE230" t="s">
        <v>0</v>
      </c>
      <c r="DF230" s="128" t="str">
        <f t="shared" si="345"/>
        <v>Ž</v>
      </c>
      <c r="DG230" t="s">
        <v>0</v>
      </c>
      <c r="DH230" s="52" t="str">
        <f t="shared" si="346"/>
        <v/>
      </c>
      <c r="DI230" s="66" t="str">
        <f t="shared" si="347"/>
        <v/>
      </c>
      <c r="DJ230" t="s">
        <v>0</v>
      </c>
      <c r="DK230" s="19" t="str">
        <f t="shared" si="348"/>
        <v/>
      </c>
      <c r="DL230" s="47" t="s">
        <v>0</v>
      </c>
      <c r="DM230" s="19" t="str">
        <f t="shared" si="349"/>
        <v/>
      </c>
      <c r="DN230" s="47" t="s">
        <v>0</v>
      </c>
      <c r="DO230" s="52" t="str">
        <f t="shared" si="289"/>
        <v>Kimi Maria – Gobec – OK Vihor – Ž16</v>
      </c>
      <c r="DP230" s="53">
        <f t="shared" si="290"/>
        <v>676</v>
      </c>
      <c r="DQ230" s="47" t="s">
        <v>0</v>
      </c>
      <c r="DR230" s="52" t="str">
        <f t="shared" si="291"/>
        <v>Kimi Maria – Gobec – OK Vihor</v>
      </c>
      <c r="DS230" s="53">
        <f t="shared" si="292"/>
        <v>676</v>
      </c>
      <c r="DT230" s="47" t="s">
        <v>0</v>
      </c>
      <c r="DU230" s="52" t="str">
        <f t="shared" si="293"/>
        <v>Kimi Maria – Gobec</v>
      </c>
      <c r="DV230" s="53">
        <f t="shared" si="294"/>
        <v>676</v>
      </c>
      <c r="DW230" s="47" t="s">
        <v>0</v>
      </c>
      <c r="DX230" s="58">
        <f t="shared" si="337"/>
        <v>676</v>
      </c>
      <c r="DY230" s="53" cm="1">
        <f t="array" ref="DY230">IF(DX230&lt;&gt;"",INDEX(regNatjecatelj_id,DX230,0),IF(BD230&lt;&gt;"",BD230,""))</f>
        <v>1301</v>
      </c>
      <c r="DZ230" s="47" t="s">
        <v>0</v>
      </c>
      <c r="EA230" s="58" t="str">
        <f t="shared" si="295"/>
        <v>imepre</v>
      </c>
      <c r="EB230" s="73" t="str">
        <f t="shared" si="296"/>
        <v>klu</v>
      </c>
      <c r="EC230" s="73" t="str">
        <f t="shared" si="297"/>
        <v>kat</v>
      </c>
      <c r="ED230" s="73" t="str">
        <f t="shared" si="298"/>
        <v/>
      </c>
      <c r="EE230" s="66" t="str">
        <f t="shared" si="299"/>
        <v>imepre-klu-kat</v>
      </c>
      <c r="EF230" s="47" t="s">
        <v>0</v>
      </c>
      <c r="EG230" s="58">
        <f>IF(AL230="","",MAX(EG$12:EG229)+1)</f>
        <v>387</v>
      </c>
      <c r="EH230" s="73">
        <f t="shared" si="300"/>
        <v>37</v>
      </c>
      <c r="EI230" s="73">
        <f t="shared" si="338"/>
        <v>1301</v>
      </c>
      <c r="EJ230" s="73">
        <f t="shared" si="301"/>
        <v>3211</v>
      </c>
      <c r="EK230" s="73">
        <f t="shared" si="302"/>
        <v>1</v>
      </c>
      <c r="EL230" s="73">
        <f t="shared" si="339"/>
        <v>1</v>
      </c>
      <c r="EM230" s="73">
        <f t="shared" si="340"/>
        <v>1</v>
      </c>
      <c r="EN230" s="73" t="str">
        <f t="shared" si="303"/>
        <v>0</v>
      </c>
      <c r="EO230" s="73" t="str">
        <f t="shared" si="304"/>
        <v/>
      </c>
      <c r="EP230" s="73" t="str">
        <f t="shared" si="305"/>
        <v/>
      </c>
      <c r="EQ230" s="53" t="str">
        <f t="shared" si="306"/>
        <v/>
      </c>
      <c r="ER230" s="47" t="s">
        <v>0</v>
      </c>
      <c r="ES230" s="19" t="str">
        <f t="shared" si="341"/>
        <v>INSERT INTO rezultat(id,stazakategorija_id,imeprezime_id,vrijeme_sec,status_id,registracija,uparivanje_id,originalstatus_id,imeprezimealias_id,klubalias_id,kategorijaalias_id) VALUES (387,37,1301,3211,1,1,1,0,Null,Null,Null);</v>
      </c>
      <c r="ET230" s="47" t="s">
        <v>0</v>
      </c>
      <c r="EU230" s="19" t="str">
        <f t="shared" si="342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0" s="47" t="s">
        <v>0</v>
      </c>
      <c r="EW230" s="180" t="str">
        <f t="shared" si="307"/>
        <v xml:space="preserve">
INSERT INTO rezultat(id,stazakategorija_id,imeprezime_id,vrijeme_sec,status_id,registracija,uparivanje_id,originalstatus_id,imeprezimealias_id,klubalias_id,kategorijaalias_id) VALUES (387,37,1301,3211,1,1,1,0,Null,Null,Null);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0" s="47" t="s">
        <v>0</v>
      </c>
    </row>
    <row r="231" spans="1:154" x14ac:dyDescent="0.25">
      <c r="A231" t="s">
        <v>0</v>
      </c>
      <c r="B231" s="52" t="str">
        <f>IF(csv!F221="","",csv!T221)</f>
        <v>Ž16</v>
      </c>
      <c r="C231" s="31" t="s">
        <v>0</v>
      </c>
      <c r="D231" s="31" t="str">
        <f>IF(csv!F221="","",csv!F221)</f>
        <v>Majda</v>
      </c>
      <c r="E231" s="31" t="str">
        <f>IF(csv!E221="","",csv!E221)</f>
        <v>Vidaković</v>
      </c>
      <c r="F231" s="31" t="s">
        <v>0</v>
      </c>
      <c r="G231" s="73" t="str">
        <f>IF(csv!M221="","",csv!M221)</f>
        <v>53:57</v>
      </c>
      <c r="H231" s="73" t="str">
        <f>IF(csv!N221="","",csv!N221)</f>
        <v>0</v>
      </c>
      <c r="I231" s="31" t="s">
        <v>0</v>
      </c>
      <c r="J231" s="31" t="str">
        <f>IF(csv!P221="","",csv!P221)</f>
        <v>KAP</v>
      </c>
      <c r="K231" s="31" t="str">
        <f>IF(csv!Q221="","",csv!Q221)</f>
        <v>OK Kapela</v>
      </c>
      <c r="L231" s="31" t="s">
        <v>0</v>
      </c>
      <c r="M231" s="66" t="str">
        <f>IF(csv!R221="","",csv!R221)</f>
        <v>CRO</v>
      </c>
      <c r="N231" s="47" t="s">
        <v>0</v>
      </c>
      <c r="O231" s="246" t="str">
        <f t="shared" si="308"/>
        <v>ok</v>
      </c>
      <c r="P231" s="47"/>
      <c r="Q231" s="52" t="str">
        <f t="shared" si="309"/>
        <v>Ž16</v>
      </c>
      <c r="R231" s="73">
        <f>IF(Q231="","",IF(COUNTIF(Q$12:Q230,Q231)=0,R230+1,R230))</f>
        <v>15</v>
      </c>
      <c r="S231" s="73">
        <f t="shared" si="310"/>
        <v>120</v>
      </c>
      <c r="T231" s="73">
        <f t="shared" si="273"/>
        <v>27</v>
      </c>
      <c r="U231" s="66" t="str">
        <f t="shared" si="274"/>
        <v>Ž21B – Ž16</v>
      </c>
      <c r="V231" s="47" t="s">
        <v>0</v>
      </c>
      <c r="W231" s="222" t="str">
        <f t="shared" si="275"/>
        <v>Ž16</v>
      </c>
      <c r="X231" s="223">
        <f t="shared" si="276"/>
        <v>37</v>
      </c>
      <c r="Y231" s="47" t="s">
        <v>0</v>
      </c>
      <c r="Z231" s="52" t="str">
        <f t="shared" si="311"/>
        <v>CRO</v>
      </c>
      <c r="AA231" s="73">
        <f t="shared" si="277"/>
        <v>1</v>
      </c>
      <c r="AB231" s="31" t="str">
        <f t="shared" si="312"/>
        <v/>
      </c>
      <c r="AC231" s="66" t="str">
        <f>IF(AB231="","",MAX(AC$12:AC230)+1)</f>
        <v/>
      </c>
      <c r="AD231" s="47" t="s">
        <v>0</v>
      </c>
      <c r="AE231" s="125"/>
      <c r="AF231" s="47" t="s">
        <v>0</v>
      </c>
      <c r="AG231" s="19" t="str">
        <f t="shared" si="313"/>
        <v/>
      </c>
      <c r="AH231" s="47" t="s">
        <v>0</v>
      </c>
      <c r="AI231" s="143" t="str">
        <f t="shared" si="314"/>
        <v>CRO</v>
      </c>
      <c r="AJ231" s="47"/>
      <c r="AK231" s="52" t="str">
        <f t="shared" si="315"/>
        <v>Majda</v>
      </c>
      <c r="AL231" s="31" t="str">
        <f t="shared" si="316"/>
        <v>Vidaković</v>
      </c>
      <c r="AM231" s="73">
        <f t="shared" si="317"/>
        <v>1259</v>
      </c>
      <c r="AN231" s="73" t="str">
        <f t="shared" si="318"/>
        <v/>
      </c>
      <c r="AO231" s="31" t="str">
        <f t="shared" si="278"/>
        <v>Majda</v>
      </c>
      <c r="AP231" s="66" t="str">
        <f t="shared" si="279"/>
        <v>Vidaković</v>
      </c>
      <c r="AQ231" s="47" t="s">
        <v>0</v>
      </c>
      <c r="AR231" s="82" t="str">
        <f t="shared" si="319"/>
        <v/>
      </c>
      <c r="AS231" s="47" t="s">
        <v>0</v>
      </c>
      <c r="AT231" s="19" t="str">
        <f t="shared" si="320"/>
        <v/>
      </c>
      <c r="AU231" s="47" t="s">
        <v>0</v>
      </c>
      <c r="AV231" s="103"/>
      <c r="AW231" s="105"/>
      <c r="AX231" s="47" t="s">
        <v>0</v>
      </c>
      <c r="AY231" s="259" t="str">
        <f t="shared" si="343"/>
        <v/>
      </c>
      <c r="AZ231" s="47" t="s">
        <v>0</v>
      </c>
      <c r="BA231" s="52" t="str">
        <f t="shared" si="280"/>
        <v/>
      </c>
      <c r="BB231" s="73" t="str">
        <f>IF(AV231&amp;AW231="","",MAX(BB$12:BB230)+1)</f>
        <v/>
      </c>
      <c r="BC231" s="272" t="str">
        <f t="shared" si="281"/>
        <v/>
      </c>
      <c r="BD231" s="53" t="str">
        <f>IF(AND(AM231="NEMA",AN231="NEMA",OR(AV231&amp;AW231="",BC231="NEMA")),MAX(BD$12:BD230)+1,"")</f>
        <v/>
      </c>
      <c r="BE231" s="47" t="s">
        <v>0</v>
      </c>
      <c r="BF231" s="52" t="str">
        <f t="shared" si="321"/>
        <v>Majda</v>
      </c>
      <c r="BG231" s="66" t="str">
        <f t="shared" si="322"/>
        <v>Vidaković</v>
      </c>
      <c r="BH231" s="47" t="s">
        <v>0</v>
      </c>
      <c r="BI231" s="52" t="str">
        <f t="shared" si="282"/>
        <v>KAP</v>
      </c>
      <c r="BJ231" s="31" t="str">
        <f t="shared" si="283"/>
        <v>OK Kapela</v>
      </c>
      <c r="BK231" s="73" t="str">
        <f t="shared" si="284"/>
        <v/>
      </c>
      <c r="BL231" s="31" t="str" cm="1">
        <f t="array" ref="BL231">IF(BK231="",""&amp;BJ231,IF(BK231="NEMA",BJ231,INDEX(regKlub_naziv,MATCH(INDEX(regKlub_alias_klubId,BK231),regKlub_id,0))))</f>
        <v>OK Kapela</v>
      </c>
      <c r="BM231" s="31" t="str" cm="1">
        <f t="array" ref="BM231">IFERROR(""&amp;INDEX(regNatjecatelj_klub,DV231),"")</f>
        <v>OK Kapela</v>
      </c>
      <c r="BN231" s="88" t="str">
        <f t="shared" si="323"/>
        <v/>
      </c>
      <c r="BO231" s="66" t="str">
        <f t="shared" si="324"/>
        <v>OK Kapela</v>
      </c>
      <c r="BP231" s="47" t="s">
        <v>0</v>
      </c>
      <c r="BQ231" s="52" t="str">
        <f>IF(X231&lt;&gt;"NEMA","",IF(IFERROR(MATCH(W231,W$12:W230,0),0)&lt;&gt;0,"",W231))</f>
        <v/>
      </c>
      <c r="BR231" s="73" t="str">
        <f t="shared" si="325"/>
        <v/>
      </c>
      <c r="BS231" s="31" t="str">
        <f>IF(OR(BR231="",BR231&lt;&gt;"NEMA"),"",MAX(BS$12:BS230)+1)</f>
        <v/>
      </c>
      <c r="BT231" s="66" t="str">
        <f t="shared" si="326"/>
        <v/>
      </c>
      <c r="BU231" s="47" t="s">
        <v>0</v>
      </c>
      <c r="BV231" s="19" t="str">
        <f t="shared" si="327"/>
        <v/>
      </c>
      <c r="BW231" s="47" t="s">
        <v>0</v>
      </c>
      <c r="BX231" s="82" t="str">
        <f>IF(BK231&lt;&gt;"NEMA","",IF(IFERROR(MATCH(BJ231,BJ$12:BJ230,0),0)&lt;&gt;0,"",BJ231))</f>
        <v/>
      </c>
      <c r="BY231" s="47" t="s">
        <v>0</v>
      </c>
      <c r="BZ231" s="125"/>
      <c r="CA231" s="47" t="s">
        <v>0</v>
      </c>
      <c r="CB231" s="58" t="str">
        <f t="shared" si="328"/>
        <v/>
      </c>
      <c r="CC231" s="31" t="str">
        <f t="shared" si="329"/>
        <v/>
      </c>
      <c r="CD231" s="31" t="str">
        <f>IF(CC231="","",MAX(CD$12:CD230)+1)</f>
        <v/>
      </c>
      <c r="CE231" s="31" t="str">
        <f t="shared" si="285"/>
        <v/>
      </c>
      <c r="CF231" s="31" t="str">
        <f t="shared" si="330"/>
        <v/>
      </c>
      <c r="CG231" s="31" t="str">
        <f>IF(BZ231="","",MAX(CG$12:CG230)+1)</f>
        <v/>
      </c>
      <c r="CH231" s="31" t="str">
        <f t="shared" si="331"/>
        <v/>
      </c>
      <c r="CI231" s="66" t="str">
        <f t="shared" si="332"/>
        <v/>
      </c>
      <c r="CJ231" s="47" t="s">
        <v>0</v>
      </c>
      <c r="CK231" s="73" t="str">
        <f t="shared" si="286"/>
        <v/>
      </c>
      <c r="CL231" s="47"/>
      <c r="CM231" s="19" t="str">
        <f t="shared" si="333"/>
        <v/>
      </c>
      <c r="CN231" s="47" t="s">
        <v>0</v>
      </c>
      <c r="CO231" s="143" t="str">
        <f t="shared" si="334"/>
        <v>OK Kapela</v>
      </c>
      <c r="CP231" s="47" t="s">
        <v>0</v>
      </c>
      <c r="CQ231" s="58" t="str">
        <f t="shared" ref="CQ231:CQ294" si="350">IF(G231="","",G231)</f>
        <v>53:57</v>
      </c>
      <c r="CR231" s="73" t="str">
        <f t="shared" ref="CR231:CR294" si="351">IF(H231="","",H231)</f>
        <v>0</v>
      </c>
      <c r="CS231" s="229" t="str">
        <f t="shared" si="287"/>
        <v/>
      </c>
      <c r="CT231" s="230">
        <f t="shared" si="272"/>
        <v>3237</v>
      </c>
      <c r="CU231" s="163">
        <f t="shared" si="288"/>
        <v>1</v>
      </c>
      <c r="CV231" s="47" t="s">
        <v>0</v>
      </c>
      <c r="CW231" s="222" t="str">
        <f t="shared" si="335"/>
        <v xml:space="preserve">
</v>
      </c>
      <c r="CX231" s="223">
        <f t="shared" si="336"/>
        <v>6</v>
      </c>
      <c r="CY231" s="47" t="s">
        <v>0</v>
      </c>
      <c r="CZ231" s="47"/>
      <c r="DA231" s="47"/>
      <c r="DB231" s="47"/>
      <c r="DC231" s="47" t="s">
        <v>0</v>
      </c>
      <c r="DD231" s="53" t="str">
        <f t="shared" si="344"/>
        <v/>
      </c>
      <c r="DE231" t="s">
        <v>0</v>
      </c>
      <c r="DF231" s="128" t="str">
        <f t="shared" si="345"/>
        <v>Ž</v>
      </c>
      <c r="DG231" t="s">
        <v>0</v>
      </c>
      <c r="DH231" s="52" t="str">
        <f t="shared" si="346"/>
        <v/>
      </c>
      <c r="DI231" s="66" t="str">
        <f t="shared" si="347"/>
        <v/>
      </c>
      <c r="DJ231" t="s">
        <v>0</v>
      </c>
      <c r="DK231" s="19" t="str">
        <f t="shared" si="348"/>
        <v/>
      </c>
      <c r="DL231" s="47" t="s">
        <v>0</v>
      </c>
      <c r="DM231" s="19" t="str">
        <f t="shared" si="349"/>
        <v/>
      </c>
      <c r="DN231" s="47" t="s">
        <v>0</v>
      </c>
      <c r="DO231" s="52" t="str">
        <f t="shared" si="289"/>
        <v>Majda – Vidaković – OK Kapela – Ž16</v>
      </c>
      <c r="DP231" s="53">
        <f t="shared" si="290"/>
        <v>324</v>
      </c>
      <c r="DQ231" s="47" t="s">
        <v>0</v>
      </c>
      <c r="DR231" s="52" t="str">
        <f t="shared" si="291"/>
        <v>Majda – Vidaković – OK Kapela</v>
      </c>
      <c r="DS231" s="53">
        <f t="shared" si="292"/>
        <v>324</v>
      </c>
      <c r="DT231" s="47" t="s">
        <v>0</v>
      </c>
      <c r="DU231" s="52" t="str">
        <f t="shared" si="293"/>
        <v>Majda – Vidaković</v>
      </c>
      <c r="DV231" s="53">
        <f t="shared" si="294"/>
        <v>324</v>
      </c>
      <c r="DW231" s="47" t="s">
        <v>0</v>
      </c>
      <c r="DX231" s="58">
        <f t="shared" si="337"/>
        <v>324</v>
      </c>
      <c r="DY231" s="53" cm="1">
        <f t="array" ref="DY231">IF(DX231&lt;&gt;"",INDEX(regNatjecatelj_id,DX231,0),IF(BD231&lt;&gt;"",BD231,""))</f>
        <v>1259</v>
      </c>
      <c r="DZ231" s="47" t="s">
        <v>0</v>
      </c>
      <c r="EA231" s="58" t="str">
        <f t="shared" si="295"/>
        <v>imepre</v>
      </c>
      <c r="EB231" s="73" t="str">
        <f t="shared" si="296"/>
        <v>klu</v>
      </c>
      <c r="EC231" s="73" t="str">
        <f t="shared" si="297"/>
        <v>kat</v>
      </c>
      <c r="ED231" s="73" t="str">
        <f t="shared" si="298"/>
        <v/>
      </c>
      <c r="EE231" s="66" t="str">
        <f t="shared" si="299"/>
        <v>imepre-klu-kat</v>
      </c>
      <c r="EF231" s="47" t="s">
        <v>0</v>
      </c>
      <c r="EG231" s="58">
        <f>IF(AL231="","",MAX(EG$12:EG230)+1)</f>
        <v>388</v>
      </c>
      <c r="EH231" s="73">
        <f t="shared" si="300"/>
        <v>37</v>
      </c>
      <c r="EI231" s="73">
        <f t="shared" si="338"/>
        <v>1259</v>
      </c>
      <c r="EJ231" s="73">
        <f t="shared" si="301"/>
        <v>3237</v>
      </c>
      <c r="EK231" s="73">
        <f t="shared" si="302"/>
        <v>1</v>
      </c>
      <c r="EL231" s="73">
        <f t="shared" si="339"/>
        <v>1</v>
      </c>
      <c r="EM231" s="73">
        <f t="shared" si="340"/>
        <v>1</v>
      </c>
      <c r="EN231" s="73" t="str">
        <f t="shared" si="303"/>
        <v>0</v>
      </c>
      <c r="EO231" s="73" t="str">
        <f t="shared" si="304"/>
        <v/>
      </c>
      <c r="EP231" s="73" t="str">
        <f t="shared" si="305"/>
        <v/>
      </c>
      <c r="EQ231" s="53" t="str">
        <f t="shared" si="306"/>
        <v/>
      </c>
      <c r="ER231" s="47" t="s">
        <v>0</v>
      </c>
      <c r="ES231" s="19" t="str">
        <f t="shared" si="341"/>
        <v>INSERT INTO rezultat(id,stazakategorija_id,imeprezime_id,vrijeme_sec,status_id,registracija,uparivanje_id,originalstatus_id,imeprezimealias_id,klubalias_id,kategorijaalias_id) VALUES (388,37,1259,3237,1,1,1,0,Null,Null,Null);</v>
      </c>
      <c r="ET231" s="47" t="s">
        <v>0</v>
      </c>
      <c r="EU231" s="19" t="str">
        <f t="shared" si="342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1" s="47" t="s">
        <v>0</v>
      </c>
      <c r="EW231" s="180" t="str">
        <f t="shared" si="307"/>
        <v xml:space="preserve">
INSERT INTO rezultat(id,stazakategorija_id,imeprezime_id,vrijeme_sec,status_id,registracija,uparivanje_id,originalstatus_id,imeprezimealias_id,klubalias_id,kategorijaalias_id) VALUES (388,37,1259,3237,1,1,1,0,Null,Null,Null);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1" s="47" t="s">
        <v>0</v>
      </c>
    </row>
    <row r="232" spans="1:154" x14ac:dyDescent="0.25">
      <c r="A232" t="s">
        <v>0</v>
      </c>
      <c r="B232" s="52" t="str">
        <f>IF(csv!F222="","",csv!T222)</f>
        <v>Ž16</v>
      </c>
      <c r="C232" s="31" t="s">
        <v>0</v>
      </c>
      <c r="D232" s="31" t="str">
        <f>IF(csv!F222="","",csv!F222)</f>
        <v>Marta</v>
      </c>
      <c r="E232" s="31" t="str">
        <f>IF(csv!E222="","",csv!E222)</f>
        <v>Nikolić</v>
      </c>
      <c r="F232" s="31" t="s">
        <v>0</v>
      </c>
      <c r="G232" s="73" t="str">
        <f>IF(csv!M222="","",csv!M222)</f>
        <v>58:06</v>
      </c>
      <c r="H232" s="73" t="str">
        <f>IF(csv!N222="","",csv!N222)</f>
        <v>0</v>
      </c>
      <c r="I232" s="31" t="s">
        <v>0</v>
      </c>
      <c r="J232" s="31" t="str">
        <f>IF(csv!P222="","",csv!P222)</f>
        <v>Vihor</v>
      </c>
      <c r="K232" s="31" t="str">
        <f>IF(csv!Q222="","",csv!Q222)</f>
        <v>OK Vihor</v>
      </c>
      <c r="L232" s="31" t="s">
        <v>0</v>
      </c>
      <c r="M232" s="66" t="str">
        <f>IF(csv!R222="","",csv!R222)</f>
        <v>CRO</v>
      </c>
      <c r="N232" s="47" t="s">
        <v>0</v>
      </c>
      <c r="O232" s="246" t="str">
        <f t="shared" si="308"/>
        <v>ok</v>
      </c>
      <c r="P232" s="47"/>
      <c r="Q232" s="52" t="str">
        <f t="shared" si="309"/>
        <v>Ž16</v>
      </c>
      <c r="R232" s="73">
        <f>IF(Q232="","",IF(COUNTIF(Q$12:Q231,Q232)=0,R231+1,R231))</f>
        <v>15</v>
      </c>
      <c r="S232" s="73">
        <f t="shared" si="310"/>
        <v>120</v>
      </c>
      <c r="T232" s="73">
        <f t="shared" si="273"/>
        <v>27</v>
      </c>
      <c r="U232" s="66" t="str">
        <f t="shared" si="274"/>
        <v>Ž21B – Ž16</v>
      </c>
      <c r="V232" s="47" t="s">
        <v>0</v>
      </c>
      <c r="W232" s="222" t="str">
        <f t="shared" si="275"/>
        <v>Ž16</v>
      </c>
      <c r="X232" s="223">
        <f t="shared" si="276"/>
        <v>37</v>
      </c>
      <c r="Y232" s="47" t="s">
        <v>0</v>
      </c>
      <c r="Z232" s="52" t="str">
        <f t="shared" si="311"/>
        <v>CRO</v>
      </c>
      <c r="AA232" s="73">
        <f t="shared" si="277"/>
        <v>1</v>
      </c>
      <c r="AB232" s="31" t="str">
        <f t="shared" si="312"/>
        <v/>
      </c>
      <c r="AC232" s="66" t="str">
        <f>IF(AB232="","",MAX(AC$12:AC231)+1)</f>
        <v/>
      </c>
      <c r="AD232" s="47" t="s">
        <v>0</v>
      </c>
      <c r="AE232" s="125"/>
      <c r="AF232" s="47" t="s">
        <v>0</v>
      </c>
      <c r="AG232" s="19" t="str">
        <f t="shared" si="313"/>
        <v/>
      </c>
      <c r="AH232" s="47" t="s">
        <v>0</v>
      </c>
      <c r="AI232" s="143" t="str">
        <f t="shared" si="314"/>
        <v>CRO</v>
      </c>
      <c r="AJ232" s="47"/>
      <c r="AK232" s="52" t="str">
        <f t="shared" si="315"/>
        <v>Marta</v>
      </c>
      <c r="AL232" s="31" t="str">
        <f t="shared" si="316"/>
        <v>Nikolić</v>
      </c>
      <c r="AM232" s="73">
        <f t="shared" si="317"/>
        <v>1041</v>
      </c>
      <c r="AN232" s="73" t="str">
        <f t="shared" si="318"/>
        <v/>
      </c>
      <c r="AO232" s="31" t="str">
        <f t="shared" si="278"/>
        <v>Marta</v>
      </c>
      <c r="AP232" s="66" t="str">
        <f t="shared" si="279"/>
        <v>Nikolić</v>
      </c>
      <c r="AQ232" s="47" t="s">
        <v>0</v>
      </c>
      <c r="AR232" s="82" t="str">
        <f t="shared" si="319"/>
        <v/>
      </c>
      <c r="AS232" s="47" t="s">
        <v>0</v>
      </c>
      <c r="AT232" s="19" t="str">
        <f t="shared" si="320"/>
        <v/>
      </c>
      <c r="AU232" s="47" t="s">
        <v>0</v>
      </c>
      <c r="AV232" s="103"/>
      <c r="AW232" s="105"/>
      <c r="AX232" s="47" t="s">
        <v>0</v>
      </c>
      <c r="AY232" s="259" t="str">
        <f t="shared" si="343"/>
        <v/>
      </c>
      <c r="AZ232" s="47" t="s">
        <v>0</v>
      </c>
      <c r="BA232" s="52" t="str">
        <f t="shared" si="280"/>
        <v/>
      </c>
      <c r="BB232" s="73" t="str">
        <f>IF(AV232&amp;AW232="","",MAX(BB$12:BB231)+1)</f>
        <v/>
      </c>
      <c r="BC232" s="272" t="str">
        <f t="shared" si="281"/>
        <v/>
      </c>
      <c r="BD232" s="53" t="str">
        <f>IF(AND(AM232="NEMA",AN232="NEMA",OR(AV232&amp;AW232="",BC232="NEMA")),MAX(BD$12:BD231)+1,"")</f>
        <v/>
      </c>
      <c r="BE232" s="47" t="s">
        <v>0</v>
      </c>
      <c r="BF232" s="52" t="str">
        <f t="shared" si="321"/>
        <v>Marta</v>
      </c>
      <c r="BG232" s="66" t="str">
        <f t="shared" si="322"/>
        <v>Nikolić</v>
      </c>
      <c r="BH232" s="47" t="s">
        <v>0</v>
      </c>
      <c r="BI232" s="52" t="str">
        <f t="shared" si="282"/>
        <v>Vihor</v>
      </c>
      <c r="BJ232" s="31" t="str">
        <f t="shared" si="283"/>
        <v>OK Vihor</v>
      </c>
      <c r="BK232" s="73" t="str">
        <f t="shared" si="284"/>
        <v/>
      </c>
      <c r="BL232" s="31" t="str" cm="1">
        <f t="array" ref="BL232">IF(BK232="",""&amp;BJ232,IF(BK232="NEMA",BJ232,INDEX(regKlub_naziv,MATCH(INDEX(regKlub_alias_klubId,BK232),regKlub_id,0))))</f>
        <v>OK Vihor</v>
      </c>
      <c r="BM232" s="31" t="str" cm="1">
        <f t="array" ref="BM232">IFERROR(""&amp;INDEX(regNatjecatelj_klub,DV232),"")</f>
        <v>OK Vihor</v>
      </c>
      <c r="BN232" s="88" t="str">
        <f t="shared" si="323"/>
        <v/>
      </c>
      <c r="BO232" s="66" t="str">
        <f t="shared" si="324"/>
        <v>OK Vihor</v>
      </c>
      <c r="BP232" s="47" t="s">
        <v>0</v>
      </c>
      <c r="BQ232" s="52" t="str">
        <f>IF(X232&lt;&gt;"NEMA","",IF(IFERROR(MATCH(W232,W$12:W231,0),0)&lt;&gt;0,"",W232))</f>
        <v/>
      </c>
      <c r="BR232" s="73" t="str">
        <f t="shared" si="325"/>
        <v/>
      </c>
      <c r="BS232" s="31" t="str">
        <f>IF(OR(BR232="",BR232&lt;&gt;"NEMA"),"",MAX(BS$12:BS231)+1)</f>
        <v/>
      </c>
      <c r="BT232" s="66" t="str">
        <f t="shared" si="326"/>
        <v/>
      </c>
      <c r="BU232" s="47" t="s">
        <v>0</v>
      </c>
      <c r="BV232" s="19" t="str">
        <f t="shared" si="327"/>
        <v/>
      </c>
      <c r="BW232" s="47" t="s">
        <v>0</v>
      </c>
      <c r="BX232" s="82" t="str">
        <f>IF(BK232&lt;&gt;"NEMA","",IF(IFERROR(MATCH(BJ232,BJ$12:BJ231,0),0)&lt;&gt;0,"",BJ232))</f>
        <v/>
      </c>
      <c r="BY232" s="47" t="s">
        <v>0</v>
      </c>
      <c r="BZ232" s="125"/>
      <c r="CA232" s="47" t="s">
        <v>0</v>
      </c>
      <c r="CB232" s="58" t="str">
        <f t="shared" si="328"/>
        <v/>
      </c>
      <c r="CC232" s="31" t="str">
        <f t="shared" si="329"/>
        <v/>
      </c>
      <c r="CD232" s="31" t="str">
        <f>IF(CC232="","",MAX(CD$12:CD231)+1)</f>
        <v/>
      </c>
      <c r="CE232" s="31" t="str">
        <f t="shared" si="285"/>
        <v/>
      </c>
      <c r="CF232" s="31" t="str">
        <f t="shared" si="330"/>
        <v/>
      </c>
      <c r="CG232" s="31" t="str">
        <f>IF(BZ232="","",MAX(CG$12:CG231)+1)</f>
        <v/>
      </c>
      <c r="CH232" s="31" t="str">
        <f t="shared" si="331"/>
        <v/>
      </c>
      <c r="CI232" s="66" t="str">
        <f t="shared" si="332"/>
        <v/>
      </c>
      <c r="CJ232" s="47" t="s">
        <v>0</v>
      </c>
      <c r="CK232" s="73" t="str">
        <f t="shared" si="286"/>
        <v/>
      </c>
      <c r="CL232" s="47"/>
      <c r="CM232" s="19" t="str">
        <f t="shared" si="333"/>
        <v/>
      </c>
      <c r="CN232" s="47" t="s">
        <v>0</v>
      </c>
      <c r="CO232" s="143" t="str">
        <f t="shared" si="334"/>
        <v>OK Vihor</v>
      </c>
      <c r="CP232" s="47" t="s">
        <v>0</v>
      </c>
      <c r="CQ232" s="58" t="str">
        <f t="shared" si="350"/>
        <v>58:06</v>
      </c>
      <c r="CR232" s="73" t="str">
        <f t="shared" si="351"/>
        <v>0</v>
      </c>
      <c r="CS232" s="229" t="str">
        <f t="shared" si="287"/>
        <v/>
      </c>
      <c r="CT232" s="230">
        <f t="shared" si="272"/>
        <v>3486</v>
      </c>
      <c r="CU232" s="163">
        <f t="shared" si="288"/>
        <v>1</v>
      </c>
      <c r="CV232" s="47" t="s">
        <v>0</v>
      </c>
      <c r="CW232" s="222" t="str">
        <f t="shared" si="335"/>
        <v xml:space="preserve">
</v>
      </c>
      <c r="CX232" s="223">
        <f t="shared" si="336"/>
        <v>6</v>
      </c>
      <c r="CY232" s="47" t="s">
        <v>0</v>
      </c>
      <c r="CZ232" s="47"/>
      <c r="DA232" s="47"/>
      <c r="DB232" s="47"/>
      <c r="DC232" s="47" t="s">
        <v>0</v>
      </c>
      <c r="DD232" s="53" t="str">
        <f t="shared" si="344"/>
        <v/>
      </c>
      <c r="DE232" t="s">
        <v>0</v>
      </c>
      <c r="DF232" s="128" t="str">
        <f t="shared" si="345"/>
        <v>Ž</v>
      </c>
      <c r="DG232" t="s">
        <v>0</v>
      </c>
      <c r="DH232" s="52" t="str">
        <f t="shared" si="346"/>
        <v/>
      </c>
      <c r="DI232" s="66" t="str">
        <f t="shared" si="347"/>
        <v/>
      </c>
      <c r="DJ232" t="s">
        <v>0</v>
      </c>
      <c r="DK232" s="19" t="str">
        <f t="shared" si="348"/>
        <v/>
      </c>
      <c r="DL232" s="47" t="s">
        <v>0</v>
      </c>
      <c r="DM232" s="19" t="str">
        <f t="shared" si="349"/>
        <v/>
      </c>
      <c r="DN232" s="47" t="s">
        <v>0</v>
      </c>
      <c r="DO232" s="52" t="str">
        <f t="shared" si="289"/>
        <v>Marta – Nikolić – OK Vihor – Ž16</v>
      </c>
      <c r="DP232" s="53">
        <f t="shared" si="290"/>
        <v>819</v>
      </c>
      <c r="DQ232" s="47" t="s">
        <v>0</v>
      </c>
      <c r="DR232" s="52" t="str">
        <f t="shared" si="291"/>
        <v>Marta – Nikolić – OK Vihor</v>
      </c>
      <c r="DS232" s="53">
        <f t="shared" si="292"/>
        <v>819</v>
      </c>
      <c r="DT232" s="47" t="s">
        <v>0</v>
      </c>
      <c r="DU232" s="52" t="str">
        <f t="shared" si="293"/>
        <v>Marta – Nikolić</v>
      </c>
      <c r="DV232" s="53">
        <f t="shared" si="294"/>
        <v>819</v>
      </c>
      <c r="DW232" s="47" t="s">
        <v>0</v>
      </c>
      <c r="DX232" s="58">
        <f t="shared" si="337"/>
        <v>819</v>
      </c>
      <c r="DY232" s="53" cm="1">
        <f t="array" ref="DY232">IF(DX232&lt;&gt;"",INDEX(regNatjecatelj_id,DX232,0),IF(BD232&lt;&gt;"",BD232,""))</f>
        <v>1041</v>
      </c>
      <c r="DZ232" s="47" t="s">
        <v>0</v>
      </c>
      <c r="EA232" s="58" t="str">
        <f t="shared" si="295"/>
        <v>imepre</v>
      </c>
      <c r="EB232" s="73" t="str">
        <f t="shared" si="296"/>
        <v>klu</v>
      </c>
      <c r="EC232" s="73" t="str">
        <f t="shared" si="297"/>
        <v>kat</v>
      </c>
      <c r="ED232" s="73" t="str">
        <f t="shared" si="298"/>
        <v/>
      </c>
      <c r="EE232" s="66" t="str">
        <f t="shared" si="299"/>
        <v>imepre-klu-kat</v>
      </c>
      <c r="EF232" s="47" t="s">
        <v>0</v>
      </c>
      <c r="EG232" s="58">
        <f>IF(AL232="","",MAX(EG$12:EG231)+1)</f>
        <v>389</v>
      </c>
      <c r="EH232" s="73">
        <f t="shared" si="300"/>
        <v>37</v>
      </c>
      <c r="EI232" s="73">
        <f t="shared" si="338"/>
        <v>1041</v>
      </c>
      <c r="EJ232" s="73">
        <f t="shared" si="301"/>
        <v>3486</v>
      </c>
      <c r="EK232" s="73">
        <f t="shared" si="302"/>
        <v>1</v>
      </c>
      <c r="EL232" s="73">
        <f t="shared" si="339"/>
        <v>1</v>
      </c>
      <c r="EM232" s="73">
        <f t="shared" si="340"/>
        <v>1</v>
      </c>
      <c r="EN232" s="73" t="str">
        <f t="shared" si="303"/>
        <v>0</v>
      </c>
      <c r="EO232" s="73" t="str">
        <f t="shared" si="304"/>
        <v/>
      </c>
      <c r="EP232" s="73" t="str">
        <f t="shared" si="305"/>
        <v/>
      </c>
      <c r="EQ232" s="53" t="str">
        <f t="shared" si="306"/>
        <v/>
      </c>
      <c r="ER232" s="47" t="s">
        <v>0</v>
      </c>
      <c r="ES232" s="19" t="str">
        <f t="shared" si="341"/>
        <v>INSERT INTO rezultat(id,stazakategorija_id,imeprezime_id,vrijeme_sec,status_id,registracija,uparivanje_id,originalstatus_id,imeprezimealias_id,klubalias_id,kategorijaalias_id) VALUES (389,37,1041,3486,1,1,1,0,Null,Null,Null);</v>
      </c>
      <c r="ET232" s="47" t="s">
        <v>0</v>
      </c>
      <c r="EU232" s="19" t="str">
        <f t="shared" si="342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2" s="47" t="s">
        <v>0</v>
      </c>
      <c r="EW232" s="180" t="str">
        <f t="shared" si="307"/>
        <v xml:space="preserve">
INSERT INTO rezultat(id,stazakategorija_id,imeprezime_id,vrijeme_sec,status_id,registracija,uparivanje_id,originalstatus_id,imeprezimealias_id,klubalias_id,kategorijaalias_id) VALUES (389,37,1041,3486,1,1,1,0,Null,Null,Null);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2" s="47" t="s">
        <v>0</v>
      </c>
    </row>
    <row r="233" spans="1:154" x14ac:dyDescent="0.25">
      <c r="A233" t="s">
        <v>0</v>
      </c>
      <c r="B233" s="52" t="str">
        <f>IF(csv!F223="","",csv!T223)</f>
        <v>Ž16</v>
      </c>
      <c r="C233" s="31" t="s">
        <v>0</v>
      </c>
      <c r="D233" s="31" t="str">
        <f>IF(csv!F223="","",csv!F223)</f>
        <v>Jana</v>
      </c>
      <c r="E233" s="31" t="str">
        <f>IF(csv!E223="","",csv!E223)</f>
        <v>Cvjetko</v>
      </c>
      <c r="F233" s="31" t="s">
        <v>0</v>
      </c>
      <c r="G233" s="73" t="str">
        <f>IF(csv!M223="","",csv!M223)</f>
        <v>63:07</v>
      </c>
      <c r="H233" s="73" t="str">
        <f>IF(csv!N223="","",csv!N223)</f>
        <v>0</v>
      </c>
      <c r="I233" s="31" t="s">
        <v>0</v>
      </c>
      <c r="J233" s="31" t="str">
        <f>IF(csv!P223="","",csv!P223)</f>
        <v>JAP</v>
      </c>
      <c r="K233" s="31" t="str">
        <f>IF(csv!Q223="","",csv!Q223)</f>
        <v>OK Japetic</v>
      </c>
      <c r="L233" s="31" t="s">
        <v>0</v>
      </c>
      <c r="M233" s="66" t="str">
        <f>IF(csv!R223="","",csv!R223)</f>
        <v>CRO</v>
      </c>
      <c r="N233" s="47" t="s">
        <v>0</v>
      </c>
      <c r="O233" s="246" t="str">
        <f t="shared" si="308"/>
        <v>ok</v>
      </c>
      <c r="P233" s="47"/>
      <c r="Q233" s="52" t="str">
        <f t="shared" si="309"/>
        <v>Ž16</v>
      </c>
      <c r="R233" s="73">
        <f>IF(Q233="","",IF(COUNTIF(Q$12:Q232,Q233)=0,R232+1,R232))</f>
        <v>15</v>
      </c>
      <c r="S233" s="73">
        <f t="shared" si="310"/>
        <v>120</v>
      </c>
      <c r="T233" s="73">
        <f t="shared" si="273"/>
        <v>27</v>
      </c>
      <c r="U233" s="66" t="str">
        <f t="shared" si="274"/>
        <v>Ž21B – Ž16</v>
      </c>
      <c r="V233" s="47" t="s">
        <v>0</v>
      </c>
      <c r="W233" s="222" t="str">
        <f t="shared" si="275"/>
        <v>Ž16</v>
      </c>
      <c r="X233" s="223">
        <f t="shared" si="276"/>
        <v>37</v>
      </c>
      <c r="Y233" s="47" t="s">
        <v>0</v>
      </c>
      <c r="Z233" s="52" t="str">
        <f t="shared" si="311"/>
        <v>CRO</v>
      </c>
      <c r="AA233" s="73">
        <f t="shared" si="277"/>
        <v>1</v>
      </c>
      <c r="AB233" s="31" t="str">
        <f t="shared" si="312"/>
        <v/>
      </c>
      <c r="AC233" s="66" t="str">
        <f>IF(AB233="","",MAX(AC$12:AC232)+1)</f>
        <v/>
      </c>
      <c r="AD233" s="47" t="s">
        <v>0</v>
      </c>
      <c r="AE233" s="125"/>
      <c r="AF233" s="47" t="s">
        <v>0</v>
      </c>
      <c r="AG233" s="19" t="str">
        <f t="shared" si="313"/>
        <v/>
      </c>
      <c r="AH233" s="47" t="s">
        <v>0</v>
      </c>
      <c r="AI233" s="143" t="str">
        <f t="shared" si="314"/>
        <v>CRO</v>
      </c>
      <c r="AJ233" s="47"/>
      <c r="AK233" s="52" t="str">
        <f t="shared" si="315"/>
        <v>Jana</v>
      </c>
      <c r="AL233" s="31" t="str">
        <f t="shared" si="316"/>
        <v>Cvjetko</v>
      </c>
      <c r="AM233" s="73">
        <f t="shared" si="317"/>
        <v>1864</v>
      </c>
      <c r="AN233" s="73" t="str">
        <f t="shared" si="318"/>
        <v/>
      </c>
      <c r="AO233" s="31" t="str">
        <f t="shared" si="278"/>
        <v>Jana</v>
      </c>
      <c r="AP233" s="66" t="str">
        <f t="shared" si="279"/>
        <v>Cvjetko</v>
      </c>
      <c r="AQ233" s="47" t="s">
        <v>0</v>
      </c>
      <c r="AR233" s="82" t="str">
        <f t="shared" si="319"/>
        <v/>
      </c>
      <c r="AS233" s="47" t="s">
        <v>0</v>
      </c>
      <c r="AT233" s="19" t="str">
        <f t="shared" si="320"/>
        <v/>
      </c>
      <c r="AU233" s="47" t="s">
        <v>0</v>
      </c>
      <c r="AV233" s="103"/>
      <c r="AW233" s="105"/>
      <c r="AX233" s="47" t="s">
        <v>0</v>
      </c>
      <c r="AY233" s="259" t="str">
        <f t="shared" si="343"/>
        <v/>
      </c>
      <c r="AZ233" s="47" t="s">
        <v>0</v>
      </c>
      <c r="BA233" s="52" t="str">
        <f t="shared" si="280"/>
        <v/>
      </c>
      <c r="BB233" s="73" t="str">
        <f>IF(AV233&amp;AW233="","",MAX(BB$12:BB232)+1)</f>
        <v/>
      </c>
      <c r="BC233" s="272" t="str">
        <f t="shared" si="281"/>
        <v/>
      </c>
      <c r="BD233" s="53" t="str">
        <f>IF(AND(AM233="NEMA",AN233="NEMA",OR(AV233&amp;AW233="",BC233="NEMA")),MAX(BD$12:BD232)+1,"")</f>
        <v/>
      </c>
      <c r="BE233" s="47" t="s">
        <v>0</v>
      </c>
      <c r="BF233" s="52" t="str">
        <f t="shared" si="321"/>
        <v>Jana</v>
      </c>
      <c r="BG233" s="66" t="str">
        <f t="shared" si="322"/>
        <v>Cvjetko</v>
      </c>
      <c r="BH233" s="47" t="s">
        <v>0</v>
      </c>
      <c r="BI233" s="52" t="str">
        <f t="shared" si="282"/>
        <v>JAP</v>
      </c>
      <c r="BJ233" s="31" t="str">
        <f t="shared" si="283"/>
        <v>OK Japetic</v>
      </c>
      <c r="BK233" s="73">
        <f t="shared" si="284"/>
        <v>1</v>
      </c>
      <c r="BL233" s="31" t="str" cm="1">
        <f t="array" ref="BL233">IF(BK233="",""&amp;BJ233,IF(BK233="NEMA",BJ233,INDEX(regKlub_naziv,MATCH(INDEX(regKlub_alias_klubId,BK233),regKlub_id,0))))</f>
        <v>OK Japetić</v>
      </c>
      <c r="BM233" s="31" t="str" cm="1">
        <f t="array" ref="BM233">IFERROR(""&amp;INDEX(regNatjecatelj_klub,DV233),"")</f>
        <v>OK Japetić</v>
      </c>
      <c r="BN233" s="88" t="str">
        <f t="shared" si="323"/>
        <v/>
      </c>
      <c r="BO233" s="66" t="str">
        <f t="shared" si="324"/>
        <v>OK Japetić</v>
      </c>
      <c r="BP233" s="47" t="s">
        <v>0</v>
      </c>
      <c r="BQ233" s="52" t="str">
        <f>IF(X233&lt;&gt;"NEMA","",IF(IFERROR(MATCH(W233,W$12:W232,0),0)&lt;&gt;0,"",W233))</f>
        <v/>
      </c>
      <c r="BR233" s="73" t="str">
        <f t="shared" si="325"/>
        <v/>
      </c>
      <c r="BS233" s="31" t="str">
        <f>IF(OR(BR233="",BR233&lt;&gt;"NEMA"),"",MAX(BS$12:BS232)+1)</f>
        <v/>
      </c>
      <c r="BT233" s="66" t="str">
        <f t="shared" si="326"/>
        <v/>
      </c>
      <c r="BU233" s="47" t="s">
        <v>0</v>
      </c>
      <c r="BV233" s="19" t="str">
        <f t="shared" si="327"/>
        <v/>
      </c>
      <c r="BW233" s="47" t="s">
        <v>0</v>
      </c>
      <c r="BX233" s="82" t="str">
        <f>IF(BK233&lt;&gt;"NEMA","",IF(IFERROR(MATCH(BJ233,BJ$12:BJ232,0),0)&lt;&gt;0,"",BJ233))</f>
        <v/>
      </c>
      <c r="BY233" s="47" t="s">
        <v>0</v>
      </c>
      <c r="BZ233" s="125"/>
      <c r="CA233" s="47" t="s">
        <v>0</v>
      </c>
      <c r="CB233" s="58" t="str">
        <f t="shared" si="328"/>
        <v/>
      </c>
      <c r="CC233" s="31" t="str">
        <f t="shared" si="329"/>
        <v/>
      </c>
      <c r="CD233" s="31" t="str">
        <f>IF(CC233="","",MAX(CD$12:CD232)+1)</f>
        <v/>
      </c>
      <c r="CE233" s="31" t="str">
        <f t="shared" si="285"/>
        <v/>
      </c>
      <c r="CF233" s="31" t="str">
        <f t="shared" si="330"/>
        <v/>
      </c>
      <c r="CG233" s="31" t="str">
        <f>IF(BZ233="","",MAX(CG$12:CG232)+1)</f>
        <v/>
      </c>
      <c r="CH233" s="31" t="str">
        <f t="shared" si="331"/>
        <v/>
      </c>
      <c r="CI233" s="66" t="str">
        <f t="shared" si="332"/>
        <v/>
      </c>
      <c r="CJ233" s="47" t="s">
        <v>0</v>
      </c>
      <c r="CK233" s="73" t="str">
        <f t="shared" si="286"/>
        <v/>
      </c>
      <c r="CL233" s="47"/>
      <c r="CM233" s="19" t="str">
        <f t="shared" si="333"/>
        <v/>
      </c>
      <c r="CN233" s="47" t="s">
        <v>0</v>
      </c>
      <c r="CO233" s="143" t="str">
        <f t="shared" si="334"/>
        <v>OK Japetić</v>
      </c>
      <c r="CP233" s="47" t="s">
        <v>0</v>
      </c>
      <c r="CQ233" s="58" t="str">
        <f t="shared" si="350"/>
        <v>63:07</v>
      </c>
      <c r="CR233" s="73" t="str">
        <f t="shared" si="351"/>
        <v>0</v>
      </c>
      <c r="CS233" s="229" t="str">
        <f t="shared" si="287"/>
        <v/>
      </c>
      <c r="CT233" s="230">
        <f t="shared" si="272"/>
        <v>3787</v>
      </c>
      <c r="CU233" s="163">
        <f t="shared" si="288"/>
        <v>1</v>
      </c>
      <c r="CV233" s="47" t="s">
        <v>0</v>
      </c>
      <c r="CW233" s="222" t="str">
        <f t="shared" si="335"/>
        <v xml:space="preserve">
</v>
      </c>
      <c r="CX233" s="223">
        <f t="shared" si="336"/>
        <v>6</v>
      </c>
      <c r="CY233" s="47" t="s">
        <v>0</v>
      </c>
      <c r="CZ233" s="47"/>
      <c r="DA233" s="47"/>
      <c r="DB233" s="47"/>
      <c r="DC233" s="47" t="s">
        <v>0</v>
      </c>
      <c r="DD233" s="53" t="str">
        <f t="shared" si="344"/>
        <v/>
      </c>
      <c r="DE233" t="s">
        <v>0</v>
      </c>
      <c r="DF233" s="128" t="str">
        <f t="shared" si="345"/>
        <v>Ž</v>
      </c>
      <c r="DG233" t="s">
        <v>0</v>
      </c>
      <c r="DH233" s="52" t="str">
        <f t="shared" si="346"/>
        <v/>
      </c>
      <c r="DI233" s="66" t="str">
        <f t="shared" si="347"/>
        <v/>
      </c>
      <c r="DJ233" t="s">
        <v>0</v>
      </c>
      <c r="DK233" s="19" t="str">
        <f t="shared" si="348"/>
        <v/>
      </c>
      <c r="DL233" s="47" t="s">
        <v>0</v>
      </c>
      <c r="DM233" s="19" t="str">
        <f t="shared" si="349"/>
        <v/>
      </c>
      <c r="DN233" s="47" t="s">
        <v>0</v>
      </c>
      <c r="DO233" s="52" t="str">
        <f t="shared" si="289"/>
        <v>Jana – Cvjetko – OK Japetić – Ž16</v>
      </c>
      <c r="DP233" s="53">
        <f t="shared" si="290"/>
        <v>82</v>
      </c>
      <c r="DQ233" s="47" t="s">
        <v>0</v>
      </c>
      <c r="DR233" s="52" t="str">
        <f t="shared" si="291"/>
        <v>Jana – Cvjetko – OK Japetić</v>
      </c>
      <c r="DS233" s="53">
        <f t="shared" si="292"/>
        <v>82</v>
      </c>
      <c r="DT233" s="47" t="s">
        <v>0</v>
      </c>
      <c r="DU233" s="52" t="str">
        <f t="shared" si="293"/>
        <v>Jana – Cvjetko</v>
      </c>
      <c r="DV233" s="53">
        <f t="shared" si="294"/>
        <v>82</v>
      </c>
      <c r="DW233" s="47" t="s">
        <v>0</v>
      </c>
      <c r="DX233" s="58">
        <f t="shared" si="337"/>
        <v>82</v>
      </c>
      <c r="DY233" s="53" cm="1">
        <f t="array" ref="DY233">IF(DX233&lt;&gt;"",INDEX(regNatjecatelj_id,DX233,0),IF(BD233&lt;&gt;"",BD233,""))</f>
        <v>1864</v>
      </c>
      <c r="DZ233" s="47" t="s">
        <v>0</v>
      </c>
      <c r="EA233" s="58" t="str">
        <f t="shared" si="295"/>
        <v>imepre</v>
      </c>
      <c r="EB233" s="73" t="str">
        <f t="shared" si="296"/>
        <v>klu(ali)</v>
      </c>
      <c r="EC233" s="73" t="str">
        <f t="shared" si="297"/>
        <v>kat</v>
      </c>
      <c r="ED233" s="73" t="str">
        <f t="shared" si="298"/>
        <v/>
      </c>
      <c r="EE233" s="66" t="str">
        <f t="shared" si="299"/>
        <v>imepre-klu(ali)-kat</v>
      </c>
      <c r="EF233" s="47" t="s">
        <v>0</v>
      </c>
      <c r="EG233" s="58">
        <f>IF(AL233="","",MAX(EG$12:EG232)+1)</f>
        <v>390</v>
      </c>
      <c r="EH233" s="73">
        <f t="shared" si="300"/>
        <v>37</v>
      </c>
      <c r="EI233" s="73">
        <f t="shared" si="338"/>
        <v>1864</v>
      </c>
      <c r="EJ233" s="73">
        <f t="shared" si="301"/>
        <v>3787</v>
      </c>
      <c r="EK233" s="73">
        <f t="shared" si="302"/>
        <v>1</v>
      </c>
      <c r="EL233" s="73">
        <f t="shared" si="339"/>
        <v>1</v>
      </c>
      <c r="EM233" s="73">
        <f t="shared" si="340"/>
        <v>3</v>
      </c>
      <c r="EN233" s="73" t="str">
        <f t="shared" si="303"/>
        <v>0</v>
      </c>
      <c r="EO233" s="73" t="str">
        <f t="shared" si="304"/>
        <v/>
      </c>
      <c r="EP233" s="73">
        <f t="shared" si="305"/>
        <v>1</v>
      </c>
      <c r="EQ233" s="53" t="str">
        <f t="shared" si="306"/>
        <v/>
      </c>
      <c r="ER233" s="47" t="s">
        <v>0</v>
      </c>
      <c r="ES233" s="19" t="str">
        <f t="shared" si="341"/>
        <v>INSERT INTO rezultat(id,stazakategorija_id,imeprezime_id,vrijeme_sec,status_id,registracija,uparivanje_id,originalstatus_id,imeprezimealias_id,klubalias_id,kategorijaalias_id) VALUES (390,37,1864,3787,1,1,3,0,Null,1,Null);</v>
      </c>
      <c r="ET233" s="47" t="s">
        <v>0</v>
      </c>
      <c r="EU233" s="19" t="str">
        <f t="shared" si="342"/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3" s="47" t="s">
        <v>0</v>
      </c>
      <c r="EW233" s="180" t="str">
        <f t="shared" si="307"/>
        <v xml:space="preserve">
INSERT INTO rezultat(id,stazakategorija_id,imeprezime_id,vrijeme_sec,status_id,registracija,uparivanje_id,originalstatus_id,imeprezimealias_id,klubalias_id,kategorijaalias_id) VALUES (390,37,1864,3787,1,1,3,0,Null,1,Null);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3" s="47" t="s">
        <v>0</v>
      </c>
    </row>
    <row r="234" spans="1:154" x14ac:dyDescent="0.25">
      <c r="A234" t="s">
        <v>0</v>
      </c>
      <c r="B234" s="52" t="str">
        <f>IF(csv!F224="","",csv!T224)</f>
        <v>Ž16</v>
      </c>
      <c r="C234" s="31" t="s">
        <v>0</v>
      </c>
      <c r="D234" s="31" t="str">
        <f>IF(csv!F224="","",csv!F224)</f>
        <v>Melissa</v>
      </c>
      <c r="E234" s="31" t="str">
        <f>IF(csv!E224="","",csv!E224)</f>
        <v>Drobić</v>
      </c>
      <c r="F234" s="31" t="s">
        <v>0</v>
      </c>
      <c r="G234" s="73" t="str">
        <f>IF(csv!M224="","",csv!M224)</f>
        <v>70:04</v>
      </c>
      <c r="H234" s="73" t="str">
        <f>IF(csv!N224="","",csv!N224)</f>
        <v>0</v>
      </c>
      <c r="I234" s="31" t="s">
        <v>0</v>
      </c>
      <c r="J234" s="31" t="str">
        <f>IF(csv!P224="","",csv!P224)</f>
        <v>KAP</v>
      </c>
      <c r="K234" s="31" t="str">
        <f>IF(csv!Q224="","",csv!Q224)</f>
        <v>OK Kapela</v>
      </c>
      <c r="L234" s="31" t="s">
        <v>0</v>
      </c>
      <c r="M234" s="66" t="str">
        <f>IF(csv!R224="","",csv!R224)</f>
        <v>CRO</v>
      </c>
      <c r="N234" s="47" t="s">
        <v>0</v>
      </c>
      <c r="O234" s="246" t="str">
        <f t="shared" si="308"/>
        <v>ok</v>
      </c>
      <c r="P234" s="47"/>
      <c r="Q234" s="52" t="str">
        <f t="shared" si="309"/>
        <v>Ž16</v>
      </c>
      <c r="R234" s="73">
        <f>IF(Q234="","",IF(COUNTIF(Q$12:Q233,Q234)=0,R233+1,R233))</f>
        <v>15</v>
      </c>
      <c r="S234" s="73">
        <f t="shared" si="310"/>
        <v>120</v>
      </c>
      <c r="T234" s="73">
        <f t="shared" si="273"/>
        <v>27</v>
      </c>
      <c r="U234" s="66" t="str">
        <f t="shared" si="274"/>
        <v>Ž21B – Ž16</v>
      </c>
      <c r="V234" s="47" t="s">
        <v>0</v>
      </c>
      <c r="W234" s="222" t="str">
        <f t="shared" si="275"/>
        <v>Ž16</v>
      </c>
      <c r="X234" s="223">
        <f t="shared" si="276"/>
        <v>37</v>
      </c>
      <c r="Y234" s="47" t="s">
        <v>0</v>
      </c>
      <c r="Z234" s="52" t="str">
        <f t="shared" si="311"/>
        <v>CRO</v>
      </c>
      <c r="AA234" s="73">
        <f t="shared" si="277"/>
        <v>1</v>
      </c>
      <c r="AB234" s="31" t="str">
        <f t="shared" si="312"/>
        <v/>
      </c>
      <c r="AC234" s="66" t="str">
        <f>IF(AB234="","",MAX(AC$12:AC233)+1)</f>
        <v/>
      </c>
      <c r="AD234" s="47" t="s">
        <v>0</v>
      </c>
      <c r="AE234" s="125"/>
      <c r="AF234" s="47" t="s">
        <v>0</v>
      </c>
      <c r="AG234" s="19" t="str">
        <f t="shared" si="313"/>
        <v/>
      </c>
      <c r="AH234" s="47" t="s">
        <v>0</v>
      </c>
      <c r="AI234" s="143" t="str">
        <f t="shared" si="314"/>
        <v>CRO</v>
      </c>
      <c r="AJ234" s="47"/>
      <c r="AK234" s="52" t="str">
        <f t="shared" si="315"/>
        <v>Melissa</v>
      </c>
      <c r="AL234" s="31" t="str">
        <f t="shared" si="316"/>
        <v>Drobić</v>
      </c>
      <c r="AM234" s="73">
        <f t="shared" si="317"/>
        <v>1178</v>
      </c>
      <c r="AN234" s="73" t="str">
        <f t="shared" si="318"/>
        <v/>
      </c>
      <c r="AO234" s="31" t="str">
        <f t="shared" si="278"/>
        <v>Melissa</v>
      </c>
      <c r="AP234" s="66" t="str">
        <f t="shared" si="279"/>
        <v>Drobić</v>
      </c>
      <c r="AQ234" s="47" t="s">
        <v>0</v>
      </c>
      <c r="AR234" s="82" t="str">
        <f t="shared" si="319"/>
        <v/>
      </c>
      <c r="AS234" s="47" t="s">
        <v>0</v>
      </c>
      <c r="AT234" s="19" t="str">
        <f t="shared" si="320"/>
        <v/>
      </c>
      <c r="AU234" s="47" t="s">
        <v>0</v>
      </c>
      <c r="AV234" s="103"/>
      <c r="AW234" s="105"/>
      <c r="AX234" s="47" t="s">
        <v>0</v>
      </c>
      <c r="AY234" s="259" t="str">
        <f t="shared" si="343"/>
        <v/>
      </c>
      <c r="AZ234" s="47" t="s">
        <v>0</v>
      </c>
      <c r="BA234" s="52" t="str">
        <f t="shared" si="280"/>
        <v/>
      </c>
      <c r="BB234" s="73" t="str">
        <f>IF(AV234&amp;AW234="","",MAX(BB$12:BB233)+1)</f>
        <v/>
      </c>
      <c r="BC234" s="272" t="str">
        <f t="shared" si="281"/>
        <v/>
      </c>
      <c r="BD234" s="53" t="str">
        <f>IF(AND(AM234="NEMA",AN234="NEMA",OR(AV234&amp;AW234="",BC234="NEMA")),MAX(BD$12:BD233)+1,"")</f>
        <v/>
      </c>
      <c r="BE234" s="47" t="s">
        <v>0</v>
      </c>
      <c r="BF234" s="52" t="str">
        <f t="shared" si="321"/>
        <v>Melissa</v>
      </c>
      <c r="BG234" s="66" t="str">
        <f t="shared" si="322"/>
        <v>Drobić</v>
      </c>
      <c r="BH234" s="47" t="s">
        <v>0</v>
      </c>
      <c r="BI234" s="52" t="str">
        <f t="shared" si="282"/>
        <v>KAP</v>
      </c>
      <c r="BJ234" s="31" t="str">
        <f t="shared" si="283"/>
        <v>OK Kapela</v>
      </c>
      <c r="BK234" s="73" t="str">
        <f t="shared" si="284"/>
        <v/>
      </c>
      <c r="BL234" s="31" t="str" cm="1">
        <f t="array" ref="BL234">IF(BK234="",""&amp;BJ234,IF(BK234="NEMA",BJ234,INDEX(regKlub_naziv,MATCH(INDEX(regKlub_alias_klubId,BK234),regKlub_id,0))))</f>
        <v>OK Kapela</v>
      </c>
      <c r="BM234" s="31" t="str" cm="1">
        <f t="array" ref="BM234">IFERROR(""&amp;INDEX(regNatjecatelj_klub,DV234),"")</f>
        <v>OK Kapela</v>
      </c>
      <c r="BN234" s="88" t="str">
        <f t="shared" si="323"/>
        <v/>
      </c>
      <c r="BO234" s="66" t="str">
        <f t="shared" si="324"/>
        <v>OK Kapela</v>
      </c>
      <c r="BP234" s="47" t="s">
        <v>0</v>
      </c>
      <c r="BQ234" s="52" t="str">
        <f>IF(X234&lt;&gt;"NEMA","",IF(IFERROR(MATCH(W234,W$12:W233,0),0)&lt;&gt;0,"",W234))</f>
        <v/>
      </c>
      <c r="BR234" s="73" t="str">
        <f t="shared" si="325"/>
        <v/>
      </c>
      <c r="BS234" s="31" t="str">
        <f>IF(OR(BR234="",BR234&lt;&gt;"NEMA"),"",MAX(BS$12:BS233)+1)</f>
        <v/>
      </c>
      <c r="BT234" s="66" t="str">
        <f t="shared" si="326"/>
        <v/>
      </c>
      <c r="BU234" s="47" t="s">
        <v>0</v>
      </c>
      <c r="BV234" s="19" t="str">
        <f t="shared" si="327"/>
        <v/>
      </c>
      <c r="BW234" s="47" t="s">
        <v>0</v>
      </c>
      <c r="BX234" s="82" t="str">
        <f>IF(BK234&lt;&gt;"NEMA","",IF(IFERROR(MATCH(BJ234,BJ$12:BJ233,0),0)&lt;&gt;0,"",BJ234))</f>
        <v/>
      </c>
      <c r="BY234" s="47" t="s">
        <v>0</v>
      </c>
      <c r="BZ234" s="125"/>
      <c r="CA234" s="47" t="s">
        <v>0</v>
      </c>
      <c r="CB234" s="58" t="str">
        <f t="shared" si="328"/>
        <v/>
      </c>
      <c r="CC234" s="31" t="str">
        <f t="shared" si="329"/>
        <v/>
      </c>
      <c r="CD234" s="31" t="str">
        <f>IF(CC234="","",MAX(CD$12:CD233)+1)</f>
        <v/>
      </c>
      <c r="CE234" s="31" t="str">
        <f t="shared" si="285"/>
        <v/>
      </c>
      <c r="CF234" s="31" t="str">
        <f t="shared" si="330"/>
        <v/>
      </c>
      <c r="CG234" s="31" t="str">
        <f>IF(BZ234="","",MAX(CG$12:CG233)+1)</f>
        <v/>
      </c>
      <c r="CH234" s="31" t="str">
        <f t="shared" si="331"/>
        <v/>
      </c>
      <c r="CI234" s="66" t="str">
        <f t="shared" si="332"/>
        <v/>
      </c>
      <c r="CJ234" s="47" t="s">
        <v>0</v>
      </c>
      <c r="CK234" s="73" t="str">
        <f t="shared" si="286"/>
        <v/>
      </c>
      <c r="CL234" s="47"/>
      <c r="CM234" s="19" t="str">
        <f t="shared" si="333"/>
        <v/>
      </c>
      <c r="CN234" s="47" t="s">
        <v>0</v>
      </c>
      <c r="CO234" s="143" t="str">
        <f t="shared" si="334"/>
        <v>OK Kapela</v>
      </c>
      <c r="CP234" s="47" t="s">
        <v>0</v>
      </c>
      <c r="CQ234" s="58" t="str">
        <f t="shared" si="350"/>
        <v>70:04</v>
      </c>
      <c r="CR234" s="73" t="str">
        <f t="shared" si="351"/>
        <v>0</v>
      </c>
      <c r="CS234" s="229" t="str">
        <f t="shared" si="287"/>
        <v/>
      </c>
      <c r="CT234" s="230">
        <f t="shared" si="272"/>
        <v>4204</v>
      </c>
      <c r="CU234" s="163">
        <f t="shared" si="288"/>
        <v>1</v>
      </c>
      <c r="CV234" s="47" t="s">
        <v>0</v>
      </c>
      <c r="CW234" s="222" t="str">
        <f t="shared" si="335"/>
        <v xml:space="preserve">
</v>
      </c>
      <c r="CX234" s="223">
        <f t="shared" si="336"/>
        <v>6</v>
      </c>
      <c r="CY234" s="47" t="s">
        <v>0</v>
      </c>
      <c r="CZ234" s="47"/>
      <c r="DA234" s="47"/>
      <c r="DB234" s="47"/>
      <c r="DC234" s="47" t="s">
        <v>0</v>
      </c>
      <c r="DD234" s="53" t="str">
        <f t="shared" si="344"/>
        <v/>
      </c>
      <c r="DE234" t="s">
        <v>0</v>
      </c>
      <c r="DF234" s="128" t="str">
        <f t="shared" si="345"/>
        <v>Ž</v>
      </c>
      <c r="DG234" t="s">
        <v>0</v>
      </c>
      <c r="DH234" s="52" t="str">
        <f t="shared" si="346"/>
        <v/>
      </c>
      <c r="DI234" s="66" t="str">
        <f t="shared" si="347"/>
        <v/>
      </c>
      <c r="DJ234" t="s">
        <v>0</v>
      </c>
      <c r="DK234" s="19" t="str">
        <f t="shared" si="348"/>
        <v/>
      </c>
      <c r="DL234" s="47" t="s">
        <v>0</v>
      </c>
      <c r="DM234" s="19" t="str">
        <f t="shared" si="349"/>
        <v/>
      </c>
      <c r="DN234" s="47" t="s">
        <v>0</v>
      </c>
      <c r="DO234" s="52" t="str">
        <f t="shared" si="289"/>
        <v>Melissa – Drobić – OK Kapela – Ž16</v>
      </c>
      <c r="DP234" s="53">
        <f t="shared" si="290"/>
        <v>228</v>
      </c>
      <c r="DQ234" s="47" t="s">
        <v>0</v>
      </c>
      <c r="DR234" s="52" t="str">
        <f t="shared" si="291"/>
        <v>Melissa – Drobić – OK Kapela</v>
      </c>
      <c r="DS234" s="53">
        <f t="shared" si="292"/>
        <v>228</v>
      </c>
      <c r="DT234" s="47" t="s">
        <v>0</v>
      </c>
      <c r="DU234" s="52" t="str">
        <f t="shared" si="293"/>
        <v>Melissa – Drobić</v>
      </c>
      <c r="DV234" s="53">
        <f t="shared" si="294"/>
        <v>228</v>
      </c>
      <c r="DW234" s="47" t="s">
        <v>0</v>
      </c>
      <c r="DX234" s="58">
        <f t="shared" si="337"/>
        <v>228</v>
      </c>
      <c r="DY234" s="53" cm="1">
        <f t="array" ref="DY234">IF(DX234&lt;&gt;"",INDEX(regNatjecatelj_id,DX234,0),IF(BD234&lt;&gt;"",BD234,""))</f>
        <v>1178</v>
      </c>
      <c r="DZ234" s="47" t="s">
        <v>0</v>
      </c>
      <c r="EA234" s="58" t="str">
        <f t="shared" si="295"/>
        <v>imepre</v>
      </c>
      <c r="EB234" s="73" t="str">
        <f t="shared" si="296"/>
        <v>klu</v>
      </c>
      <c r="EC234" s="73" t="str">
        <f t="shared" si="297"/>
        <v>kat</v>
      </c>
      <c r="ED234" s="73" t="str">
        <f t="shared" si="298"/>
        <v/>
      </c>
      <c r="EE234" s="66" t="str">
        <f t="shared" si="299"/>
        <v>imepre-klu-kat</v>
      </c>
      <c r="EF234" s="47" t="s">
        <v>0</v>
      </c>
      <c r="EG234" s="58">
        <f>IF(AL234="","",MAX(EG$12:EG233)+1)</f>
        <v>391</v>
      </c>
      <c r="EH234" s="73">
        <f t="shared" si="300"/>
        <v>37</v>
      </c>
      <c r="EI234" s="73">
        <f t="shared" si="338"/>
        <v>1178</v>
      </c>
      <c r="EJ234" s="73">
        <f t="shared" si="301"/>
        <v>4204</v>
      </c>
      <c r="EK234" s="73">
        <f t="shared" si="302"/>
        <v>1</v>
      </c>
      <c r="EL234" s="73">
        <f t="shared" si="339"/>
        <v>1</v>
      </c>
      <c r="EM234" s="73">
        <f t="shared" si="340"/>
        <v>1</v>
      </c>
      <c r="EN234" s="73" t="str">
        <f t="shared" si="303"/>
        <v>0</v>
      </c>
      <c r="EO234" s="73" t="str">
        <f t="shared" si="304"/>
        <v/>
      </c>
      <c r="EP234" s="73" t="str">
        <f t="shared" si="305"/>
        <v/>
      </c>
      <c r="EQ234" s="53" t="str">
        <f t="shared" si="306"/>
        <v/>
      </c>
      <c r="ER234" s="47" t="s">
        <v>0</v>
      </c>
      <c r="ES234" s="19" t="str">
        <f t="shared" si="341"/>
        <v>INSERT INTO rezultat(id,stazakategorija_id,imeprezime_id,vrijeme_sec,status_id,registracija,uparivanje_id,originalstatus_id,imeprezimealias_id,klubalias_id,kategorijaalias_id) VALUES (391,37,1178,4204,1,1,1,0,Null,Null,Null);</v>
      </c>
      <c r="ET234" s="47" t="s">
        <v>0</v>
      </c>
      <c r="EU234" s="19" t="str">
        <f t="shared" si="342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4" s="47" t="s">
        <v>0</v>
      </c>
      <c r="EW234" s="180" t="str">
        <f t="shared" si="307"/>
        <v xml:space="preserve">
INSERT INTO rezultat(id,stazakategorija_id,imeprezime_id,vrijeme_sec,status_id,registracija,uparivanje_id,originalstatus_id,imeprezimealias_id,klubalias_id,kategorijaalias_id) VALUES (391,37,1178,4204,1,1,1,0,Null,Null,Null);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4" s="47" t="s">
        <v>0</v>
      </c>
    </row>
    <row r="235" spans="1:154" x14ac:dyDescent="0.25">
      <c r="A235" t="s">
        <v>0</v>
      </c>
      <c r="B235" s="52" t="str">
        <f>IF(csv!F225="","",csv!T225)</f>
        <v>Ž16</v>
      </c>
      <c r="C235" s="31" t="s">
        <v>0</v>
      </c>
      <c r="D235" s="31" t="str">
        <f>IF(csv!F225="","",csv!F225)</f>
        <v>Mare</v>
      </c>
      <c r="E235" s="31" t="str">
        <f>IF(csv!E225="","",csv!E225)</f>
        <v>Gršković</v>
      </c>
      <c r="F235" s="31" t="s">
        <v>0</v>
      </c>
      <c r="G235" s="73" t="str">
        <f>IF(csv!M225="","",csv!M225)</f>
        <v>76:07</v>
      </c>
      <c r="H235" s="73" t="str">
        <f>IF(csv!N225="","",csv!N225)</f>
        <v>0</v>
      </c>
      <c r="I235" s="31" t="s">
        <v>0</v>
      </c>
      <c r="J235" s="31" t="str">
        <f>IF(csv!P225="","",csv!P225)</f>
        <v>KAP</v>
      </c>
      <c r="K235" s="31" t="str">
        <f>IF(csv!Q225="","",csv!Q225)</f>
        <v>OK Kapela</v>
      </c>
      <c r="L235" s="31" t="s">
        <v>0</v>
      </c>
      <c r="M235" s="66" t="str">
        <f>IF(csv!R225="","",csv!R225)</f>
        <v>CRO</v>
      </c>
      <c r="N235" s="47" t="s">
        <v>0</v>
      </c>
      <c r="O235" s="246" t="str">
        <f t="shared" si="308"/>
        <v>ok</v>
      </c>
      <c r="P235" s="47"/>
      <c r="Q235" s="52" t="str">
        <f t="shared" si="309"/>
        <v>Ž16</v>
      </c>
      <c r="R235" s="73">
        <f>IF(Q235="","",IF(COUNTIF(Q$12:Q234,Q235)=0,R234+1,R234))</f>
        <v>15</v>
      </c>
      <c r="S235" s="73">
        <f t="shared" si="310"/>
        <v>120</v>
      </c>
      <c r="T235" s="73">
        <f t="shared" si="273"/>
        <v>27</v>
      </c>
      <c r="U235" s="66" t="str">
        <f t="shared" si="274"/>
        <v>Ž21B – Ž16</v>
      </c>
      <c r="V235" s="47" t="s">
        <v>0</v>
      </c>
      <c r="W235" s="222" t="str">
        <f t="shared" si="275"/>
        <v>Ž16</v>
      </c>
      <c r="X235" s="223">
        <f t="shared" si="276"/>
        <v>37</v>
      </c>
      <c r="Y235" s="47" t="s">
        <v>0</v>
      </c>
      <c r="Z235" s="52" t="str">
        <f t="shared" si="311"/>
        <v>CRO</v>
      </c>
      <c r="AA235" s="73">
        <f t="shared" si="277"/>
        <v>1</v>
      </c>
      <c r="AB235" s="31" t="str">
        <f t="shared" si="312"/>
        <v/>
      </c>
      <c r="AC235" s="66" t="str">
        <f>IF(AB235="","",MAX(AC$12:AC234)+1)</f>
        <v/>
      </c>
      <c r="AD235" s="47" t="s">
        <v>0</v>
      </c>
      <c r="AE235" s="125"/>
      <c r="AF235" s="47" t="s">
        <v>0</v>
      </c>
      <c r="AG235" s="19" t="str">
        <f t="shared" si="313"/>
        <v/>
      </c>
      <c r="AH235" s="47" t="s">
        <v>0</v>
      </c>
      <c r="AI235" s="143" t="str">
        <f t="shared" si="314"/>
        <v>CRO</v>
      </c>
      <c r="AJ235" s="47"/>
      <c r="AK235" s="52" t="str">
        <f t="shared" si="315"/>
        <v>Mare</v>
      </c>
      <c r="AL235" s="31" t="str">
        <f t="shared" si="316"/>
        <v>Gršković</v>
      </c>
      <c r="AM235" s="73">
        <f t="shared" si="317"/>
        <v>1378</v>
      </c>
      <c r="AN235" s="73" t="str">
        <f t="shared" si="318"/>
        <v/>
      </c>
      <c r="AO235" s="31" t="str">
        <f t="shared" si="278"/>
        <v>Mare</v>
      </c>
      <c r="AP235" s="66" t="str">
        <f t="shared" si="279"/>
        <v>Gršković</v>
      </c>
      <c r="AQ235" s="47" t="s">
        <v>0</v>
      </c>
      <c r="AR235" s="82" t="str">
        <f t="shared" si="319"/>
        <v/>
      </c>
      <c r="AS235" s="47" t="s">
        <v>0</v>
      </c>
      <c r="AT235" s="19" t="str">
        <f t="shared" si="320"/>
        <v/>
      </c>
      <c r="AU235" s="47" t="s">
        <v>0</v>
      </c>
      <c r="AV235" s="103"/>
      <c r="AW235" s="105"/>
      <c r="AX235" s="47" t="s">
        <v>0</v>
      </c>
      <c r="AY235" s="259" t="str">
        <f t="shared" si="343"/>
        <v/>
      </c>
      <c r="AZ235" s="47" t="s">
        <v>0</v>
      </c>
      <c r="BA235" s="52" t="str">
        <f t="shared" si="280"/>
        <v/>
      </c>
      <c r="BB235" s="73" t="str">
        <f>IF(AV235&amp;AW235="","",MAX(BB$12:BB234)+1)</f>
        <v/>
      </c>
      <c r="BC235" s="272" t="str">
        <f t="shared" si="281"/>
        <v/>
      </c>
      <c r="BD235" s="53" t="str">
        <f>IF(AND(AM235="NEMA",AN235="NEMA",OR(AV235&amp;AW235="",BC235="NEMA")),MAX(BD$12:BD234)+1,"")</f>
        <v/>
      </c>
      <c r="BE235" s="47" t="s">
        <v>0</v>
      </c>
      <c r="BF235" s="52" t="str">
        <f t="shared" si="321"/>
        <v>Mare</v>
      </c>
      <c r="BG235" s="66" t="str">
        <f t="shared" si="322"/>
        <v>Gršković</v>
      </c>
      <c r="BH235" s="47" t="s">
        <v>0</v>
      </c>
      <c r="BI235" s="52" t="str">
        <f t="shared" si="282"/>
        <v>KAP</v>
      </c>
      <c r="BJ235" s="31" t="str">
        <f t="shared" si="283"/>
        <v>OK Kapela</v>
      </c>
      <c r="BK235" s="73" t="str">
        <f t="shared" si="284"/>
        <v/>
      </c>
      <c r="BL235" s="31" t="str" cm="1">
        <f t="array" ref="BL235">IF(BK235="",""&amp;BJ235,IF(BK235="NEMA",BJ235,INDEX(regKlub_naziv,MATCH(INDEX(regKlub_alias_klubId,BK235),regKlub_id,0))))</f>
        <v>OK Kapela</v>
      </c>
      <c r="BM235" s="31" t="str" cm="1">
        <f t="array" ref="BM235">IFERROR(""&amp;INDEX(regNatjecatelj_klub,DV235),"")</f>
        <v>OK Kapela</v>
      </c>
      <c r="BN235" s="88" t="str">
        <f t="shared" si="323"/>
        <v/>
      </c>
      <c r="BO235" s="66" t="str">
        <f t="shared" si="324"/>
        <v>OK Kapela</v>
      </c>
      <c r="BP235" s="47" t="s">
        <v>0</v>
      </c>
      <c r="BQ235" s="52" t="str">
        <f>IF(X235&lt;&gt;"NEMA","",IF(IFERROR(MATCH(W235,W$12:W234,0),0)&lt;&gt;0,"",W235))</f>
        <v/>
      </c>
      <c r="BR235" s="73" t="str">
        <f t="shared" si="325"/>
        <v/>
      </c>
      <c r="BS235" s="31" t="str">
        <f>IF(OR(BR235="",BR235&lt;&gt;"NEMA"),"",MAX(BS$12:BS234)+1)</f>
        <v/>
      </c>
      <c r="BT235" s="66" t="str">
        <f t="shared" si="326"/>
        <v/>
      </c>
      <c r="BU235" s="47" t="s">
        <v>0</v>
      </c>
      <c r="BV235" s="19" t="str">
        <f t="shared" si="327"/>
        <v/>
      </c>
      <c r="BW235" s="47" t="s">
        <v>0</v>
      </c>
      <c r="BX235" s="82" t="str">
        <f>IF(BK235&lt;&gt;"NEMA","",IF(IFERROR(MATCH(BJ235,BJ$12:BJ234,0),0)&lt;&gt;0,"",BJ235))</f>
        <v/>
      </c>
      <c r="BY235" s="47" t="s">
        <v>0</v>
      </c>
      <c r="BZ235" s="125"/>
      <c r="CA235" s="47" t="s">
        <v>0</v>
      </c>
      <c r="CB235" s="58" t="str">
        <f t="shared" si="328"/>
        <v/>
      </c>
      <c r="CC235" s="31" t="str">
        <f t="shared" si="329"/>
        <v/>
      </c>
      <c r="CD235" s="31" t="str">
        <f>IF(CC235="","",MAX(CD$12:CD234)+1)</f>
        <v/>
      </c>
      <c r="CE235" s="31" t="str">
        <f t="shared" si="285"/>
        <v/>
      </c>
      <c r="CF235" s="31" t="str">
        <f t="shared" si="330"/>
        <v/>
      </c>
      <c r="CG235" s="31" t="str">
        <f>IF(BZ235="","",MAX(CG$12:CG234)+1)</f>
        <v/>
      </c>
      <c r="CH235" s="31" t="str">
        <f t="shared" si="331"/>
        <v/>
      </c>
      <c r="CI235" s="66" t="str">
        <f t="shared" si="332"/>
        <v/>
      </c>
      <c r="CJ235" s="47" t="s">
        <v>0</v>
      </c>
      <c r="CK235" s="73" t="str">
        <f t="shared" si="286"/>
        <v/>
      </c>
      <c r="CL235" s="47"/>
      <c r="CM235" s="19" t="str">
        <f t="shared" si="333"/>
        <v/>
      </c>
      <c r="CN235" s="47" t="s">
        <v>0</v>
      </c>
      <c r="CO235" s="143" t="str">
        <f t="shared" si="334"/>
        <v>OK Kapela</v>
      </c>
      <c r="CP235" s="47" t="s">
        <v>0</v>
      </c>
      <c r="CQ235" s="58" t="str">
        <f t="shared" si="350"/>
        <v>76:07</v>
      </c>
      <c r="CR235" s="73" t="str">
        <f t="shared" si="351"/>
        <v>0</v>
      </c>
      <c r="CS235" s="229" t="str">
        <f t="shared" si="287"/>
        <v/>
      </c>
      <c r="CT235" s="230">
        <f t="shared" si="272"/>
        <v>4567</v>
      </c>
      <c r="CU235" s="163">
        <f t="shared" si="288"/>
        <v>1</v>
      </c>
      <c r="CV235" s="47" t="s">
        <v>0</v>
      </c>
      <c r="CW235" s="222" t="str">
        <f t="shared" si="335"/>
        <v xml:space="preserve">
</v>
      </c>
      <c r="CX235" s="223">
        <f t="shared" si="336"/>
        <v>6</v>
      </c>
      <c r="CY235" s="47" t="s">
        <v>0</v>
      </c>
      <c r="CZ235" s="47"/>
      <c r="DA235" s="47"/>
      <c r="DB235" s="47"/>
      <c r="DC235" s="47" t="s">
        <v>0</v>
      </c>
      <c r="DD235" s="53" t="str">
        <f t="shared" si="344"/>
        <v/>
      </c>
      <c r="DE235" t="s">
        <v>0</v>
      </c>
      <c r="DF235" s="128" t="str">
        <f t="shared" si="345"/>
        <v>Ž</v>
      </c>
      <c r="DG235" t="s">
        <v>0</v>
      </c>
      <c r="DH235" s="52" t="str">
        <f t="shared" si="346"/>
        <v/>
      </c>
      <c r="DI235" s="66" t="str">
        <f t="shared" si="347"/>
        <v/>
      </c>
      <c r="DJ235" t="s">
        <v>0</v>
      </c>
      <c r="DK235" s="19" t="str">
        <f t="shared" si="348"/>
        <v/>
      </c>
      <c r="DL235" s="47" t="s">
        <v>0</v>
      </c>
      <c r="DM235" s="19" t="str">
        <f t="shared" si="349"/>
        <v/>
      </c>
      <c r="DN235" s="47" t="s">
        <v>0</v>
      </c>
      <c r="DO235" s="52" t="str">
        <f t="shared" si="289"/>
        <v>Mare – Gršković – OK Kapela – Ž16</v>
      </c>
      <c r="DP235" s="53">
        <f t="shared" si="290"/>
        <v>248</v>
      </c>
      <c r="DQ235" s="47" t="s">
        <v>0</v>
      </c>
      <c r="DR235" s="52" t="str">
        <f t="shared" si="291"/>
        <v>Mare – Gršković – OK Kapela</v>
      </c>
      <c r="DS235" s="53">
        <f t="shared" si="292"/>
        <v>248</v>
      </c>
      <c r="DT235" s="47" t="s">
        <v>0</v>
      </c>
      <c r="DU235" s="52" t="str">
        <f t="shared" si="293"/>
        <v>Mare – Gršković</v>
      </c>
      <c r="DV235" s="53">
        <f t="shared" si="294"/>
        <v>248</v>
      </c>
      <c r="DW235" s="47" t="s">
        <v>0</v>
      </c>
      <c r="DX235" s="58">
        <f t="shared" si="337"/>
        <v>248</v>
      </c>
      <c r="DY235" s="53" cm="1">
        <f t="array" ref="DY235">IF(DX235&lt;&gt;"",INDEX(regNatjecatelj_id,DX235,0),IF(BD235&lt;&gt;"",BD235,""))</f>
        <v>1378</v>
      </c>
      <c r="DZ235" s="47" t="s">
        <v>0</v>
      </c>
      <c r="EA235" s="58" t="str">
        <f t="shared" si="295"/>
        <v>imepre</v>
      </c>
      <c r="EB235" s="73" t="str">
        <f t="shared" si="296"/>
        <v>klu</v>
      </c>
      <c r="EC235" s="73" t="str">
        <f t="shared" si="297"/>
        <v>kat</v>
      </c>
      <c r="ED235" s="73" t="str">
        <f t="shared" si="298"/>
        <v/>
      </c>
      <c r="EE235" s="66" t="str">
        <f t="shared" si="299"/>
        <v>imepre-klu-kat</v>
      </c>
      <c r="EF235" s="47" t="s">
        <v>0</v>
      </c>
      <c r="EG235" s="58">
        <f>IF(AL235="","",MAX(EG$12:EG234)+1)</f>
        <v>392</v>
      </c>
      <c r="EH235" s="73">
        <f t="shared" si="300"/>
        <v>37</v>
      </c>
      <c r="EI235" s="73">
        <f t="shared" si="338"/>
        <v>1378</v>
      </c>
      <c r="EJ235" s="73">
        <f t="shared" si="301"/>
        <v>4567</v>
      </c>
      <c r="EK235" s="73">
        <f t="shared" si="302"/>
        <v>1</v>
      </c>
      <c r="EL235" s="73">
        <f t="shared" si="339"/>
        <v>1</v>
      </c>
      <c r="EM235" s="73">
        <f t="shared" si="340"/>
        <v>1</v>
      </c>
      <c r="EN235" s="73" t="str">
        <f t="shared" si="303"/>
        <v>0</v>
      </c>
      <c r="EO235" s="73" t="str">
        <f t="shared" si="304"/>
        <v/>
      </c>
      <c r="EP235" s="73" t="str">
        <f t="shared" si="305"/>
        <v/>
      </c>
      <c r="EQ235" s="53" t="str">
        <f t="shared" si="306"/>
        <v/>
      </c>
      <c r="ER235" s="47" t="s">
        <v>0</v>
      </c>
      <c r="ES235" s="19" t="str">
        <f t="shared" si="341"/>
        <v>INSERT INTO rezultat(id,stazakategorija_id,imeprezime_id,vrijeme_sec,status_id,registracija,uparivanje_id,originalstatus_id,imeprezimealias_id,klubalias_id,kategorijaalias_id) VALUES (392,37,1378,4567,1,1,1,0,Null,Null,Null);</v>
      </c>
      <c r="ET235" s="47" t="s">
        <v>0</v>
      </c>
      <c r="EU235" s="19" t="str">
        <f t="shared" si="342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5" s="47" t="s">
        <v>0</v>
      </c>
      <c r="EW235" s="180" t="str">
        <f t="shared" si="307"/>
        <v xml:space="preserve">
INSERT INTO rezultat(id,stazakategorija_id,imeprezime_id,vrijeme_sec,status_id,registracija,uparivanje_id,originalstatus_id,imeprezimealias_id,klubalias_id,kategorijaalias_id) VALUES (392,37,1378,4567,1,1,1,0,Null,Null,Null);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5" s="47" t="s">
        <v>0</v>
      </c>
    </row>
    <row r="236" spans="1:154" x14ac:dyDescent="0.25">
      <c r="A236" t="s">
        <v>0</v>
      </c>
      <c r="B236" s="52" t="str">
        <f>IF(csv!F226="","",csv!T226)</f>
        <v>Ž16</v>
      </c>
      <c r="C236" s="31" t="s">
        <v>0</v>
      </c>
      <c r="D236" s="31" t="str">
        <f>IF(csv!F226="","",csv!F226)</f>
        <v>Ema</v>
      </c>
      <c r="E236" s="31" t="str">
        <f>IF(csv!E226="","",csv!E226)</f>
        <v>Potrebica</v>
      </c>
      <c r="F236" s="31" t="s">
        <v>0</v>
      </c>
      <c r="G236" s="73" t="str">
        <f>IF(csv!M226="","",csv!M226)</f>
        <v>81:16</v>
      </c>
      <c r="H236" s="73" t="str">
        <f>IF(csv!N226="","",csv!N226)</f>
        <v>0</v>
      </c>
      <c r="I236" s="31" t="s">
        <v>0</v>
      </c>
      <c r="J236" s="31" t="str">
        <f>IF(csv!P226="","",csv!P226)</f>
        <v>OK Varaždin</v>
      </c>
      <c r="K236" s="31" t="str">
        <f>IF(csv!Q226="","",csv!Q226)</f>
        <v>OK Varaždin</v>
      </c>
      <c r="L236" s="31" t="s">
        <v>0</v>
      </c>
      <c r="M236" s="66" t="str">
        <f>IF(csv!R226="","",csv!R226)</f>
        <v>CRO</v>
      </c>
      <c r="N236" s="47" t="s">
        <v>0</v>
      </c>
      <c r="O236" s="246" t="str">
        <f t="shared" si="308"/>
        <v>ok</v>
      </c>
      <c r="P236" s="47"/>
      <c r="Q236" s="52" t="str">
        <f t="shared" si="309"/>
        <v>Ž16</v>
      </c>
      <c r="R236" s="73">
        <f>IF(Q236="","",IF(COUNTIF(Q$12:Q235,Q236)=0,R235+1,R235))</f>
        <v>15</v>
      </c>
      <c r="S236" s="73">
        <f t="shared" si="310"/>
        <v>120</v>
      </c>
      <c r="T236" s="73">
        <f t="shared" si="273"/>
        <v>27</v>
      </c>
      <c r="U236" s="66" t="str">
        <f t="shared" si="274"/>
        <v>Ž21B – Ž16</v>
      </c>
      <c r="V236" s="47" t="s">
        <v>0</v>
      </c>
      <c r="W236" s="222" t="str">
        <f t="shared" si="275"/>
        <v>Ž16</v>
      </c>
      <c r="X236" s="223">
        <f t="shared" si="276"/>
        <v>37</v>
      </c>
      <c r="Y236" s="47" t="s">
        <v>0</v>
      </c>
      <c r="Z236" s="52" t="str">
        <f t="shared" si="311"/>
        <v>CRO</v>
      </c>
      <c r="AA236" s="73">
        <f t="shared" si="277"/>
        <v>1</v>
      </c>
      <c r="AB236" s="31" t="str">
        <f t="shared" si="312"/>
        <v/>
      </c>
      <c r="AC236" s="66" t="str">
        <f>IF(AB236="","",MAX(AC$12:AC235)+1)</f>
        <v/>
      </c>
      <c r="AD236" s="47" t="s">
        <v>0</v>
      </c>
      <c r="AE236" s="125"/>
      <c r="AF236" s="47" t="s">
        <v>0</v>
      </c>
      <c r="AG236" s="19" t="str">
        <f t="shared" si="313"/>
        <v/>
      </c>
      <c r="AH236" s="47" t="s">
        <v>0</v>
      </c>
      <c r="AI236" s="143" t="str">
        <f t="shared" si="314"/>
        <v>CRO</v>
      </c>
      <c r="AJ236" s="47"/>
      <c r="AK236" s="52" t="str">
        <f t="shared" si="315"/>
        <v>Ema</v>
      </c>
      <c r="AL236" s="31" t="str">
        <f t="shared" si="316"/>
        <v>Potrebica</v>
      </c>
      <c r="AM236" s="73">
        <f t="shared" si="317"/>
        <v>1441</v>
      </c>
      <c r="AN236" s="73" t="str">
        <f t="shared" si="318"/>
        <v/>
      </c>
      <c r="AO236" s="31" t="str">
        <f t="shared" si="278"/>
        <v>Ema</v>
      </c>
      <c r="AP236" s="66" t="str">
        <f t="shared" si="279"/>
        <v>Potrebica</v>
      </c>
      <c r="AQ236" s="47" t="s">
        <v>0</v>
      </c>
      <c r="AR236" s="82" t="str">
        <f t="shared" si="319"/>
        <v/>
      </c>
      <c r="AS236" s="47" t="s">
        <v>0</v>
      </c>
      <c r="AT236" s="19" t="str">
        <f t="shared" si="320"/>
        <v/>
      </c>
      <c r="AU236" s="47" t="s">
        <v>0</v>
      </c>
      <c r="AV236" s="103"/>
      <c r="AW236" s="105"/>
      <c r="AX236" s="47" t="s">
        <v>0</v>
      </c>
      <c r="AY236" s="259" t="str">
        <f t="shared" si="343"/>
        <v/>
      </c>
      <c r="AZ236" s="47" t="s">
        <v>0</v>
      </c>
      <c r="BA236" s="52" t="str">
        <f t="shared" si="280"/>
        <v/>
      </c>
      <c r="BB236" s="73" t="str">
        <f>IF(AV236&amp;AW236="","",MAX(BB$12:BB235)+1)</f>
        <v/>
      </c>
      <c r="BC236" s="272" t="str">
        <f t="shared" si="281"/>
        <v/>
      </c>
      <c r="BD236" s="53" t="str">
        <f>IF(AND(AM236="NEMA",AN236="NEMA",OR(AV236&amp;AW236="",BC236="NEMA")),MAX(BD$12:BD235)+1,"")</f>
        <v/>
      </c>
      <c r="BE236" s="47" t="s">
        <v>0</v>
      </c>
      <c r="BF236" s="52" t="str">
        <f t="shared" si="321"/>
        <v>Ema</v>
      </c>
      <c r="BG236" s="66" t="str">
        <f t="shared" si="322"/>
        <v>Potrebica</v>
      </c>
      <c r="BH236" s="47" t="s">
        <v>0</v>
      </c>
      <c r="BI236" s="52" t="str">
        <f t="shared" si="282"/>
        <v>OK Varaždin</v>
      </c>
      <c r="BJ236" s="31" t="str">
        <f t="shared" si="283"/>
        <v>OK Varaždin</v>
      </c>
      <c r="BK236" s="73" t="str">
        <f t="shared" si="284"/>
        <v/>
      </c>
      <c r="BL236" s="31" t="str" cm="1">
        <f t="array" ref="BL236">IF(BK236="",""&amp;BJ236,IF(BK236="NEMA",BJ236,INDEX(regKlub_naziv,MATCH(INDEX(regKlub_alias_klubId,BK236),regKlub_id,0))))</f>
        <v>OK Varaždin</v>
      </c>
      <c r="BM236" s="31" t="str" cm="1">
        <f t="array" ref="BM236">IFERROR(""&amp;INDEX(regNatjecatelj_klub,DV236),"")</f>
        <v>OK Varaždin</v>
      </c>
      <c r="BN236" s="88" t="str">
        <f t="shared" si="323"/>
        <v/>
      </c>
      <c r="BO236" s="66" t="str">
        <f t="shared" si="324"/>
        <v>OK Varaždin</v>
      </c>
      <c r="BP236" s="47" t="s">
        <v>0</v>
      </c>
      <c r="BQ236" s="52" t="str">
        <f>IF(X236&lt;&gt;"NEMA","",IF(IFERROR(MATCH(W236,W$12:W235,0),0)&lt;&gt;0,"",W236))</f>
        <v/>
      </c>
      <c r="BR236" s="73" t="str">
        <f t="shared" si="325"/>
        <v/>
      </c>
      <c r="BS236" s="31" t="str">
        <f>IF(OR(BR236="",BR236&lt;&gt;"NEMA"),"",MAX(BS$12:BS235)+1)</f>
        <v/>
      </c>
      <c r="BT236" s="66" t="str">
        <f t="shared" si="326"/>
        <v/>
      </c>
      <c r="BU236" s="47" t="s">
        <v>0</v>
      </c>
      <c r="BV236" s="19" t="str">
        <f t="shared" si="327"/>
        <v/>
      </c>
      <c r="BW236" s="47" t="s">
        <v>0</v>
      </c>
      <c r="BX236" s="82" t="str">
        <f>IF(BK236&lt;&gt;"NEMA","",IF(IFERROR(MATCH(BJ236,BJ$12:BJ235,0),0)&lt;&gt;0,"",BJ236))</f>
        <v/>
      </c>
      <c r="BY236" s="47" t="s">
        <v>0</v>
      </c>
      <c r="BZ236" s="125"/>
      <c r="CA236" s="47" t="s">
        <v>0</v>
      </c>
      <c r="CB236" s="58" t="str">
        <f t="shared" si="328"/>
        <v/>
      </c>
      <c r="CC236" s="31" t="str">
        <f t="shared" si="329"/>
        <v/>
      </c>
      <c r="CD236" s="31" t="str">
        <f>IF(CC236="","",MAX(CD$12:CD235)+1)</f>
        <v/>
      </c>
      <c r="CE236" s="31" t="str">
        <f t="shared" si="285"/>
        <v/>
      </c>
      <c r="CF236" s="31" t="str">
        <f t="shared" si="330"/>
        <v/>
      </c>
      <c r="CG236" s="31" t="str">
        <f>IF(BZ236="","",MAX(CG$12:CG235)+1)</f>
        <v/>
      </c>
      <c r="CH236" s="31" t="str">
        <f t="shared" si="331"/>
        <v/>
      </c>
      <c r="CI236" s="66" t="str">
        <f t="shared" si="332"/>
        <v/>
      </c>
      <c r="CJ236" s="47" t="s">
        <v>0</v>
      </c>
      <c r="CK236" s="73" t="str">
        <f t="shared" si="286"/>
        <v/>
      </c>
      <c r="CL236" s="47"/>
      <c r="CM236" s="19" t="str">
        <f t="shared" si="333"/>
        <v/>
      </c>
      <c r="CN236" s="47" t="s">
        <v>0</v>
      </c>
      <c r="CO236" s="143" t="str">
        <f t="shared" si="334"/>
        <v>OK Varaždin</v>
      </c>
      <c r="CP236" s="47" t="s">
        <v>0</v>
      </c>
      <c r="CQ236" s="58" t="str">
        <f t="shared" si="350"/>
        <v>81:16</v>
      </c>
      <c r="CR236" s="73" t="str">
        <f t="shared" si="351"/>
        <v>0</v>
      </c>
      <c r="CS236" s="229" t="str">
        <f t="shared" si="287"/>
        <v/>
      </c>
      <c r="CT236" s="230">
        <f t="shared" si="272"/>
        <v>4876</v>
      </c>
      <c r="CU236" s="163">
        <f t="shared" si="288"/>
        <v>1</v>
      </c>
      <c r="CV236" s="47" t="s">
        <v>0</v>
      </c>
      <c r="CW236" s="222" t="str">
        <f t="shared" si="335"/>
        <v xml:space="preserve">
</v>
      </c>
      <c r="CX236" s="223">
        <f t="shared" si="336"/>
        <v>6</v>
      </c>
      <c r="CY236" s="47" t="s">
        <v>0</v>
      </c>
      <c r="CZ236" s="47"/>
      <c r="DA236" s="47"/>
      <c r="DB236" s="47"/>
      <c r="DC236" s="47" t="s">
        <v>0</v>
      </c>
      <c r="DD236" s="53" t="str">
        <f t="shared" si="344"/>
        <v/>
      </c>
      <c r="DE236" t="s">
        <v>0</v>
      </c>
      <c r="DF236" s="128" t="str">
        <f t="shared" si="345"/>
        <v>Ž</v>
      </c>
      <c r="DG236" t="s">
        <v>0</v>
      </c>
      <c r="DH236" s="52" t="str">
        <f t="shared" si="346"/>
        <v/>
      </c>
      <c r="DI236" s="66" t="str">
        <f t="shared" si="347"/>
        <v/>
      </c>
      <c r="DJ236" t="s">
        <v>0</v>
      </c>
      <c r="DK236" s="19" t="str">
        <f t="shared" si="348"/>
        <v/>
      </c>
      <c r="DL236" s="47" t="s">
        <v>0</v>
      </c>
      <c r="DM236" s="19" t="str">
        <f t="shared" si="349"/>
        <v/>
      </c>
      <c r="DN236" s="47" t="s">
        <v>0</v>
      </c>
      <c r="DO236" s="52" t="str">
        <f t="shared" si="289"/>
        <v>Ema – Potrebica – OK Varaždin – Ž16</v>
      </c>
      <c r="DP236" s="53">
        <f t="shared" si="290"/>
        <v>577</v>
      </c>
      <c r="DQ236" s="47" t="s">
        <v>0</v>
      </c>
      <c r="DR236" s="52" t="str">
        <f t="shared" si="291"/>
        <v>Ema – Potrebica – OK Varaždin</v>
      </c>
      <c r="DS236" s="53">
        <f t="shared" si="292"/>
        <v>577</v>
      </c>
      <c r="DT236" s="47" t="s">
        <v>0</v>
      </c>
      <c r="DU236" s="52" t="str">
        <f t="shared" si="293"/>
        <v>Ema – Potrebica</v>
      </c>
      <c r="DV236" s="53">
        <f t="shared" si="294"/>
        <v>577</v>
      </c>
      <c r="DW236" s="47" t="s">
        <v>0</v>
      </c>
      <c r="DX236" s="58">
        <f t="shared" si="337"/>
        <v>577</v>
      </c>
      <c r="DY236" s="53" cm="1">
        <f t="array" ref="DY236">IF(DX236&lt;&gt;"",INDEX(regNatjecatelj_id,DX236,0),IF(BD236&lt;&gt;"",BD236,""))</f>
        <v>1441</v>
      </c>
      <c r="DZ236" s="47" t="s">
        <v>0</v>
      </c>
      <c r="EA236" s="58" t="str">
        <f t="shared" si="295"/>
        <v>imepre</v>
      </c>
      <c r="EB236" s="73" t="str">
        <f t="shared" si="296"/>
        <v>klu</v>
      </c>
      <c r="EC236" s="73" t="str">
        <f t="shared" si="297"/>
        <v>kat</v>
      </c>
      <c r="ED236" s="73" t="str">
        <f t="shared" si="298"/>
        <v/>
      </c>
      <c r="EE236" s="66" t="str">
        <f t="shared" si="299"/>
        <v>imepre-klu-kat</v>
      </c>
      <c r="EF236" s="47" t="s">
        <v>0</v>
      </c>
      <c r="EG236" s="58">
        <f>IF(AL236="","",MAX(EG$12:EG235)+1)</f>
        <v>393</v>
      </c>
      <c r="EH236" s="73">
        <f t="shared" si="300"/>
        <v>37</v>
      </c>
      <c r="EI236" s="73">
        <f t="shared" si="338"/>
        <v>1441</v>
      </c>
      <c r="EJ236" s="73">
        <f t="shared" si="301"/>
        <v>4876</v>
      </c>
      <c r="EK236" s="73">
        <f t="shared" si="302"/>
        <v>1</v>
      </c>
      <c r="EL236" s="73">
        <f t="shared" si="339"/>
        <v>1</v>
      </c>
      <c r="EM236" s="73">
        <f t="shared" si="340"/>
        <v>1</v>
      </c>
      <c r="EN236" s="73" t="str">
        <f t="shared" si="303"/>
        <v>0</v>
      </c>
      <c r="EO236" s="73" t="str">
        <f t="shared" si="304"/>
        <v/>
      </c>
      <c r="EP236" s="73" t="str">
        <f t="shared" si="305"/>
        <v/>
      </c>
      <c r="EQ236" s="53" t="str">
        <f t="shared" si="306"/>
        <v/>
      </c>
      <c r="ER236" s="47" t="s">
        <v>0</v>
      </c>
      <c r="ES236" s="19" t="str">
        <f t="shared" si="341"/>
        <v>INSERT INTO rezultat(id,stazakategorija_id,imeprezime_id,vrijeme_sec,status_id,registracija,uparivanje_id,originalstatus_id,imeprezimealias_id,klubalias_id,kategorijaalias_id) VALUES (393,37,1441,4876,1,1,1,0,Null,Null,Null);</v>
      </c>
      <c r="ET236" s="47" t="s">
        <v>0</v>
      </c>
      <c r="EU236" s="19" t="str">
        <f t="shared" si="342"/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6" s="47" t="s">
        <v>0</v>
      </c>
      <c r="EW236" s="180" t="str">
        <f t="shared" si="307"/>
        <v xml:space="preserve">
INSERT INTO rezultat(id,stazakategorija_id,imeprezime_id,vrijeme_sec,status_id,registracija,uparivanje_id,originalstatus_id,imeprezimealias_id,klubalias_id,kategorijaalias_id) VALUES (393,37,1441,4876,1,1,1,0,Null,Null,Null);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6" s="47" t="s">
        <v>0</v>
      </c>
    </row>
    <row r="237" spans="1:154" x14ac:dyDescent="0.25">
      <c r="A237" t="s">
        <v>0</v>
      </c>
      <c r="B237" s="52" t="str">
        <f>IF(csv!F227="","",csv!T227)</f>
        <v>Ž16</v>
      </c>
      <c r="C237" s="31" t="s">
        <v>0</v>
      </c>
      <c r="D237" s="31" t="str">
        <f>IF(csv!F227="","",csv!F227)</f>
        <v>Ira</v>
      </c>
      <c r="E237" s="31" t="str">
        <f>IF(csv!E227="","",csv!E227)</f>
        <v>Mareković</v>
      </c>
      <c r="F237" s="31" t="s">
        <v>0</v>
      </c>
      <c r="G237" s="73" t="str">
        <f>IF(csv!M227="","",csv!M227)</f>
        <v>84:12</v>
      </c>
      <c r="H237" s="73" t="str">
        <f>IF(csv!N227="","",csv!N227)</f>
        <v>0</v>
      </c>
      <c r="I237" s="31" t="s">
        <v>0</v>
      </c>
      <c r="J237" s="31" t="str">
        <f>IF(csv!P227="","",csv!P227)</f>
        <v>Vihor</v>
      </c>
      <c r="K237" s="31" t="str">
        <f>IF(csv!Q227="","",csv!Q227)</f>
        <v>OK Vihor</v>
      </c>
      <c r="L237" s="31" t="s">
        <v>0</v>
      </c>
      <c r="M237" s="66" t="str">
        <f>IF(csv!R227="","",csv!R227)</f>
        <v>CRO</v>
      </c>
      <c r="N237" s="47" t="s">
        <v>0</v>
      </c>
      <c r="O237" s="246" t="str">
        <f t="shared" si="308"/>
        <v>ok</v>
      </c>
      <c r="P237" s="47"/>
      <c r="Q237" s="52" t="str">
        <f t="shared" si="309"/>
        <v>Ž16</v>
      </c>
      <c r="R237" s="73">
        <f>IF(Q237="","",IF(COUNTIF(Q$12:Q236,Q237)=0,R236+1,R236))</f>
        <v>15</v>
      </c>
      <c r="S237" s="73">
        <f t="shared" si="310"/>
        <v>120</v>
      </c>
      <c r="T237" s="73">
        <f t="shared" si="273"/>
        <v>27</v>
      </c>
      <c r="U237" s="66" t="str">
        <f t="shared" si="274"/>
        <v>Ž21B – Ž16</v>
      </c>
      <c r="V237" s="47" t="s">
        <v>0</v>
      </c>
      <c r="W237" s="222" t="str">
        <f t="shared" si="275"/>
        <v>Ž16</v>
      </c>
      <c r="X237" s="223">
        <f t="shared" si="276"/>
        <v>37</v>
      </c>
      <c r="Y237" s="47" t="s">
        <v>0</v>
      </c>
      <c r="Z237" s="52" t="str">
        <f t="shared" si="311"/>
        <v>CRO</v>
      </c>
      <c r="AA237" s="73">
        <f t="shared" si="277"/>
        <v>1</v>
      </c>
      <c r="AB237" s="31" t="str">
        <f t="shared" si="312"/>
        <v/>
      </c>
      <c r="AC237" s="66" t="str">
        <f>IF(AB237="","",MAX(AC$12:AC236)+1)</f>
        <v/>
      </c>
      <c r="AD237" s="47" t="s">
        <v>0</v>
      </c>
      <c r="AE237" s="125"/>
      <c r="AF237" s="47" t="s">
        <v>0</v>
      </c>
      <c r="AG237" s="19" t="str">
        <f t="shared" si="313"/>
        <v/>
      </c>
      <c r="AH237" s="47" t="s">
        <v>0</v>
      </c>
      <c r="AI237" s="143" t="str">
        <f t="shared" si="314"/>
        <v>CRO</v>
      </c>
      <c r="AJ237" s="47"/>
      <c r="AK237" s="52" t="str">
        <f t="shared" si="315"/>
        <v>Ira</v>
      </c>
      <c r="AL237" s="31" t="str">
        <f t="shared" si="316"/>
        <v>Mareković</v>
      </c>
      <c r="AM237" s="73">
        <f t="shared" si="317"/>
        <v>1410</v>
      </c>
      <c r="AN237" s="73" t="str">
        <f t="shared" si="318"/>
        <v/>
      </c>
      <c r="AO237" s="31" t="str">
        <f t="shared" si="278"/>
        <v>Ira</v>
      </c>
      <c r="AP237" s="66" t="str">
        <f t="shared" si="279"/>
        <v>Mareković</v>
      </c>
      <c r="AQ237" s="47" t="s">
        <v>0</v>
      </c>
      <c r="AR237" s="82" t="str">
        <f t="shared" si="319"/>
        <v/>
      </c>
      <c r="AS237" s="47" t="s">
        <v>0</v>
      </c>
      <c r="AT237" s="19" t="str">
        <f t="shared" si="320"/>
        <v/>
      </c>
      <c r="AU237" s="47" t="s">
        <v>0</v>
      </c>
      <c r="AV237" s="103"/>
      <c r="AW237" s="105"/>
      <c r="AX237" s="47" t="s">
        <v>0</v>
      </c>
      <c r="AY237" s="259" t="str">
        <f t="shared" si="343"/>
        <v/>
      </c>
      <c r="AZ237" s="47" t="s">
        <v>0</v>
      </c>
      <c r="BA237" s="52" t="str">
        <f t="shared" si="280"/>
        <v/>
      </c>
      <c r="BB237" s="73" t="str">
        <f>IF(AV237&amp;AW237="","",MAX(BB$12:BB236)+1)</f>
        <v/>
      </c>
      <c r="BC237" s="272" t="str">
        <f t="shared" si="281"/>
        <v/>
      </c>
      <c r="BD237" s="53" t="str">
        <f>IF(AND(AM237="NEMA",AN237="NEMA",OR(AV237&amp;AW237="",BC237="NEMA")),MAX(BD$12:BD236)+1,"")</f>
        <v/>
      </c>
      <c r="BE237" s="47" t="s">
        <v>0</v>
      </c>
      <c r="BF237" s="52" t="str">
        <f t="shared" si="321"/>
        <v>Ira</v>
      </c>
      <c r="BG237" s="66" t="str">
        <f t="shared" si="322"/>
        <v>Mareković</v>
      </c>
      <c r="BH237" s="47" t="s">
        <v>0</v>
      </c>
      <c r="BI237" s="52" t="str">
        <f t="shared" si="282"/>
        <v>Vihor</v>
      </c>
      <c r="BJ237" s="31" t="str">
        <f t="shared" si="283"/>
        <v>OK Vihor</v>
      </c>
      <c r="BK237" s="73" t="str">
        <f t="shared" si="284"/>
        <v/>
      </c>
      <c r="BL237" s="31" t="str" cm="1">
        <f t="array" ref="BL237">IF(BK237="",""&amp;BJ237,IF(BK237="NEMA",BJ237,INDEX(regKlub_naziv,MATCH(INDEX(regKlub_alias_klubId,BK237),regKlub_id,0))))</f>
        <v>OK Vihor</v>
      </c>
      <c r="BM237" s="31" t="str" cm="1">
        <f t="array" ref="BM237">IFERROR(""&amp;INDEX(regNatjecatelj_klub,DV237),"")</f>
        <v>OK Vihor</v>
      </c>
      <c r="BN237" s="88" t="str">
        <f t="shared" si="323"/>
        <v/>
      </c>
      <c r="BO237" s="66" t="str">
        <f t="shared" si="324"/>
        <v>OK Vihor</v>
      </c>
      <c r="BP237" s="47" t="s">
        <v>0</v>
      </c>
      <c r="BQ237" s="52" t="str">
        <f>IF(X237&lt;&gt;"NEMA","",IF(IFERROR(MATCH(W237,W$12:W236,0),0)&lt;&gt;0,"",W237))</f>
        <v/>
      </c>
      <c r="BR237" s="73" t="str">
        <f t="shared" si="325"/>
        <v/>
      </c>
      <c r="BS237" s="31" t="str">
        <f>IF(OR(BR237="",BR237&lt;&gt;"NEMA"),"",MAX(BS$12:BS236)+1)</f>
        <v/>
      </c>
      <c r="BT237" s="66" t="str">
        <f t="shared" si="326"/>
        <v/>
      </c>
      <c r="BU237" s="47" t="s">
        <v>0</v>
      </c>
      <c r="BV237" s="19" t="str">
        <f t="shared" si="327"/>
        <v/>
      </c>
      <c r="BW237" s="47" t="s">
        <v>0</v>
      </c>
      <c r="BX237" s="82" t="str">
        <f>IF(BK237&lt;&gt;"NEMA","",IF(IFERROR(MATCH(BJ237,BJ$12:BJ236,0),0)&lt;&gt;0,"",BJ237))</f>
        <v/>
      </c>
      <c r="BY237" s="47" t="s">
        <v>0</v>
      </c>
      <c r="BZ237" s="125"/>
      <c r="CA237" s="47" t="s">
        <v>0</v>
      </c>
      <c r="CB237" s="58" t="str">
        <f t="shared" si="328"/>
        <v/>
      </c>
      <c r="CC237" s="31" t="str">
        <f t="shared" si="329"/>
        <v/>
      </c>
      <c r="CD237" s="31" t="str">
        <f>IF(CC237="","",MAX(CD$12:CD236)+1)</f>
        <v/>
      </c>
      <c r="CE237" s="31" t="str">
        <f t="shared" si="285"/>
        <v/>
      </c>
      <c r="CF237" s="31" t="str">
        <f t="shared" si="330"/>
        <v/>
      </c>
      <c r="CG237" s="31" t="str">
        <f>IF(BZ237="","",MAX(CG$12:CG236)+1)</f>
        <v/>
      </c>
      <c r="CH237" s="31" t="str">
        <f t="shared" si="331"/>
        <v/>
      </c>
      <c r="CI237" s="66" t="str">
        <f t="shared" si="332"/>
        <v/>
      </c>
      <c r="CJ237" s="47" t="s">
        <v>0</v>
      </c>
      <c r="CK237" s="73" t="str">
        <f t="shared" si="286"/>
        <v/>
      </c>
      <c r="CL237" s="47"/>
      <c r="CM237" s="19" t="str">
        <f t="shared" si="333"/>
        <v/>
      </c>
      <c r="CN237" s="47" t="s">
        <v>0</v>
      </c>
      <c r="CO237" s="143" t="str">
        <f t="shared" si="334"/>
        <v>OK Vihor</v>
      </c>
      <c r="CP237" s="47" t="s">
        <v>0</v>
      </c>
      <c r="CQ237" s="58" t="str">
        <f t="shared" si="350"/>
        <v>84:12</v>
      </c>
      <c r="CR237" s="73" t="str">
        <f t="shared" si="351"/>
        <v>0</v>
      </c>
      <c r="CS237" s="229" t="str">
        <f t="shared" si="287"/>
        <v/>
      </c>
      <c r="CT237" s="230">
        <f t="shared" si="272"/>
        <v>5052</v>
      </c>
      <c r="CU237" s="163">
        <f t="shared" si="288"/>
        <v>1</v>
      </c>
      <c r="CV237" s="47" t="s">
        <v>0</v>
      </c>
      <c r="CW237" s="222" t="str">
        <f t="shared" si="335"/>
        <v xml:space="preserve">
</v>
      </c>
      <c r="CX237" s="223">
        <f t="shared" si="336"/>
        <v>6</v>
      </c>
      <c r="CY237" s="47" t="s">
        <v>0</v>
      </c>
      <c r="CZ237" s="47"/>
      <c r="DA237" s="47"/>
      <c r="DB237" s="47"/>
      <c r="DC237" s="47" t="s">
        <v>0</v>
      </c>
      <c r="DD237" s="53" t="str">
        <f t="shared" si="344"/>
        <v/>
      </c>
      <c r="DE237" t="s">
        <v>0</v>
      </c>
      <c r="DF237" s="128" t="str">
        <f t="shared" si="345"/>
        <v>Ž</v>
      </c>
      <c r="DG237" t="s">
        <v>0</v>
      </c>
      <c r="DH237" s="52" t="str">
        <f t="shared" si="346"/>
        <v/>
      </c>
      <c r="DI237" s="66" t="str">
        <f t="shared" si="347"/>
        <v/>
      </c>
      <c r="DJ237" t="s">
        <v>0</v>
      </c>
      <c r="DK237" s="19" t="str">
        <f t="shared" si="348"/>
        <v/>
      </c>
      <c r="DL237" s="47" t="s">
        <v>0</v>
      </c>
      <c r="DM237" s="19" t="str">
        <f t="shared" si="349"/>
        <v/>
      </c>
      <c r="DN237" s="47" t="s">
        <v>0</v>
      </c>
      <c r="DO237" s="52" t="str">
        <f t="shared" si="289"/>
        <v>Ira – Mareković – OK Vihor – Ž16</v>
      </c>
      <c r="DP237" s="53">
        <f t="shared" si="290"/>
        <v>787</v>
      </c>
      <c r="DQ237" s="47" t="s">
        <v>0</v>
      </c>
      <c r="DR237" s="52" t="str">
        <f t="shared" si="291"/>
        <v>Ira – Mareković – OK Vihor</v>
      </c>
      <c r="DS237" s="53">
        <f t="shared" si="292"/>
        <v>787</v>
      </c>
      <c r="DT237" s="47" t="s">
        <v>0</v>
      </c>
      <c r="DU237" s="52" t="str">
        <f t="shared" si="293"/>
        <v>Ira – Mareković</v>
      </c>
      <c r="DV237" s="53">
        <f t="shared" si="294"/>
        <v>787</v>
      </c>
      <c r="DW237" s="47" t="s">
        <v>0</v>
      </c>
      <c r="DX237" s="58">
        <f t="shared" si="337"/>
        <v>787</v>
      </c>
      <c r="DY237" s="53" cm="1">
        <f t="array" ref="DY237">IF(DX237&lt;&gt;"",INDEX(regNatjecatelj_id,DX237,0),IF(BD237&lt;&gt;"",BD237,""))</f>
        <v>1410</v>
      </c>
      <c r="DZ237" s="47" t="s">
        <v>0</v>
      </c>
      <c r="EA237" s="58" t="str">
        <f t="shared" si="295"/>
        <v>imepre</v>
      </c>
      <c r="EB237" s="73" t="str">
        <f t="shared" si="296"/>
        <v>klu</v>
      </c>
      <c r="EC237" s="73" t="str">
        <f t="shared" si="297"/>
        <v>kat</v>
      </c>
      <c r="ED237" s="73" t="str">
        <f t="shared" si="298"/>
        <v/>
      </c>
      <c r="EE237" s="66" t="str">
        <f t="shared" si="299"/>
        <v>imepre-klu-kat</v>
      </c>
      <c r="EF237" s="47" t="s">
        <v>0</v>
      </c>
      <c r="EG237" s="58">
        <f>IF(AL237="","",MAX(EG$12:EG236)+1)</f>
        <v>394</v>
      </c>
      <c r="EH237" s="73">
        <f t="shared" si="300"/>
        <v>37</v>
      </c>
      <c r="EI237" s="73">
        <f t="shared" si="338"/>
        <v>1410</v>
      </c>
      <c r="EJ237" s="73">
        <f t="shared" si="301"/>
        <v>5052</v>
      </c>
      <c r="EK237" s="73">
        <f t="shared" si="302"/>
        <v>1</v>
      </c>
      <c r="EL237" s="73">
        <f t="shared" si="339"/>
        <v>1</v>
      </c>
      <c r="EM237" s="73">
        <f t="shared" si="340"/>
        <v>1</v>
      </c>
      <c r="EN237" s="73" t="str">
        <f t="shared" si="303"/>
        <v>0</v>
      </c>
      <c r="EO237" s="73" t="str">
        <f t="shared" si="304"/>
        <v/>
      </c>
      <c r="EP237" s="73" t="str">
        <f t="shared" si="305"/>
        <v/>
      </c>
      <c r="EQ237" s="53" t="str">
        <f t="shared" si="306"/>
        <v/>
      </c>
      <c r="ER237" s="47" t="s">
        <v>0</v>
      </c>
      <c r="ES237" s="19" t="str">
        <f t="shared" si="341"/>
        <v>INSERT INTO rezultat(id,stazakategorija_id,imeprezime_id,vrijeme_sec,status_id,registracija,uparivanje_id,originalstatus_id,imeprezimealias_id,klubalias_id,kategorijaalias_id) VALUES (394,37,1410,5052,1,1,1,0,Null,Null,Null);</v>
      </c>
      <c r="ET237" s="47" t="s">
        <v>0</v>
      </c>
      <c r="EU237" s="19" t="str">
        <f t="shared" si="342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7" s="47" t="s">
        <v>0</v>
      </c>
      <c r="EW237" s="180" t="str">
        <f t="shared" si="307"/>
        <v xml:space="preserve">
INSERT INTO rezultat(id,stazakategorija_id,imeprezime_id,vrijeme_sec,status_id,registracija,uparivanje_id,originalstatus_id,imeprezimealias_id,klubalias_id,kategorijaalias_id) VALUES (394,37,1410,5052,1,1,1,0,Null,Null,Null);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7" s="47" t="s">
        <v>0</v>
      </c>
    </row>
    <row r="238" spans="1:154" x14ac:dyDescent="0.25">
      <c r="A238" t="s">
        <v>0</v>
      </c>
      <c r="B238" s="52" t="str">
        <f>IF(csv!F228="","",csv!T228)</f>
        <v>Ž16</v>
      </c>
      <c r="C238" s="31" t="s">
        <v>0</v>
      </c>
      <c r="D238" s="31" t="str">
        <f>IF(csv!F228="","",csv!F228)</f>
        <v>Nina</v>
      </c>
      <c r="E238" s="31" t="str">
        <f>IF(csv!E228="","",csv!E228)</f>
        <v>Mioković</v>
      </c>
      <c r="F238" s="31" t="s">
        <v>0</v>
      </c>
      <c r="G238" s="73" t="str">
        <f>IF(csv!M228="","",csv!M228)</f>
        <v>87:18</v>
      </c>
      <c r="H238" s="73" t="str">
        <f>IF(csv!N228="","",csv!N228)</f>
        <v>0</v>
      </c>
      <c r="I238" s="31" t="s">
        <v>0</v>
      </c>
      <c r="J238" s="31" t="str">
        <f>IF(csv!P228="","",csv!P228)</f>
        <v>KAP</v>
      </c>
      <c r="K238" s="31" t="str">
        <f>IF(csv!Q228="","",csv!Q228)</f>
        <v>OK Kapela</v>
      </c>
      <c r="L238" s="31" t="s">
        <v>0</v>
      </c>
      <c r="M238" s="66" t="str">
        <f>IF(csv!R228="","",csv!R228)</f>
        <v>CRO</v>
      </c>
      <c r="N238" s="47" t="s">
        <v>0</v>
      </c>
      <c r="O238" s="246" t="str">
        <f t="shared" si="308"/>
        <v>ok</v>
      </c>
      <c r="P238" s="47"/>
      <c r="Q238" s="52" t="str">
        <f t="shared" si="309"/>
        <v>Ž16</v>
      </c>
      <c r="R238" s="73">
        <f>IF(Q238="","",IF(COUNTIF(Q$12:Q237,Q238)=0,R237+1,R237))</f>
        <v>15</v>
      </c>
      <c r="S238" s="73">
        <f t="shared" si="310"/>
        <v>120</v>
      </c>
      <c r="T238" s="73">
        <f t="shared" si="273"/>
        <v>27</v>
      </c>
      <c r="U238" s="66" t="str">
        <f t="shared" si="274"/>
        <v>Ž21B – Ž16</v>
      </c>
      <c r="V238" s="47" t="s">
        <v>0</v>
      </c>
      <c r="W238" s="222" t="str">
        <f t="shared" si="275"/>
        <v>Ž16</v>
      </c>
      <c r="X238" s="223">
        <f t="shared" si="276"/>
        <v>37</v>
      </c>
      <c r="Y238" s="47" t="s">
        <v>0</v>
      </c>
      <c r="Z238" s="52" t="str">
        <f t="shared" si="311"/>
        <v>CRO</v>
      </c>
      <c r="AA238" s="73">
        <f t="shared" si="277"/>
        <v>1</v>
      </c>
      <c r="AB238" s="31" t="str">
        <f t="shared" si="312"/>
        <v/>
      </c>
      <c r="AC238" s="66" t="str">
        <f>IF(AB238="","",MAX(AC$12:AC237)+1)</f>
        <v/>
      </c>
      <c r="AD238" s="47" t="s">
        <v>0</v>
      </c>
      <c r="AE238" s="125"/>
      <c r="AF238" s="47" t="s">
        <v>0</v>
      </c>
      <c r="AG238" s="19" t="str">
        <f t="shared" si="313"/>
        <v/>
      </c>
      <c r="AH238" s="47" t="s">
        <v>0</v>
      </c>
      <c r="AI238" s="143" t="str">
        <f t="shared" si="314"/>
        <v>CRO</v>
      </c>
      <c r="AJ238" s="47"/>
      <c r="AK238" s="52" t="str">
        <f t="shared" si="315"/>
        <v>Nina</v>
      </c>
      <c r="AL238" s="31" t="str">
        <f t="shared" si="316"/>
        <v>Mioković</v>
      </c>
      <c r="AM238" s="73">
        <f t="shared" si="317"/>
        <v>1243</v>
      </c>
      <c r="AN238" s="73" t="str">
        <f t="shared" si="318"/>
        <v/>
      </c>
      <c r="AO238" s="31" t="str">
        <f t="shared" si="278"/>
        <v>Nina</v>
      </c>
      <c r="AP238" s="66" t="str">
        <f t="shared" si="279"/>
        <v>Mioković</v>
      </c>
      <c r="AQ238" s="47" t="s">
        <v>0</v>
      </c>
      <c r="AR238" s="82" t="str">
        <f t="shared" si="319"/>
        <v/>
      </c>
      <c r="AS238" s="47" t="s">
        <v>0</v>
      </c>
      <c r="AT238" s="19" t="str">
        <f t="shared" si="320"/>
        <v/>
      </c>
      <c r="AU238" s="47" t="s">
        <v>0</v>
      </c>
      <c r="AV238" s="103"/>
      <c r="AW238" s="105"/>
      <c r="AX238" s="47" t="s">
        <v>0</v>
      </c>
      <c r="AY238" s="259" t="str">
        <f t="shared" si="343"/>
        <v/>
      </c>
      <c r="AZ238" s="47" t="s">
        <v>0</v>
      </c>
      <c r="BA238" s="52" t="str">
        <f t="shared" si="280"/>
        <v/>
      </c>
      <c r="BB238" s="73" t="str">
        <f>IF(AV238&amp;AW238="","",MAX(BB$12:BB237)+1)</f>
        <v/>
      </c>
      <c r="BC238" s="272" t="str">
        <f t="shared" si="281"/>
        <v/>
      </c>
      <c r="BD238" s="53" t="str">
        <f>IF(AND(AM238="NEMA",AN238="NEMA",OR(AV238&amp;AW238="",BC238="NEMA")),MAX(BD$12:BD237)+1,"")</f>
        <v/>
      </c>
      <c r="BE238" s="47" t="s">
        <v>0</v>
      </c>
      <c r="BF238" s="52" t="str">
        <f t="shared" si="321"/>
        <v>Nina</v>
      </c>
      <c r="BG238" s="66" t="str">
        <f t="shared" si="322"/>
        <v>Mioković</v>
      </c>
      <c r="BH238" s="47" t="s">
        <v>0</v>
      </c>
      <c r="BI238" s="52" t="str">
        <f t="shared" si="282"/>
        <v>KAP</v>
      </c>
      <c r="BJ238" s="31" t="str">
        <f t="shared" si="283"/>
        <v>OK Kapela</v>
      </c>
      <c r="BK238" s="73" t="str">
        <f t="shared" si="284"/>
        <v/>
      </c>
      <c r="BL238" s="31" t="str" cm="1">
        <f t="array" ref="BL238">IF(BK238="",""&amp;BJ238,IF(BK238="NEMA",BJ238,INDEX(regKlub_naziv,MATCH(INDEX(regKlub_alias_klubId,BK238),regKlub_id,0))))</f>
        <v>OK Kapela</v>
      </c>
      <c r="BM238" s="31" t="str" cm="1">
        <f t="array" ref="BM238">IFERROR(""&amp;INDEX(regNatjecatelj_klub,DV238),"")</f>
        <v>OK Kapela</v>
      </c>
      <c r="BN238" s="88" t="str">
        <f t="shared" si="323"/>
        <v/>
      </c>
      <c r="BO238" s="66" t="str">
        <f t="shared" si="324"/>
        <v>OK Kapela</v>
      </c>
      <c r="BP238" s="47" t="s">
        <v>0</v>
      </c>
      <c r="BQ238" s="52" t="str">
        <f>IF(X238&lt;&gt;"NEMA","",IF(IFERROR(MATCH(W238,W$12:W237,0),0)&lt;&gt;0,"",W238))</f>
        <v/>
      </c>
      <c r="BR238" s="73" t="str">
        <f t="shared" si="325"/>
        <v/>
      </c>
      <c r="BS238" s="31" t="str">
        <f>IF(OR(BR238="",BR238&lt;&gt;"NEMA"),"",MAX(BS$12:BS237)+1)</f>
        <v/>
      </c>
      <c r="BT238" s="66" t="str">
        <f t="shared" si="326"/>
        <v/>
      </c>
      <c r="BU238" s="47" t="s">
        <v>0</v>
      </c>
      <c r="BV238" s="19" t="str">
        <f t="shared" si="327"/>
        <v/>
      </c>
      <c r="BW238" s="47" t="s">
        <v>0</v>
      </c>
      <c r="BX238" s="82" t="str">
        <f>IF(BK238&lt;&gt;"NEMA","",IF(IFERROR(MATCH(BJ238,BJ$12:BJ237,0),0)&lt;&gt;0,"",BJ238))</f>
        <v/>
      </c>
      <c r="BY238" s="47" t="s">
        <v>0</v>
      </c>
      <c r="BZ238" s="125"/>
      <c r="CA238" s="47" t="s">
        <v>0</v>
      </c>
      <c r="CB238" s="58" t="str">
        <f t="shared" si="328"/>
        <v/>
      </c>
      <c r="CC238" s="31" t="str">
        <f t="shared" si="329"/>
        <v/>
      </c>
      <c r="CD238" s="31" t="str">
        <f>IF(CC238="","",MAX(CD$12:CD237)+1)</f>
        <v/>
      </c>
      <c r="CE238" s="31" t="str">
        <f t="shared" si="285"/>
        <v/>
      </c>
      <c r="CF238" s="31" t="str">
        <f t="shared" si="330"/>
        <v/>
      </c>
      <c r="CG238" s="31" t="str">
        <f>IF(BZ238="","",MAX(CG$12:CG237)+1)</f>
        <v/>
      </c>
      <c r="CH238" s="31" t="str">
        <f t="shared" si="331"/>
        <v/>
      </c>
      <c r="CI238" s="66" t="str">
        <f t="shared" si="332"/>
        <v/>
      </c>
      <c r="CJ238" s="47" t="s">
        <v>0</v>
      </c>
      <c r="CK238" s="73" t="str">
        <f t="shared" si="286"/>
        <v/>
      </c>
      <c r="CL238" s="47"/>
      <c r="CM238" s="19" t="str">
        <f t="shared" si="333"/>
        <v/>
      </c>
      <c r="CN238" s="47" t="s">
        <v>0</v>
      </c>
      <c r="CO238" s="143" t="str">
        <f t="shared" si="334"/>
        <v>OK Kapela</v>
      </c>
      <c r="CP238" s="47" t="s">
        <v>0</v>
      </c>
      <c r="CQ238" s="58" t="str">
        <f t="shared" si="350"/>
        <v>87:18</v>
      </c>
      <c r="CR238" s="73" t="str">
        <f t="shared" si="351"/>
        <v>0</v>
      </c>
      <c r="CS238" s="229" t="str">
        <f t="shared" si="287"/>
        <v/>
      </c>
      <c r="CT238" s="230">
        <f t="shared" si="272"/>
        <v>5238</v>
      </c>
      <c r="CU238" s="163">
        <f t="shared" si="288"/>
        <v>1</v>
      </c>
      <c r="CV238" s="47" t="s">
        <v>0</v>
      </c>
      <c r="CW238" s="222" t="str">
        <f t="shared" si="335"/>
        <v xml:space="preserve">
</v>
      </c>
      <c r="CX238" s="223">
        <f t="shared" si="336"/>
        <v>6</v>
      </c>
      <c r="CY238" s="47" t="s">
        <v>0</v>
      </c>
      <c r="CZ238" s="47"/>
      <c r="DA238" s="47"/>
      <c r="DB238" s="47"/>
      <c r="DC238" s="47" t="s">
        <v>0</v>
      </c>
      <c r="DD238" s="53" t="str">
        <f t="shared" si="344"/>
        <v/>
      </c>
      <c r="DE238" t="s">
        <v>0</v>
      </c>
      <c r="DF238" s="128" t="str">
        <f t="shared" si="345"/>
        <v>Ž</v>
      </c>
      <c r="DG238" t="s">
        <v>0</v>
      </c>
      <c r="DH238" s="52" t="str">
        <f t="shared" si="346"/>
        <v/>
      </c>
      <c r="DI238" s="66" t="str">
        <f t="shared" si="347"/>
        <v/>
      </c>
      <c r="DJ238" t="s">
        <v>0</v>
      </c>
      <c r="DK238" s="19" t="str">
        <f t="shared" si="348"/>
        <v/>
      </c>
      <c r="DL238" s="47" t="s">
        <v>0</v>
      </c>
      <c r="DM238" s="19" t="str">
        <f t="shared" si="349"/>
        <v/>
      </c>
      <c r="DN238" s="47" t="s">
        <v>0</v>
      </c>
      <c r="DO238" s="52" t="str">
        <f t="shared" si="289"/>
        <v>Nina – Mioković – OK Kapela – Ž16</v>
      </c>
      <c r="DP238" s="53">
        <f t="shared" si="290"/>
        <v>286</v>
      </c>
      <c r="DQ238" s="47" t="s">
        <v>0</v>
      </c>
      <c r="DR238" s="52" t="str">
        <f t="shared" si="291"/>
        <v>Nina – Mioković – OK Kapela</v>
      </c>
      <c r="DS238" s="53">
        <f t="shared" si="292"/>
        <v>286</v>
      </c>
      <c r="DT238" s="47" t="s">
        <v>0</v>
      </c>
      <c r="DU238" s="52" t="str">
        <f t="shared" si="293"/>
        <v>Nina – Mioković</v>
      </c>
      <c r="DV238" s="53">
        <f t="shared" si="294"/>
        <v>286</v>
      </c>
      <c r="DW238" s="47" t="s">
        <v>0</v>
      </c>
      <c r="DX238" s="58">
        <f t="shared" si="337"/>
        <v>286</v>
      </c>
      <c r="DY238" s="53" cm="1">
        <f t="array" ref="DY238">IF(DX238&lt;&gt;"",INDEX(regNatjecatelj_id,DX238,0),IF(BD238&lt;&gt;"",BD238,""))</f>
        <v>1243</v>
      </c>
      <c r="DZ238" s="47" t="s">
        <v>0</v>
      </c>
      <c r="EA238" s="58" t="str">
        <f t="shared" si="295"/>
        <v>imepre</v>
      </c>
      <c r="EB238" s="73" t="str">
        <f t="shared" si="296"/>
        <v>klu</v>
      </c>
      <c r="EC238" s="73" t="str">
        <f t="shared" si="297"/>
        <v>kat</v>
      </c>
      <c r="ED238" s="73" t="str">
        <f t="shared" si="298"/>
        <v/>
      </c>
      <c r="EE238" s="66" t="str">
        <f t="shared" si="299"/>
        <v>imepre-klu-kat</v>
      </c>
      <c r="EF238" s="47" t="s">
        <v>0</v>
      </c>
      <c r="EG238" s="58">
        <f>IF(AL238="","",MAX(EG$12:EG237)+1)</f>
        <v>395</v>
      </c>
      <c r="EH238" s="73">
        <f t="shared" si="300"/>
        <v>37</v>
      </c>
      <c r="EI238" s="73">
        <f t="shared" si="338"/>
        <v>1243</v>
      </c>
      <c r="EJ238" s="73">
        <f t="shared" si="301"/>
        <v>5238</v>
      </c>
      <c r="EK238" s="73">
        <f t="shared" si="302"/>
        <v>1</v>
      </c>
      <c r="EL238" s="73">
        <f t="shared" si="339"/>
        <v>1</v>
      </c>
      <c r="EM238" s="73">
        <f t="shared" si="340"/>
        <v>1</v>
      </c>
      <c r="EN238" s="73" t="str">
        <f t="shared" si="303"/>
        <v>0</v>
      </c>
      <c r="EO238" s="73" t="str">
        <f t="shared" si="304"/>
        <v/>
      </c>
      <c r="EP238" s="73" t="str">
        <f t="shared" si="305"/>
        <v/>
      </c>
      <c r="EQ238" s="53" t="str">
        <f t="shared" si="306"/>
        <v/>
      </c>
      <c r="ER238" s="47" t="s">
        <v>0</v>
      </c>
      <c r="ES238" s="19" t="str">
        <f t="shared" si="341"/>
        <v>INSERT INTO rezultat(id,stazakategorija_id,imeprezime_id,vrijeme_sec,status_id,registracija,uparivanje_id,originalstatus_id,imeprezimealias_id,klubalias_id,kategorijaalias_id) VALUES (395,37,1243,5238,1,1,1,0,Null,Null,Null);</v>
      </c>
      <c r="ET238" s="47" t="s">
        <v>0</v>
      </c>
      <c r="EU238" s="19" t="str">
        <f t="shared" si="342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8" s="47" t="s">
        <v>0</v>
      </c>
      <c r="EW238" s="180" t="str">
        <f t="shared" si="307"/>
        <v xml:space="preserve">
INSERT INTO rezultat(id,stazakategorija_id,imeprezime_id,vrijeme_sec,status_id,registracija,uparivanje_id,originalstatus_id,imeprezimealias_id,klubalias_id,kategorijaalias_id) VALUES (395,37,1243,5238,1,1,1,0,Null,Null,Null);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8" s="47" t="s">
        <v>0</v>
      </c>
    </row>
    <row r="239" spans="1:154" x14ac:dyDescent="0.25">
      <c r="A239" t="s">
        <v>0</v>
      </c>
      <c r="B239" s="52" t="str">
        <f>IF(csv!F229="","",csv!T229)</f>
        <v>Ž16</v>
      </c>
      <c r="C239" s="31" t="s">
        <v>0</v>
      </c>
      <c r="D239" s="31" t="str">
        <f>IF(csv!F229="","",csv!F229)</f>
        <v>Lucija Marijela</v>
      </c>
      <c r="E239" s="31" t="str">
        <f>IF(csv!E229="","",csv!E229)</f>
        <v>Štambuk</v>
      </c>
      <c r="F239" s="31" t="s">
        <v>0</v>
      </c>
      <c r="G239" s="73" t="str">
        <f>IF(csv!M229="","",csv!M229)</f>
        <v>99:01</v>
      </c>
      <c r="H239" s="73" t="str">
        <f>IF(csv!N229="","",csv!N229)</f>
        <v>0</v>
      </c>
      <c r="I239" s="31" t="s">
        <v>0</v>
      </c>
      <c r="J239" s="31" t="str">
        <f>IF(csv!P229="","",csv!P229)</f>
        <v>OK MERZ CRO</v>
      </c>
      <c r="K239" s="31" t="str">
        <f>IF(csv!Q229="","",csv!Q229)</f>
        <v>OK Ivan Merz</v>
      </c>
      <c r="L239" s="31" t="s">
        <v>0</v>
      </c>
      <c r="M239" s="66" t="str">
        <f>IF(csv!R229="","",csv!R229)</f>
        <v>CRO</v>
      </c>
      <c r="N239" s="47" t="s">
        <v>0</v>
      </c>
      <c r="O239" s="246" t="str">
        <f t="shared" si="308"/>
        <v>ok</v>
      </c>
      <c r="P239" s="47"/>
      <c r="Q239" s="52" t="str">
        <f t="shared" si="309"/>
        <v>Ž16</v>
      </c>
      <c r="R239" s="73">
        <f>IF(Q239="","",IF(COUNTIF(Q$12:Q238,Q239)=0,R238+1,R238))</f>
        <v>15</v>
      </c>
      <c r="S239" s="73">
        <f t="shared" si="310"/>
        <v>120</v>
      </c>
      <c r="T239" s="73">
        <f t="shared" si="273"/>
        <v>27</v>
      </c>
      <c r="U239" s="66" t="str">
        <f t="shared" si="274"/>
        <v>Ž21B – Ž16</v>
      </c>
      <c r="V239" s="47" t="s">
        <v>0</v>
      </c>
      <c r="W239" s="222" t="str">
        <f t="shared" si="275"/>
        <v>Ž16</v>
      </c>
      <c r="X239" s="223">
        <f t="shared" si="276"/>
        <v>37</v>
      </c>
      <c r="Y239" s="47" t="s">
        <v>0</v>
      </c>
      <c r="Z239" s="52" t="str">
        <f t="shared" si="311"/>
        <v>CRO</v>
      </c>
      <c r="AA239" s="73">
        <f t="shared" si="277"/>
        <v>1</v>
      </c>
      <c r="AB239" s="31" t="str">
        <f t="shared" si="312"/>
        <v/>
      </c>
      <c r="AC239" s="66" t="str">
        <f>IF(AB239="","",MAX(AC$12:AC238)+1)</f>
        <v/>
      </c>
      <c r="AD239" s="47" t="s">
        <v>0</v>
      </c>
      <c r="AE239" s="125"/>
      <c r="AF239" s="47" t="s">
        <v>0</v>
      </c>
      <c r="AG239" s="19" t="str">
        <f t="shared" si="313"/>
        <v/>
      </c>
      <c r="AH239" s="47" t="s">
        <v>0</v>
      </c>
      <c r="AI239" s="143" t="str">
        <f t="shared" si="314"/>
        <v>CRO</v>
      </c>
      <c r="AJ239" s="47"/>
      <c r="AK239" s="52" t="str">
        <f t="shared" si="315"/>
        <v>Lucija Marijela</v>
      </c>
      <c r="AL239" s="31" t="str">
        <f t="shared" si="316"/>
        <v>Štambuk</v>
      </c>
      <c r="AM239" s="73">
        <f t="shared" si="317"/>
        <v>1493</v>
      </c>
      <c r="AN239" s="73" t="str">
        <f t="shared" si="318"/>
        <v/>
      </c>
      <c r="AO239" s="31" t="str">
        <f t="shared" si="278"/>
        <v>Lucija Marijela</v>
      </c>
      <c r="AP239" s="66" t="str">
        <f t="shared" si="279"/>
        <v>Štambuk</v>
      </c>
      <c r="AQ239" s="47" t="s">
        <v>0</v>
      </c>
      <c r="AR239" s="82" t="str">
        <f t="shared" si="319"/>
        <v/>
      </c>
      <c r="AS239" s="47" t="s">
        <v>0</v>
      </c>
      <c r="AT239" s="19" t="str">
        <f t="shared" si="320"/>
        <v/>
      </c>
      <c r="AU239" s="47" t="s">
        <v>0</v>
      </c>
      <c r="AV239" s="103"/>
      <c r="AW239" s="105"/>
      <c r="AX239" s="47" t="s">
        <v>0</v>
      </c>
      <c r="AY239" s="259" t="str">
        <f t="shared" si="343"/>
        <v/>
      </c>
      <c r="AZ239" s="47" t="s">
        <v>0</v>
      </c>
      <c r="BA239" s="52" t="str">
        <f t="shared" si="280"/>
        <v/>
      </c>
      <c r="BB239" s="73" t="str">
        <f>IF(AV239&amp;AW239="","",MAX(BB$12:BB238)+1)</f>
        <v/>
      </c>
      <c r="BC239" s="272" t="str">
        <f t="shared" si="281"/>
        <v/>
      </c>
      <c r="BD239" s="53" t="str">
        <f>IF(AND(AM239="NEMA",AN239="NEMA",OR(AV239&amp;AW239="",BC239="NEMA")),MAX(BD$12:BD238)+1,"")</f>
        <v/>
      </c>
      <c r="BE239" s="47" t="s">
        <v>0</v>
      </c>
      <c r="BF239" s="52" t="str">
        <f t="shared" si="321"/>
        <v>Lucija Marijela</v>
      </c>
      <c r="BG239" s="66" t="str">
        <f t="shared" si="322"/>
        <v>Štambuk</v>
      </c>
      <c r="BH239" s="47" t="s">
        <v>0</v>
      </c>
      <c r="BI239" s="52" t="str">
        <f t="shared" si="282"/>
        <v>OK MERZ CRO</v>
      </c>
      <c r="BJ239" s="31" t="str">
        <f t="shared" si="283"/>
        <v>OK Ivan Merz</v>
      </c>
      <c r="BK239" s="73" t="str">
        <f t="shared" si="284"/>
        <v/>
      </c>
      <c r="BL239" s="31" t="str" cm="1">
        <f t="array" ref="BL239">IF(BK239="",""&amp;BJ239,IF(BK239="NEMA",BJ239,INDEX(regKlub_naziv,MATCH(INDEX(regKlub_alias_klubId,BK239),regKlub_id,0))))</f>
        <v>OK Ivan Merz</v>
      </c>
      <c r="BM239" s="31" t="str" cm="1">
        <f t="array" ref="BM239">IFERROR(""&amp;INDEX(regNatjecatelj_klub,DV239),"")</f>
        <v>OK Ivan Merz</v>
      </c>
      <c r="BN239" s="88" t="str">
        <f t="shared" si="323"/>
        <v/>
      </c>
      <c r="BO239" s="66" t="str">
        <f t="shared" si="324"/>
        <v>OK Ivan Merz</v>
      </c>
      <c r="BP239" s="47" t="s">
        <v>0</v>
      </c>
      <c r="BQ239" s="52" t="str">
        <f>IF(X239&lt;&gt;"NEMA","",IF(IFERROR(MATCH(W239,W$12:W238,0),0)&lt;&gt;0,"",W239))</f>
        <v/>
      </c>
      <c r="BR239" s="73" t="str">
        <f t="shared" si="325"/>
        <v/>
      </c>
      <c r="BS239" s="31" t="str">
        <f>IF(OR(BR239="",BR239&lt;&gt;"NEMA"),"",MAX(BS$12:BS238)+1)</f>
        <v/>
      </c>
      <c r="BT239" s="66" t="str">
        <f t="shared" si="326"/>
        <v/>
      </c>
      <c r="BU239" s="47" t="s">
        <v>0</v>
      </c>
      <c r="BV239" s="19" t="str">
        <f t="shared" si="327"/>
        <v/>
      </c>
      <c r="BW239" s="47" t="s">
        <v>0</v>
      </c>
      <c r="BX239" s="82" t="str">
        <f>IF(BK239&lt;&gt;"NEMA","",IF(IFERROR(MATCH(BJ239,BJ$12:BJ238,0),0)&lt;&gt;0,"",BJ239))</f>
        <v/>
      </c>
      <c r="BY239" s="47" t="s">
        <v>0</v>
      </c>
      <c r="BZ239" s="125"/>
      <c r="CA239" s="47" t="s">
        <v>0</v>
      </c>
      <c r="CB239" s="58" t="str">
        <f t="shared" si="328"/>
        <v/>
      </c>
      <c r="CC239" s="31" t="str">
        <f t="shared" si="329"/>
        <v/>
      </c>
      <c r="CD239" s="31" t="str">
        <f>IF(CC239="","",MAX(CD$12:CD238)+1)</f>
        <v/>
      </c>
      <c r="CE239" s="31" t="str">
        <f t="shared" si="285"/>
        <v/>
      </c>
      <c r="CF239" s="31" t="str">
        <f t="shared" si="330"/>
        <v/>
      </c>
      <c r="CG239" s="31" t="str">
        <f>IF(BZ239="","",MAX(CG$12:CG238)+1)</f>
        <v/>
      </c>
      <c r="CH239" s="31" t="str">
        <f t="shared" si="331"/>
        <v/>
      </c>
      <c r="CI239" s="66" t="str">
        <f t="shared" si="332"/>
        <v/>
      </c>
      <c r="CJ239" s="47" t="s">
        <v>0</v>
      </c>
      <c r="CK239" s="73" t="str">
        <f t="shared" si="286"/>
        <v/>
      </c>
      <c r="CL239" s="47"/>
      <c r="CM239" s="19" t="str">
        <f t="shared" si="333"/>
        <v/>
      </c>
      <c r="CN239" s="47" t="s">
        <v>0</v>
      </c>
      <c r="CO239" s="143" t="str">
        <f t="shared" si="334"/>
        <v>OK Ivan Merz</v>
      </c>
      <c r="CP239" s="47" t="s">
        <v>0</v>
      </c>
      <c r="CQ239" s="58" t="str">
        <f t="shared" si="350"/>
        <v>99:01</v>
      </c>
      <c r="CR239" s="73" t="str">
        <f t="shared" si="351"/>
        <v>0</v>
      </c>
      <c r="CS239" s="229" t="str">
        <f t="shared" si="287"/>
        <v/>
      </c>
      <c r="CT239" s="230">
        <f t="shared" si="272"/>
        <v>5941</v>
      </c>
      <c r="CU239" s="163">
        <f t="shared" si="288"/>
        <v>1</v>
      </c>
      <c r="CV239" s="47" t="s">
        <v>0</v>
      </c>
      <c r="CW239" s="222" t="str">
        <f t="shared" si="335"/>
        <v xml:space="preserve">
</v>
      </c>
      <c r="CX239" s="223">
        <f t="shared" si="336"/>
        <v>6</v>
      </c>
      <c r="CY239" s="47" t="s">
        <v>0</v>
      </c>
      <c r="CZ239" s="47"/>
      <c r="DA239" s="47"/>
      <c r="DB239" s="47"/>
      <c r="DC239" s="47" t="s">
        <v>0</v>
      </c>
      <c r="DD239" s="53" t="str">
        <f t="shared" si="344"/>
        <v/>
      </c>
      <c r="DE239" t="s">
        <v>0</v>
      </c>
      <c r="DF239" s="128" t="str">
        <f t="shared" si="345"/>
        <v>Ž</v>
      </c>
      <c r="DG239" t="s">
        <v>0</v>
      </c>
      <c r="DH239" s="52" t="str">
        <f t="shared" si="346"/>
        <v/>
      </c>
      <c r="DI239" s="66" t="str">
        <f t="shared" si="347"/>
        <v/>
      </c>
      <c r="DJ239" t="s">
        <v>0</v>
      </c>
      <c r="DK239" s="19" t="str">
        <f t="shared" si="348"/>
        <v/>
      </c>
      <c r="DL239" s="47" t="s">
        <v>0</v>
      </c>
      <c r="DM239" s="19" t="str">
        <f t="shared" si="349"/>
        <v/>
      </c>
      <c r="DN239" s="47" t="s">
        <v>0</v>
      </c>
      <c r="DO239" s="52" t="str">
        <f t="shared" si="289"/>
        <v>Lucija Marijela – Štambuk – OK Ivan Merz – Ž16</v>
      </c>
      <c r="DP239" s="53">
        <f t="shared" si="290"/>
        <v>68</v>
      </c>
      <c r="DQ239" s="47" t="s">
        <v>0</v>
      </c>
      <c r="DR239" s="52" t="str">
        <f t="shared" si="291"/>
        <v>Lucija Marijela – Štambuk – OK Ivan Merz</v>
      </c>
      <c r="DS239" s="53">
        <f t="shared" si="292"/>
        <v>68</v>
      </c>
      <c r="DT239" s="47" t="s">
        <v>0</v>
      </c>
      <c r="DU239" s="52" t="str">
        <f t="shared" si="293"/>
        <v>Lucija Marijela – Štambuk</v>
      </c>
      <c r="DV239" s="53">
        <f t="shared" si="294"/>
        <v>68</v>
      </c>
      <c r="DW239" s="47" t="s">
        <v>0</v>
      </c>
      <c r="DX239" s="58">
        <f t="shared" si="337"/>
        <v>68</v>
      </c>
      <c r="DY239" s="53" cm="1">
        <f t="array" ref="DY239">IF(DX239&lt;&gt;"",INDEX(regNatjecatelj_id,DX239,0),IF(BD239&lt;&gt;"",BD239,""))</f>
        <v>1493</v>
      </c>
      <c r="DZ239" s="47" t="s">
        <v>0</v>
      </c>
      <c r="EA239" s="58" t="str">
        <f t="shared" si="295"/>
        <v>imepre</v>
      </c>
      <c r="EB239" s="73" t="str">
        <f t="shared" si="296"/>
        <v>klu</v>
      </c>
      <c r="EC239" s="73" t="str">
        <f t="shared" si="297"/>
        <v>kat</v>
      </c>
      <c r="ED239" s="73" t="str">
        <f t="shared" si="298"/>
        <v/>
      </c>
      <c r="EE239" s="66" t="str">
        <f t="shared" si="299"/>
        <v>imepre-klu-kat</v>
      </c>
      <c r="EF239" s="47" t="s">
        <v>0</v>
      </c>
      <c r="EG239" s="58">
        <f>IF(AL239="","",MAX(EG$12:EG238)+1)</f>
        <v>396</v>
      </c>
      <c r="EH239" s="73">
        <f t="shared" si="300"/>
        <v>37</v>
      </c>
      <c r="EI239" s="73">
        <f t="shared" si="338"/>
        <v>1493</v>
      </c>
      <c r="EJ239" s="73">
        <f t="shared" si="301"/>
        <v>5941</v>
      </c>
      <c r="EK239" s="73">
        <f t="shared" si="302"/>
        <v>1</v>
      </c>
      <c r="EL239" s="73">
        <f t="shared" si="339"/>
        <v>1</v>
      </c>
      <c r="EM239" s="73">
        <f t="shared" si="340"/>
        <v>1</v>
      </c>
      <c r="EN239" s="73" t="str">
        <f t="shared" si="303"/>
        <v>0</v>
      </c>
      <c r="EO239" s="73" t="str">
        <f t="shared" si="304"/>
        <v/>
      </c>
      <c r="EP239" s="73" t="str">
        <f t="shared" si="305"/>
        <v/>
      </c>
      <c r="EQ239" s="53" t="str">
        <f t="shared" si="306"/>
        <v/>
      </c>
      <c r="ER239" s="47" t="s">
        <v>0</v>
      </c>
      <c r="ES239" s="19" t="str">
        <f t="shared" si="341"/>
        <v>INSERT INTO rezultat(id,stazakategorija_id,imeprezime_id,vrijeme_sec,status_id,registracija,uparivanje_id,originalstatus_id,imeprezimealias_id,klubalias_id,kategorijaalias_id) VALUES (396,37,1493,5941,1,1,1,0,Null,Null,Null);</v>
      </c>
      <c r="ET239" s="47" t="s">
        <v>0</v>
      </c>
      <c r="EU239" s="19" t="str">
        <f t="shared" si="342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9" s="47" t="s">
        <v>0</v>
      </c>
      <c r="EW239" s="180" t="str">
        <f t="shared" si="307"/>
        <v xml:space="preserve">
INSERT INTO rezultat(id,stazakategorija_id,imeprezime_id,vrijeme_sec,status_id,registracija,uparivanje_id,originalstatus_id,imeprezimealias_id,klubalias_id,kategorijaalias_id) VALUES (396,37,1493,5941,1,1,1,0,Null,Null,Null);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9" s="47" t="s">
        <v>0</v>
      </c>
    </row>
    <row r="240" spans="1:154" x14ac:dyDescent="0.25">
      <c r="A240" t="s">
        <v>0</v>
      </c>
      <c r="B240" s="52" t="str">
        <f>IF(csv!F230="","",csv!T230)</f>
        <v>Ž16</v>
      </c>
      <c r="C240" s="31" t="s">
        <v>0</v>
      </c>
      <c r="D240" s="31" t="str">
        <f>IF(csv!F230="","",csv!F230)</f>
        <v>Jelena</v>
      </c>
      <c r="E240" s="31" t="str">
        <f>IF(csv!E230="","",csv!E230)</f>
        <v>Gojmerac</v>
      </c>
      <c r="F240" s="31" t="s">
        <v>0</v>
      </c>
      <c r="G240" s="73" t="str">
        <f>IF(csv!M230="","",csv!M230)</f>
        <v>62:55</v>
      </c>
      <c r="H240" s="73" t="str">
        <f>IF(csv!N230="","",csv!N230)</f>
        <v>3</v>
      </c>
      <c r="I240" s="31" t="s">
        <v>0</v>
      </c>
      <c r="J240" s="31" t="str">
        <f>IF(csv!P230="","",csv!P230)</f>
        <v>OK MERZ CRO</v>
      </c>
      <c r="K240" s="31" t="str">
        <f>IF(csv!Q230="","",csv!Q230)</f>
        <v>OK Ivan Merz</v>
      </c>
      <c r="L240" s="31" t="s">
        <v>0</v>
      </c>
      <c r="M240" s="66" t="str">
        <f>IF(csv!R230="","",csv!R230)</f>
        <v>CRO</v>
      </c>
      <c r="N240" s="47" t="s">
        <v>0</v>
      </c>
      <c r="O240" s="246" t="str">
        <f t="shared" si="308"/>
        <v>ok</v>
      </c>
      <c r="P240" s="47"/>
      <c r="Q240" s="52" t="str">
        <f t="shared" si="309"/>
        <v>Ž16</v>
      </c>
      <c r="R240" s="73">
        <f>IF(Q240="","",IF(COUNTIF(Q$12:Q239,Q240)=0,R239+1,R239))</f>
        <v>15</v>
      </c>
      <c r="S240" s="73">
        <f t="shared" si="310"/>
        <v>120</v>
      </c>
      <c r="T240" s="73">
        <f t="shared" si="273"/>
        <v>27</v>
      </c>
      <c r="U240" s="66" t="str">
        <f t="shared" si="274"/>
        <v>Ž21B – Ž16</v>
      </c>
      <c r="V240" s="47" t="s">
        <v>0</v>
      </c>
      <c r="W240" s="222" t="str">
        <f t="shared" si="275"/>
        <v>Ž16</v>
      </c>
      <c r="X240" s="223">
        <f t="shared" si="276"/>
        <v>37</v>
      </c>
      <c r="Y240" s="47" t="s">
        <v>0</v>
      </c>
      <c r="Z240" s="52" t="str">
        <f t="shared" si="311"/>
        <v>CRO</v>
      </c>
      <c r="AA240" s="73">
        <f t="shared" si="277"/>
        <v>1</v>
      </c>
      <c r="AB240" s="31" t="str">
        <f t="shared" si="312"/>
        <v/>
      </c>
      <c r="AC240" s="66" t="str">
        <f>IF(AB240="","",MAX(AC$12:AC239)+1)</f>
        <v/>
      </c>
      <c r="AD240" s="47" t="s">
        <v>0</v>
      </c>
      <c r="AE240" s="125"/>
      <c r="AF240" s="47" t="s">
        <v>0</v>
      </c>
      <c r="AG240" s="19" t="str">
        <f t="shared" si="313"/>
        <v/>
      </c>
      <c r="AH240" s="47" t="s">
        <v>0</v>
      </c>
      <c r="AI240" s="143" t="str">
        <f t="shared" si="314"/>
        <v>CRO</v>
      </c>
      <c r="AJ240" s="47"/>
      <c r="AK240" s="52" t="str">
        <f t="shared" si="315"/>
        <v>Jelena</v>
      </c>
      <c r="AL240" s="31" t="str">
        <f t="shared" si="316"/>
        <v>Gojmerac</v>
      </c>
      <c r="AM240" s="73">
        <f t="shared" si="317"/>
        <v>1435</v>
      </c>
      <c r="AN240" s="73" t="str">
        <f t="shared" si="318"/>
        <v/>
      </c>
      <c r="AO240" s="31" t="str">
        <f t="shared" si="278"/>
        <v>Jelena</v>
      </c>
      <c r="AP240" s="66" t="str">
        <f t="shared" si="279"/>
        <v>Gojmerac</v>
      </c>
      <c r="AQ240" s="47" t="s">
        <v>0</v>
      </c>
      <c r="AR240" s="82" t="str">
        <f t="shared" si="319"/>
        <v/>
      </c>
      <c r="AS240" s="47" t="s">
        <v>0</v>
      </c>
      <c r="AT240" s="19" t="str">
        <f t="shared" si="320"/>
        <v/>
      </c>
      <c r="AU240" s="47" t="s">
        <v>0</v>
      </c>
      <c r="AV240" s="103"/>
      <c r="AW240" s="105"/>
      <c r="AX240" s="47" t="s">
        <v>0</v>
      </c>
      <c r="AY240" s="259" t="str">
        <f t="shared" si="343"/>
        <v/>
      </c>
      <c r="AZ240" s="47" t="s">
        <v>0</v>
      </c>
      <c r="BA240" s="52" t="str">
        <f t="shared" si="280"/>
        <v/>
      </c>
      <c r="BB240" s="73" t="str">
        <f>IF(AV240&amp;AW240="","",MAX(BB$12:BB239)+1)</f>
        <v/>
      </c>
      <c r="BC240" s="272" t="str">
        <f t="shared" si="281"/>
        <v/>
      </c>
      <c r="BD240" s="53" t="str">
        <f>IF(AND(AM240="NEMA",AN240="NEMA",OR(AV240&amp;AW240="",BC240="NEMA")),MAX(BD$12:BD239)+1,"")</f>
        <v/>
      </c>
      <c r="BE240" s="47" t="s">
        <v>0</v>
      </c>
      <c r="BF240" s="52" t="str">
        <f t="shared" si="321"/>
        <v>Jelena</v>
      </c>
      <c r="BG240" s="66" t="str">
        <f t="shared" si="322"/>
        <v>Gojmerac</v>
      </c>
      <c r="BH240" s="47" t="s">
        <v>0</v>
      </c>
      <c r="BI240" s="52" t="str">
        <f t="shared" si="282"/>
        <v>OK MERZ CRO</v>
      </c>
      <c r="BJ240" s="31" t="str">
        <f t="shared" si="283"/>
        <v>OK Ivan Merz</v>
      </c>
      <c r="BK240" s="73" t="str">
        <f t="shared" si="284"/>
        <v/>
      </c>
      <c r="BL240" s="31" t="str" cm="1">
        <f t="array" ref="BL240">IF(BK240="",""&amp;BJ240,IF(BK240="NEMA",BJ240,INDEX(regKlub_naziv,MATCH(INDEX(regKlub_alias_klubId,BK240),regKlub_id,0))))</f>
        <v>OK Ivan Merz</v>
      </c>
      <c r="BM240" s="31" t="str" cm="1">
        <f t="array" ref="BM240">IFERROR(""&amp;INDEX(regNatjecatelj_klub,DV240),"")</f>
        <v>OK Ivan Merz</v>
      </c>
      <c r="BN240" s="88" t="str">
        <f t="shared" si="323"/>
        <v/>
      </c>
      <c r="BO240" s="66" t="str">
        <f t="shared" si="324"/>
        <v>OK Ivan Merz</v>
      </c>
      <c r="BP240" s="47" t="s">
        <v>0</v>
      </c>
      <c r="BQ240" s="52" t="str">
        <f>IF(X240&lt;&gt;"NEMA","",IF(IFERROR(MATCH(W240,W$12:W239,0),0)&lt;&gt;0,"",W240))</f>
        <v/>
      </c>
      <c r="BR240" s="73" t="str">
        <f t="shared" si="325"/>
        <v/>
      </c>
      <c r="BS240" s="31" t="str">
        <f>IF(OR(BR240="",BR240&lt;&gt;"NEMA"),"",MAX(BS$12:BS239)+1)</f>
        <v/>
      </c>
      <c r="BT240" s="66" t="str">
        <f t="shared" si="326"/>
        <v/>
      </c>
      <c r="BU240" s="47" t="s">
        <v>0</v>
      </c>
      <c r="BV240" s="19" t="str">
        <f t="shared" si="327"/>
        <v/>
      </c>
      <c r="BW240" s="47" t="s">
        <v>0</v>
      </c>
      <c r="BX240" s="82" t="str">
        <f>IF(BK240&lt;&gt;"NEMA","",IF(IFERROR(MATCH(BJ240,BJ$12:BJ239,0),0)&lt;&gt;0,"",BJ240))</f>
        <v/>
      </c>
      <c r="BY240" s="47" t="s">
        <v>0</v>
      </c>
      <c r="BZ240" s="125"/>
      <c r="CA240" s="47" t="s">
        <v>0</v>
      </c>
      <c r="CB240" s="58" t="str">
        <f t="shared" si="328"/>
        <v/>
      </c>
      <c r="CC240" s="31" t="str">
        <f t="shared" si="329"/>
        <v/>
      </c>
      <c r="CD240" s="31" t="str">
        <f>IF(CC240="","",MAX(CD$12:CD239)+1)</f>
        <v/>
      </c>
      <c r="CE240" s="31" t="str">
        <f t="shared" si="285"/>
        <v/>
      </c>
      <c r="CF240" s="31" t="str">
        <f t="shared" si="330"/>
        <v/>
      </c>
      <c r="CG240" s="31" t="str">
        <f>IF(BZ240="","",MAX(CG$12:CG239)+1)</f>
        <v/>
      </c>
      <c r="CH240" s="31" t="str">
        <f t="shared" si="331"/>
        <v/>
      </c>
      <c r="CI240" s="66" t="str">
        <f t="shared" si="332"/>
        <v/>
      </c>
      <c r="CJ240" s="47" t="s">
        <v>0</v>
      </c>
      <c r="CK240" s="73" t="str">
        <f t="shared" si="286"/>
        <v/>
      </c>
      <c r="CL240" s="47"/>
      <c r="CM240" s="19" t="str">
        <f t="shared" si="333"/>
        <v/>
      </c>
      <c r="CN240" s="47" t="s">
        <v>0</v>
      </c>
      <c r="CO240" s="143" t="str">
        <f t="shared" si="334"/>
        <v>OK Ivan Merz</v>
      </c>
      <c r="CP240" s="47" t="s">
        <v>0</v>
      </c>
      <c r="CQ240" s="58" t="str">
        <f t="shared" si="350"/>
        <v>62:55</v>
      </c>
      <c r="CR240" s="73" t="str">
        <f t="shared" si="351"/>
        <v>3</v>
      </c>
      <c r="CS240" s="229" t="str">
        <f t="shared" si="287"/>
        <v/>
      </c>
      <c r="CT240" s="230">
        <f t="shared" si="272"/>
        <v>3775</v>
      </c>
      <c r="CU240" s="163">
        <f t="shared" si="288"/>
        <v>3</v>
      </c>
      <c r="CV240" s="47" t="s">
        <v>0</v>
      </c>
      <c r="CW240" s="222" t="str">
        <f t="shared" si="335"/>
        <v xml:space="preserve">
</v>
      </c>
      <c r="CX240" s="223">
        <f t="shared" si="336"/>
        <v>3</v>
      </c>
      <c r="CY240" s="47" t="s">
        <v>0</v>
      </c>
      <c r="CZ240" s="47"/>
      <c r="DA240" s="47"/>
      <c r="DB240" s="47"/>
      <c r="DC240" s="47" t="s">
        <v>0</v>
      </c>
      <c r="DD240" s="53" t="str">
        <f t="shared" si="344"/>
        <v/>
      </c>
      <c r="DE240" t="s">
        <v>0</v>
      </c>
      <c r="DF240" s="128" t="str">
        <f t="shared" si="345"/>
        <v>Ž</v>
      </c>
      <c r="DG240" t="s">
        <v>0</v>
      </c>
      <c r="DH240" s="52" t="str">
        <f t="shared" si="346"/>
        <v/>
      </c>
      <c r="DI240" s="66" t="str">
        <f t="shared" si="347"/>
        <v/>
      </c>
      <c r="DJ240" t="s">
        <v>0</v>
      </c>
      <c r="DK240" s="19" t="str">
        <f t="shared" si="348"/>
        <v/>
      </c>
      <c r="DL240" s="47" t="s">
        <v>0</v>
      </c>
      <c r="DM240" s="19" t="str">
        <f t="shared" si="349"/>
        <v/>
      </c>
      <c r="DN240" s="47" t="s">
        <v>0</v>
      </c>
      <c r="DO240" s="52" t="str">
        <f t="shared" si="289"/>
        <v>Jelena – Gojmerac – OK Ivan Merz – Ž16</v>
      </c>
      <c r="DP240" s="53">
        <f t="shared" si="290"/>
        <v>40</v>
      </c>
      <c r="DQ240" s="47" t="s">
        <v>0</v>
      </c>
      <c r="DR240" s="52" t="str">
        <f t="shared" si="291"/>
        <v>Jelena – Gojmerac – OK Ivan Merz</v>
      </c>
      <c r="DS240" s="53">
        <f t="shared" si="292"/>
        <v>40</v>
      </c>
      <c r="DT240" s="47" t="s">
        <v>0</v>
      </c>
      <c r="DU240" s="52" t="str">
        <f t="shared" si="293"/>
        <v>Jelena – Gojmerac</v>
      </c>
      <c r="DV240" s="53">
        <f t="shared" si="294"/>
        <v>40</v>
      </c>
      <c r="DW240" s="47" t="s">
        <v>0</v>
      </c>
      <c r="DX240" s="58">
        <f t="shared" si="337"/>
        <v>40</v>
      </c>
      <c r="DY240" s="53" cm="1">
        <f t="array" ref="DY240">IF(DX240&lt;&gt;"",INDEX(regNatjecatelj_id,DX240,0),IF(BD240&lt;&gt;"",BD240,""))</f>
        <v>1435</v>
      </c>
      <c r="DZ240" s="47" t="s">
        <v>0</v>
      </c>
      <c r="EA240" s="58" t="str">
        <f t="shared" si="295"/>
        <v>imepre</v>
      </c>
      <c r="EB240" s="73" t="str">
        <f t="shared" si="296"/>
        <v>klu</v>
      </c>
      <c r="EC240" s="73" t="str">
        <f t="shared" si="297"/>
        <v>kat</v>
      </c>
      <c r="ED240" s="73" t="str">
        <f t="shared" si="298"/>
        <v/>
      </c>
      <c r="EE240" s="66" t="str">
        <f t="shared" si="299"/>
        <v>imepre-klu-kat</v>
      </c>
      <c r="EF240" s="47" t="s">
        <v>0</v>
      </c>
      <c r="EG240" s="58">
        <f>IF(AL240="","",MAX(EG$12:EG239)+1)</f>
        <v>397</v>
      </c>
      <c r="EH240" s="73">
        <f t="shared" si="300"/>
        <v>37</v>
      </c>
      <c r="EI240" s="73">
        <f t="shared" si="338"/>
        <v>1435</v>
      </c>
      <c r="EJ240" s="73">
        <f t="shared" si="301"/>
        <v>3775</v>
      </c>
      <c r="EK240" s="73">
        <f t="shared" si="302"/>
        <v>3</v>
      </c>
      <c r="EL240" s="73">
        <f t="shared" si="339"/>
        <v>1</v>
      </c>
      <c r="EM240" s="73">
        <f t="shared" si="340"/>
        <v>1</v>
      </c>
      <c r="EN240" s="73" t="str">
        <f t="shared" si="303"/>
        <v>3</v>
      </c>
      <c r="EO240" s="73" t="str">
        <f t="shared" si="304"/>
        <v/>
      </c>
      <c r="EP240" s="73" t="str">
        <f t="shared" si="305"/>
        <v/>
      </c>
      <c r="EQ240" s="53" t="str">
        <f t="shared" si="306"/>
        <v/>
      </c>
      <c r="ER240" s="47" t="s">
        <v>0</v>
      </c>
      <c r="ES240" s="19" t="str">
        <f t="shared" si="341"/>
        <v>INSERT INTO rezultat(id,stazakategorija_id,imeprezime_id,vrijeme_sec,status_id,registracija,uparivanje_id,originalstatus_id,imeprezimealias_id,klubalias_id,kategorijaalias_id) VALUES (397,37,1435,3775,3,1,1,3,Null,Null,Null);</v>
      </c>
      <c r="ET240" s="47" t="s">
        <v>0</v>
      </c>
      <c r="EU240" s="19" t="str">
        <f t="shared" si="342"/>
        <v>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0" s="47" t="s">
        <v>0</v>
      </c>
      <c r="EW240" s="180" t="str">
        <f t="shared" si="307"/>
        <v xml:space="preserve">
INSERT INTO rezultat(id,stazakategorija_id,imeprezime_id,vrijeme_sec,status_id,registracija,uparivanje_id,originalstatus_id,imeprezimealias_id,klubalias_id,kategorijaalias_id) VALUES (397,37,1435,3775,3,1,1,3,Null,Null,Null);
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0" s="47" t="s">
        <v>0</v>
      </c>
    </row>
    <row r="241" spans="1:154" x14ac:dyDescent="0.25">
      <c r="A241" t="s">
        <v>0</v>
      </c>
      <c r="B241" s="52" t="str">
        <f>IF(csv!F231="","",csv!T231)</f>
        <v>Ž16</v>
      </c>
      <c r="C241" s="31" t="s">
        <v>0</v>
      </c>
      <c r="D241" s="31" t="str">
        <f>IF(csv!F231="","",csv!F231)</f>
        <v>Vacant</v>
      </c>
      <c r="E241" s="31" t="str">
        <f>IF(csv!E231="","",csv!E231)</f>
        <v/>
      </c>
      <c r="F241" s="31" t="s">
        <v>0</v>
      </c>
      <c r="G241" s="73" t="str">
        <f>IF(csv!M231="","",csv!M231)</f>
        <v/>
      </c>
      <c r="H241" s="73" t="str">
        <f>IF(csv!N231="","",csv!N231)</f>
        <v>0</v>
      </c>
      <c r="I241" s="31" t="s">
        <v>0</v>
      </c>
      <c r="J241" s="31" t="str">
        <f>IF(csv!P231="","",csv!P231)</f>
        <v/>
      </c>
      <c r="K241" s="31" t="str">
        <f>IF(csv!Q231="","",csv!Q231)</f>
        <v/>
      </c>
      <c r="L241" s="31" t="s">
        <v>0</v>
      </c>
      <c r="M241" s="66" t="str">
        <f>IF(csv!R231="","",csv!R231)</f>
        <v/>
      </c>
      <c r="N241" s="47" t="s">
        <v>0</v>
      </c>
      <c r="O241" s="246" t="str">
        <f t="shared" si="308"/>
        <v/>
      </c>
      <c r="P241" s="47"/>
      <c r="Q241" s="52" t="str">
        <f t="shared" si="309"/>
        <v>Ž16</v>
      </c>
      <c r="R241" s="73">
        <f>IF(Q241="","",IF(COUNTIF(Q$12:Q240,Q241)=0,R240+1,R240))</f>
        <v>15</v>
      </c>
      <c r="S241" s="73">
        <f t="shared" si="310"/>
        <v>120</v>
      </c>
      <c r="T241" s="73">
        <f t="shared" si="273"/>
        <v>27</v>
      </c>
      <c r="U241" s="66" t="str">
        <f t="shared" si="274"/>
        <v>Ž21B – Ž16</v>
      </c>
      <c r="V241" s="47" t="s">
        <v>0</v>
      </c>
      <c r="W241" s="222" t="str">
        <f t="shared" si="275"/>
        <v/>
      </c>
      <c r="X241" s="223" t="str">
        <f t="shared" si="276"/>
        <v/>
      </c>
      <c r="Y241" s="47" t="s">
        <v>0</v>
      </c>
      <c r="Z241" s="52" t="str">
        <f t="shared" si="311"/>
        <v/>
      </c>
      <c r="AA241" s="73" t="str">
        <f t="shared" si="277"/>
        <v/>
      </c>
      <c r="AB241" s="31" t="str">
        <f t="shared" si="312"/>
        <v/>
      </c>
      <c r="AC241" s="66" t="str">
        <f>IF(AB241="","",MAX(AC$12:AC240)+1)</f>
        <v/>
      </c>
      <c r="AD241" s="47" t="s">
        <v>0</v>
      </c>
      <c r="AE241" s="125"/>
      <c r="AF241" s="47" t="s">
        <v>0</v>
      </c>
      <c r="AG241" s="19" t="str">
        <f t="shared" si="313"/>
        <v/>
      </c>
      <c r="AH241" s="47" t="s">
        <v>0</v>
      </c>
      <c r="AI241" s="143" t="str">
        <f t="shared" si="314"/>
        <v/>
      </c>
      <c r="AJ241" s="47"/>
      <c r="AK241" s="52" t="str">
        <f t="shared" si="315"/>
        <v/>
      </c>
      <c r="AL241" s="31" t="str">
        <f t="shared" si="316"/>
        <v/>
      </c>
      <c r="AM241" s="73" t="str">
        <f t="shared" si="317"/>
        <v/>
      </c>
      <c r="AN241" s="73" t="str">
        <f t="shared" si="318"/>
        <v/>
      </c>
      <c r="AO241" s="31" t="str">
        <f t="shared" si="278"/>
        <v/>
      </c>
      <c r="AP241" s="66" t="str">
        <f t="shared" si="279"/>
        <v/>
      </c>
      <c r="AQ241" s="47" t="s">
        <v>0</v>
      </c>
      <c r="AR241" s="82" t="str">
        <f t="shared" si="319"/>
        <v/>
      </c>
      <c r="AS241" s="47" t="s">
        <v>0</v>
      </c>
      <c r="AT241" s="19" t="str">
        <f t="shared" si="320"/>
        <v/>
      </c>
      <c r="AU241" s="47" t="s">
        <v>0</v>
      </c>
      <c r="AV241" s="103"/>
      <c r="AW241" s="105"/>
      <c r="AX241" s="47" t="s">
        <v>0</v>
      </c>
      <c r="AY241" s="259" t="str">
        <f t="shared" si="343"/>
        <v/>
      </c>
      <c r="AZ241" s="47" t="s">
        <v>0</v>
      </c>
      <c r="BA241" s="52" t="str">
        <f t="shared" si="280"/>
        <v/>
      </c>
      <c r="BB241" s="73" t="str">
        <f>IF(AV241&amp;AW241="","",MAX(BB$12:BB240)+1)</f>
        <v/>
      </c>
      <c r="BC241" s="272" t="str">
        <f t="shared" si="281"/>
        <v/>
      </c>
      <c r="BD241" s="53" t="str">
        <f>IF(AND(AM241="NEMA",AN241="NEMA",OR(AV241&amp;AW241="",BC241="NEMA")),MAX(BD$12:BD240)+1,"")</f>
        <v/>
      </c>
      <c r="BE241" s="47" t="s">
        <v>0</v>
      </c>
      <c r="BF241" s="52" t="str">
        <f t="shared" si="321"/>
        <v/>
      </c>
      <c r="BG241" s="66" t="str">
        <f t="shared" si="322"/>
        <v/>
      </c>
      <c r="BH241" s="47" t="s">
        <v>0</v>
      </c>
      <c r="BI241" s="52" t="str">
        <f t="shared" si="282"/>
        <v/>
      </c>
      <c r="BJ241" s="31" t="str">
        <f t="shared" si="283"/>
        <v/>
      </c>
      <c r="BK241" s="73" t="str">
        <f t="shared" si="284"/>
        <v/>
      </c>
      <c r="BL241" s="31" t="str" cm="1">
        <f t="array" ref="BL241">IF(BK241="",""&amp;BJ241,IF(BK241="NEMA",BJ241,INDEX(regKlub_naziv,MATCH(INDEX(regKlub_alias_klubId,BK241),regKlub_id,0))))</f>
        <v/>
      </c>
      <c r="BM241" s="31" t="str" cm="1">
        <f t="array" ref="BM241">IFERROR(""&amp;INDEX(regNatjecatelj_klub,DV241),"")</f>
        <v/>
      </c>
      <c r="BN241" s="88" t="str">
        <f t="shared" si="323"/>
        <v/>
      </c>
      <c r="BO241" s="66" t="str">
        <f t="shared" si="324"/>
        <v/>
      </c>
      <c r="BP241" s="47" t="s">
        <v>0</v>
      </c>
      <c r="BQ241" s="52" t="str">
        <f>IF(X241&lt;&gt;"NEMA","",IF(IFERROR(MATCH(W241,W$12:W240,0),0)&lt;&gt;0,"",W241))</f>
        <v/>
      </c>
      <c r="BR241" s="73" t="str">
        <f t="shared" si="325"/>
        <v/>
      </c>
      <c r="BS241" s="31" t="str">
        <f>IF(OR(BR241="",BR241&lt;&gt;"NEMA"),"",MAX(BS$12:BS240)+1)</f>
        <v/>
      </c>
      <c r="BT241" s="66" t="str">
        <f t="shared" si="326"/>
        <v/>
      </c>
      <c r="BU241" s="47" t="s">
        <v>0</v>
      </c>
      <c r="BV241" s="19" t="str">
        <f t="shared" si="327"/>
        <v/>
      </c>
      <c r="BW241" s="47" t="s">
        <v>0</v>
      </c>
      <c r="BX241" s="82" t="str">
        <f>IF(BK241&lt;&gt;"NEMA","",IF(IFERROR(MATCH(BJ241,BJ$12:BJ240,0),0)&lt;&gt;0,"",BJ241))</f>
        <v/>
      </c>
      <c r="BY241" s="47" t="s">
        <v>0</v>
      </c>
      <c r="BZ241" s="125"/>
      <c r="CA241" s="47" t="s">
        <v>0</v>
      </c>
      <c r="CB241" s="58" t="str">
        <f t="shared" si="328"/>
        <v/>
      </c>
      <c r="CC241" s="31" t="str">
        <f t="shared" si="329"/>
        <v/>
      </c>
      <c r="CD241" s="31" t="str">
        <f>IF(CC241="","",MAX(CD$12:CD240)+1)</f>
        <v/>
      </c>
      <c r="CE241" s="31" t="str">
        <f t="shared" si="285"/>
        <v/>
      </c>
      <c r="CF241" s="31" t="str">
        <f t="shared" si="330"/>
        <v/>
      </c>
      <c r="CG241" s="31" t="str">
        <f>IF(BZ241="","",MAX(CG$12:CG240)+1)</f>
        <v/>
      </c>
      <c r="CH241" s="31" t="str">
        <f t="shared" si="331"/>
        <v/>
      </c>
      <c r="CI241" s="66" t="str">
        <f t="shared" si="332"/>
        <v/>
      </c>
      <c r="CJ241" s="47" t="s">
        <v>0</v>
      </c>
      <c r="CK241" s="73" t="str">
        <f t="shared" si="286"/>
        <v/>
      </c>
      <c r="CL241" s="47"/>
      <c r="CM241" s="19" t="str">
        <f t="shared" si="333"/>
        <v/>
      </c>
      <c r="CN241" s="47" t="s">
        <v>0</v>
      </c>
      <c r="CO241" s="143" t="str">
        <f t="shared" si="334"/>
        <v/>
      </c>
      <c r="CP241" s="47" t="s">
        <v>0</v>
      </c>
      <c r="CQ241" s="58" t="str">
        <f t="shared" si="350"/>
        <v/>
      </c>
      <c r="CR241" s="73" t="str">
        <f t="shared" si="351"/>
        <v>0</v>
      </c>
      <c r="CS241" s="229" t="str">
        <f t="shared" si="287"/>
        <v/>
      </c>
      <c r="CT241" s="230" t="str">
        <f t="shared" si="272"/>
        <v/>
      </c>
      <c r="CU241" s="163" t="str">
        <f t="shared" si="288"/>
        <v/>
      </c>
      <c r="CV241" s="47" t="s">
        <v>0</v>
      </c>
      <c r="CW241" s="222" t="str">
        <f t="shared" si="335"/>
        <v xml:space="preserve">
</v>
      </c>
      <c r="CX241" s="223" t="str">
        <f t="shared" si="336"/>
        <v/>
      </c>
      <c r="CY241" s="47" t="s">
        <v>0</v>
      </c>
      <c r="CZ241" s="47"/>
      <c r="DA241" s="47"/>
      <c r="DB241" s="47"/>
      <c r="DC241" s="47" t="s">
        <v>0</v>
      </c>
      <c r="DD241" s="53" t="str">
        <f t="shared" si="344"/>
        <v/>
      </c>
      <c r="DE241" t="s">
        <v>0</v>
      </c>
      <c r="DF241" s="128" t="str">
        <f t="shared" si="345"/>
        <v>Ž</v>
      </c>
      <c r="DG241" t="s">
        <v>0</v>
      </c>
      <c r="DH241" s="52" t="str">
        <f t="shared" si="346"/>
        <v/>
      </c>
      <c r="DI241" s="66" t="str">
        <f t="shared" si="347"/>
        <v/>
      </c>
      <c r="DJ241" t="s">
        <v>0</v>
      </c>
      <c r="DK241" s="19" t="str">
        <f t="shared" si="348"/>
        <v/>
      </c>
      <c r="DL241" s="47" t="s">
        <v>0</v>
      </c>
      <c r="DM241" s="19" t="str">
        <f t="shared" si="349"/>
        <v/>
      </c>
      <c r="DN241" s="47" t="s">
        <v>0</v>
      </c>
      <c r="DO241" s="52" t="str">
        <f t="shared" si="289"/>
        <v/>
      </c>
      <c r="DP241" s="53" t="str">
        <f t="shared" si="290"/>
        <v/>
      </c>
      <c r="DQ241" s="47" t="s">
        <v>0</v>
      </c>
      <c r="DR241" s="52" t="str">
        <f t="shared" si="291"/>
        <v/>
      </c>
      <c r="DS241" s="53" t="str">
        <f t="shared" si="292"/>
        <v/>
      </c>
      <c r="DT241" s="47" t="s">
        <v>0</v>
      </c>
      <c r="DU241" s="52" t="str">
        <f t="shared" si="293"/>
        <v/>
      </c>
      <c r="DV241" s="53" t="str">
        <f t="shared" si="294"/>
        <v/>
      </c>
      <c r="DW241" s="47" t="s">
        <v>0</v>
      </c>
      <c r="DX241" s="58" t="str">
        <f t="shared" si="337"/>
        <v/>
      </c>
      <c r="DY241" s="53" t="str" cm="1">
        <f t="array" ref="DY241">IF(DX241&lt;&gt;"",INDEX(regNatjecatelj_id,DX241,0),IF(BD241&lt;&gt;"",BD241,""))</f>
        <v/>
      </c>
      <c r="DZ241" s="47" t="s">
        <v>0</v>
      </c>
      <c r="EA241" s="58" t="str">
        <f t="shared" si="295"/>
        <v/>
      </c>
      <c r="EB241" s="73" t="str">
        <f t="shared" si="296"/>
        <v/>
      </c>
      <c r="EC241" s="73" t="str">
        <f t="shared" si="297"/>
        <v/>
      </c>
      <c r="ED241" s="73" t="str">
        <f t="shared" si="298"/>
        <v/>
      </c>
      <c r="EE241" s="66" t="str">
        <f t="shared" si="299"/>
        <v/>
      </c>
      <c r="EF241" s="47" t="s">
        <v>0</v>
      </c>
      <c r="EG241" s="58" t="str">
        <f>IF(AL241="","",MAX(EG$12:EG240)+1)</f>
        <v/>
      </c>
      <c r="EH241" s="73" t="str">
        <f t="shared" si="300"/>
        <v/>
      </c>
      <c r="EI241" s="73" t="str">
        <f t="shared" si="338"/>
        <v/>
      </c>
      <c r="EJ241" s="73" t="str">
        <f t="shared" si="301"/>
        <v/>
      </c>
      <c r="EK241" s="73" t="str">
        <f t="shared" si="302"/>
        <v/>
      </c>
      <c r="EL241" s="73" t="str">
        <f t="shared" si="339"/>
        <v/>
      </c>
      <c r="EM241" s="73" t="str">
        <f t="shared" si="340"/>
        <v/>
      </c>
      <c r="EN241" s="73" t="str">
        <f t="shared" si="303"/>
        <v/>
      </c>
      <c r="EO241" s="73" t="str">
        <f t="shared" si="304"/>
        <v/>
      </c>
      <c r="EP241" s="73" t="str">
        <f t="shared" si="305"/>
        <v/>
      </c>
      <c r="EQ241" s="53" t="str">
        <f t="shared" si="306"/>
        <v/>
      </c>
      <c r="ER241" s="47" t="s">
        <v>0</v>
      </c>
      <c r="ES241" s="19" t="str">
        <f t="shared" si="341"/>
        <v/>
      </c>
      <c r="ET241" s="47" t="s">
        <v>0</v>
      </c>
      <c r="EU241" s="19" t="str">
        <f t="shared" si="342"/>
        <v/>
      </c>
      <c r="EV241" s="47" t="s">
        <v>0</v>
      </c>
      <c r="EW241" s="180" t="str">
        <f t="shared" si="307"/>
        <v/>
      </c>
      <c r="EX241" s="47" t="s">
        <v>0</v>
      </c>
    </row>
    <row r="242" spans="1:154" x14ac:dyDescent="0.25">
      <c r="A242" t="s">
        <v>0</v>
      </c>
      <c r="B242" s="52" t="str">
        <f>IF(csv!F232="","",csv!T232)</f>
        <v>Ž16</v>
      </c>
      <c r="C242" s="31" t="s">
        <v>0</v>
      </c>
      <c r="D242" s="31" t="str">
        <f>IF(csv!F232="","",csv!F232)</f>
        <v>Dora</v>
      </c>
      <c r="E242" s="31" t="str">
        <f>IF(csv!E232="","",csv!E232)</f>
        <v>Valjak</v>
      </c>
      <c r="F242" s="31" t="s">
        <v>0</v>
      </c>
      <c r="G242" s="73" t="str">
        <f>IF(csv!M232="","",csv!M232)</f>
        <v/>
      </c>
      <c r="H242" s="73" t="str">
        <f>IF(csv!N232="","",csv!N232)</f>
        <v>1</v>
      </c>
      <c r="I242" s="31" t="s">
        <v>0</v>
      </c>
      <c r="J242" s="31" t="str">
        <f>IF(csv!P232="","",csv!P232)</f>
        <v>Vihor</v>
      </c>
      <c r="K242" s="31" t="str">
        <f>IF(csv!Q232="","",csv!Q232)</f>
        <v>OK Vihor</v>
      </c>
      <c r="L242" s="31" t="s">
        <v>0</v>
      </c>
      <c r="M242" s="66" t="str">
        <f>IF(csv!R232="","",csv!R232)</f>
        <v>CRO</v>
      </c>
      <c r="N242" s="47" t="s">
        <v>0</v>
      </c>
      <c r="O242" s="246" t="str">
        <f t="shared" si="308"/>
        <v>ok</v>
      </c>
      <c r="P242" s="47"/>
      <c r="Q242" s="52" t="str">
        <f t="shared" si="309"/>
        <v>Ž16</v>
      </c>
      <c r="R242" s="73">
        <f>IF(Q242="","",IF(COUNTIF(Q$12:Q241,Q242)=0,R241+1,R241))</f>
        <v>15</v>
      </c>
      <c r="S242" s="73">
        <f t="shared" si="310"/>
        <v>120</v>
      </c>
      <c r="T242" s="73">
        <f t="shared" si="273"/>
        <v>27</v>
      </c>
      <c r="U242" s="66" t="str">
        <f t="shared" si="274"/>
        <v>Ž21B – Ž16</v>
      </c>
      <c r="V242" s="47" t="s">
        <v>0</v>
      </c>
      <c r="W242" s="222" t="str">
        <f t="shared" si="275"/>
        <v>Ž16</v>
      </c>
      <c r="X242" s="223">
        <f t="shared" si="276"/>
        <v>37</v>
      </c>
      <c r="Y242" s="47" t="s">
        <v>0</v>
      </c>
      <c r="Z242" s="52" t="str">
        <f t="shared" si="311"/>
        <v>CRO</v>
      </c>
      <c r="AA242" s="73">
        <f t="shared" si="277"/>
        <v>1</v>
      </c>
      <c r="AB242" s="31" t="str">
        <f t="shared" si="312"/>
        <v/>
      </c>
      <c r="AC242" s="66" t="str">
        <f>IF(AB242="","",MAX(AC$12:AC241)+1)</f>
        <v/>
      </c>
      <c r="AD242" s="47" t="s">
        <v>0</v>
      </c>
      <c r="AE242" s="125"/>
      <c r="AF242" s="47" t="s">
        <v>0</v>
      </c>
      <c r="AG242" s="19" t="str">
        <f t="shared" si="313"/>
        <v/>
      </c>
      <c r="AH242" s="47" t="s">
        <v>0</v>
      </c>
      <c r="AI242" s="143" t="str">
        <f t="shared" si="314"/>
        <v>CRO</v>
      </c>
      <c r="AJ242" s="47"/>
      <c r="AK242" s="52" t="str">
        <f t="shared" si="315"/>
        <v>Dora</v>
      </c>
      <c r="AL242" s="31" t="str">
        <f t="shared" si="316"/>
        <v>Valjak</v>
      </c>
      <c r="AM242" s="73">
        <f t="shared" si="317"/>
        <v>1909</v>
      </c>
      <c r="AN242" s="73" t="str">
        <f t="shared" si="318"/>
        <v/>
      </c>
      <c r="AO242" s="31" t="str">
        <f t="shared" si="278"/>
        <v>Dora</v>
      </c>
      <c r="AP242" s="66" t="str">
        <f t="shared" si="279"/>
        <v>Valjak</v>
      </c>
      <c r="AQ242" s="47" t="s">
        <v>0</v>
      </c>
      <c r="AR242" s="82" t="str">
        <f t="shared" si="319"/>
        <v/>
      </c>
      <c r="AS242" s="47" t="s">
        <v>0</v>
      </c>
      <c r="AT242" s="19" t="str">
        <f t="shared" si="320"/>
        <v/>
      </c>
      <c r="AU242" s="47" t="s">
        <v>0</v>
      </c>
      <c r="AV242" s="103"/>
      <c r="AW242" s="105"/>
      <c r="AX242" s="47" t="s">
        <v>0</v>
      </c>
      <c r="AY242" s="259" t="str">
        <f t="shared" si="343"/>
        <v/>
      </c>
      <c r="AZ242" s="47" t="s">
        <v>0</v>
      </c>
      <c r="BA242" s="52" t="str">
        <f t="shared" si="280"/>
        <v/>
      </c>
      <c r="BB242" s="73" t="str">
        <f>IF(AV242&amp;AW242="","",MAX(BB$12:BB241)+1)</f>
        <v/>
      </c>
      <c r="BC242" s="272" t="str">
        <f t="shared" si="281"/>
        <v/>
      </c>
      <c r="BD242" s="53" t="str">
        <f>IF(AND(AM242="NEMA",AN242="NEMA",OR(AV242&amp;AW242="",BC242="NEMA")),MAX(BD$12:BD241)+1,"")</f>
        <v/>
      </c>
      <c r="BE242" s="47" t="s">
        <v>0</v>
      </c>
      <c r="BF242" s="52" t="str">
        <f t="shared" si="321"/>
        <v>Dora</v>
      </c>
      <c r="BG242" s="66" t="str">
        <f t="shared" si="322"/>
        <v>Valjak</v>
      </c>
      <c r="BH242" s="47" t="s">
        <v>0</v>
      </c>
      <c r="BI242" s="52" t="str">
        <f t="shared" si="282"/>
        <v>Vihor</v>
      </c>
      <c r="BJ242" s="31" t="str">
        <f t="shared" si="283"/>
        <v>OK Vihor</v>
      </c>
      <c r="BK242" s="73" t="str">
        <f t="shared" si="284"/>
        <v/>
      </c>
      <c r="BL242" s="31" t="str" cm="1">
        <f t="array" ref="BL242">IF(BK242="",""&amp;BJ242,IF(BK242="NEMA",BJ242,INDEX(regKlub_naziv,MATCH(INDEX(regKlub_alias_klubId,BK242),regKlub_id,0))))</f>
        <v>OK Vihor</v>
      </c>
      <c r="BM242" s="31" t="str" cm="1">
        <f t="array" ref="BM242">IFERROR(""&amp;INDEX(regNatjecatelj_klub,DV242),"")</f>
        <v>OK Vihor</v>
      </c>
      <c r="BN242" s="88" t="str">
        <f t="shared" si="323"/>
        <v/>
      </c>
      <c r="BO242" s="66" t="str">
        <f t="shared" si="324"/>
        <v>OK Vihor</v>
      </c>
      <c r="BP242" s="47" t="s">
        <v>0</v>
      </c>
      <c r="BQ242" s="52" t="str">
        <f>IF(X242&lt;&gt;"NEMA","",IF(IFERROR(MATCH(W242,W$12:W241,0),0)&lt;&gt;0,"",W242))</f>
        <v/>
      </c>
      <c r="BR242" s="73" t="str">
        <f t="shared" si="325"/>
        <v/>
      </c>
      <c r="BS242" s="31" t="str">
        <f>IF(OR(BR242="",BR242&lt;&gt;"NEMA"),"",MAX(BS$12:BS241)+1)</f>
        <v/>
      </c>
      <c r="BT242" s="66" t="str">
        <f t="shared" si="326"/>
        <v/>
      </c>
      <c r="BU242" s="47" t="s">
        <v>0</v>
      </c>
      <c r="BV242" s="19" t="str">
        <f t="shared" si="327"/>
        <v/>
      </c>
      <c r="BW242" s="47" t="s">
        <v>0</v>
      </c>
      <c r="BX242" s="82" t="str">
        <f>IF(BK242&lt;&gt;"NEMA","",IF(IFERROR(MATCH(BJ242,BJ$12:BJ241,0),0)&lt;&gt;0,"",BJ242))</f>
        <v/>
      </c>
      <c r="BY242" s="47" t="s">
        <v>0</v>
      </c>
      <c r="BZ242" s="125"/>
      <c r="CA242" s="47" t="s">
        <v>0</v>
      </c>
      <c r="CB242" s="58" t="str">
        <f t="shared" si="328"/>
        <v/>
      </c>
      <c r="CC242" s="31" t="str">
        <f t="shared" si="329"/>
        <v/>
      </c>
      <c r="CD242" s="31" t="str">
        <f>IF(CC242="","",MAX(CD$12:CD241)+1)</f>
        <v/>
      </c>
      <c r="CE242" s="31" t="str">
        <f t="shared" si="285"/>
        <v/>
      </c>
      <c r="CF242" s="31" t="str">
        <f t="shared" si="330"/>
        <v/>
      </c>
      <c r="CG242" s="31" t="str">
        <f>IF(BZ242="","",MAX(CG$12:CG241)+1)</f>
        <v/>
      </c>
      <c r="CH242" s="31" t="str">
        <f t="shared" si="331"/>
        <v/>
      </c>
      <c r="CI242" s="66" t="str">
        <f t="shared" si="332"/>
        <v/>
      </c>
      <c r="CJ242" s="47" t="s">
        <v>0</v>
      </c>
      <c r="CK242" s="73" t="str">
        <f t="shared" si="286"/>
        <v/>
      </c>
      <c r="CL242" s="47"/>
      <c r="CM242" s="19" t="str">
        <f t="shared" si="333"/>
        <v/>
      </c>
      <c r="CN242" s="47" t="s">
        <v>0</v>
      </c>
      <c r="CO242" s="143" t="str">
        <f t="shared" si="334"/>
        <v>OK Vihor</v>
      </c>
      <c r="CP242" s="47" t="s">
        <v>0</v>
      </c>
      <c r="CQ242" s="58" t="str">
        <f t="shared" si="350"/>
        <v/>
      </c>
      <c r="CR242" s="73" t="str">
        <f t="shared" si="351"/>
        <v>1</v>
      </c>
      <c r="CS242" s="229" t="str">
        <f t="shared" si="287"/>
        <v/>
      </c>
      <c r="CT242" s="230" t="str">
        <f t="shared" si="272"/>
        <v/>
      </c>
      <c r="CU242" s="163">
        <f t="shared" si="288"/>
        <v>6</v>
      </c>
      <c r="CV242" s="47" t="s">
        <v>0</v>
      </c>
      <c r="CW242" s="222" t="str">
        <f t="shared" si="335"/>
        <v xml:space="preserve">
</v>
      </c>
      <c r="CX242" s="223" t="e">
        <f t="shared" si="336"/>
        <v>#N/A</v>
      </c>
      <c r="CY242" s="47" t="s">
        <v>0</v>
      </c>
      <c r="CZ242" s="47"/>
      <c r="DA242" s="47"/>
      <c r="DB242" s="47"/>
      <c r="DC242" s="47" t="s">
        <v>0</v>
      </c>
      <c r="DD242" s="53" t="str">
        <f t="shared" si="344"/>
        <v/>
      </c>
      <c r="DE242" t="s">
        <v>0</v>
      </c>
      <c r="DF242" s="128" t="str">
        <f t="shared" si="345"/>
        <v>Ž</v>
      </c>
      <c r="DG242" t="s">
        <v>0</v>
      </c>
      <c r="DH242" s="52" t="str">
        <f t="shared" si="346"/>
        <v/>
      </c>
      <c r="DI242" s="66" t="str">
        <f t="shared" si="347"/>
        <v/>
      </c>
      <c r="DJ242" t="s">
        <v>0</v>
      </c>
      <c r="DK242" s="19" t="str">
        <f t="shared" si="348"/>
        <v/>
      </c>
      <c r="DL242" s="47" t="s">
        <v>0</v>
      </c>
      <c r="DM242" s="19" t="str">
        <f t="shared" si="349"/>
        <v/>
      </c>
      <c r="DN242" s="47" t="s">
        <v>0</v>
      </c>
      <c r="DO242" s="52" t="str">
        <f t="shared" si="289"/>
        <v>Dora – Valjak – OK Vihor – Ž16</v>
      </c>
      <c r="DP242" s="53">
        <f t="shared" si="290"/>
        <v>934</v>
      </c>
      <c r="DQ242" s="47" t="s">
        <v>0</v>
      </c>
      <c r="DR242" s="52" t="str">
        <f t="shared" si="291"/>
        <v>Dora – Valjak – OK Vihor</v>
      </c>
      <c r="DS242" s="53">
        <f t="shared" si="292"/>
        <v>934</v>
      </c>
      <c r="DT242" s="47" t="s">
        <v>0</v>
      </c>
      <c r="DU242" s="52" t="str">
        <f t="shared" si="293"/>
        <v>Dora – Valjak</v>
      </c>
      <c r="DV242" s="53">
        <f t="shared" si="294"/>
        <v>934</v>
      </c>
      <c r="DW242" s="47" t="s">
        <v>0</v>
      </c>
      <c r="DX242" s="58">
        <f t="shared" si="337"/>
        <v>934</v>
      </c>
      <c r="DY242" s="53" cm="1">
        <f t="array" ref="DY242">IF(DX242&lt;&gt;"",INDEX(regNatjecatelj_id,DX242,0),IF(BD242&lt;&gt;"",BD242,""))</f>
        <v>1909</v>
      </c>
      <c r="DZ242" s="47" t="s">
        <v>0</v>
      </c>
      <c r="EA242" s="58" t="str">
        <f t="shared" si="295"/>
        <v>imepre</v>
      </c>
      <c r="EB242" s="73" t="str">
        <f t="shared" si="296"/>
        <v>klu</v>
      </c>
      <c r="EC242" s="73" t="str">
        <f t="shared" si="297"/>
        <v>kat</v>
      </c>
      <c r="ED242" s="73" t="str">
        <f t="shared" si="298"/>
        <v/>
      </c>
      <c r="EE242" s="66" t="str">
        <f t="shared" si="299"/>
        <v>imepre-klu-kat</v>
      </c>
      <c r="EF242" s="47" t="s">
        <v>0</v>
      </c>
      <c r="EG242" s="58">
        <f>IF(AL242="","",MAX(EG$12:EG241)+1)</f>
        <v>398</v>
      </c>
      <c r="EH242" s="73">
        <f t="shared" si="300"/>
        <v>37</v>
      </c>
      <c r="EI242" s="73">
        <f t="shared" si="338"/>
        <v>1909</v>
      </c>
      <c r="EJ242" s="73" t="str">
        <f t="shared" si="301"/>
        <v/>
      </c>
      <c r="EK242" s="73">
        <f t="shared" si="302"/>
        <v>6</v>
      </c>
      <c r="EL242" s="73">
        <f t="shared" si="339"/>
        <v>1</v>
      </c>
      <c r="EM242" s="73">
        <f t="shared" si="340"/>
        <v>1</v>
      </c>
      <c r="EN242" s="73" t="str">
        <f t="shared" si="303"/>
        <v>1</v>
      </c>
      <c r="EO242" s="73" t="str">
        <f t="shared" si="304"/>
        <v/>
      </c>
      <c r="EP242" s="73" t="str">
        <f t="shared" si="305"/>
        <v/>
      </c>
      <c r="EQ242" s="53" t="str">
        <f t="shared" si="306"/>
        <v/>
      </c>
      <c r="ER242" s="47" t="s">
        <v>0</v>
      </c>
      <c r="ES242" s="19" t="str">
        <f t="shared" si="341"/>
        <v>INSERT INTO rezultat(id,stazakategorija_id,imeprezime_id,vrijeme_sec,status_id,registracija,uparivanje_id,originalstatus_id,imeprezimealias_id,klubalias_id,kategorijaalias_id) VALUES (398,37,1909,Null,6,1,1,1,Null,Null,Null);</v>
      </c>
      <c r="ET242" s="47" t="s">
        <v>0</v>
      </c>
      <c r="EU242" s="19" t="str">
        <f t="shared" si="342"/>
        <v>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2" s="47" t="s">
        <v>0</v>
      </c>
      <c r="EW242" s="180" t="str">
        <f t="shared" si="307"/>
        <v xml:space="preserve">
INSERT INTO rezultat(id,stazakategorija_id,imeprezime_id,vrijeme_sec,status_id,registracija,uparivanje_id,originalstatus_id,imeprezimealias_id,klubalias_id,kategorijaalias_id) VALUES (398,37,1909,Null,6,1,1,1,Null,Null,Null);
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2" s="47" t="s">
        <v>0</v>
      </c>
    </row>
    <row r="243" spans="1:154" x14ac:dyDescent="0.25">
      <c r="A243" t="s">
        <v>0</v>
      </c>
      <c r="B243" s="52" t="str">
        <f>IF(csv!F233="","",csv!T233)</f>
        <v>Ž16</v>
      </c>
      <c r="C243" s="31" t="s">
        <v>0</v>
      </c>
      <c r="D243" s="31" t="str">
        <f>IF(csv!F233="","",csv!F233)</f>
        <v>Vacant</v>
      </c>
      <c r="E243" s="31" t="str">
        <f>IF(csv!E233="","",csv!E233)</f>
        <v/>
      </c>
      <c r="F243" s="31" t="s">
        <v>0</v>
      </c>
      <c r="G243" s="73" t="str">
        <f>IF(csv!M233="","",csv!M233)</f>
        <v/>
      </c>
      <c r="H243" s="73" t="str">
        <f>IF(csv!N233="","",csv!N233)</f>
        <v>0</v>
      </c>
      <c r="I243" s="31" t="s">
        <v>0</v>
      </c>
      <c r="J243" s="31" t="str">
        <f>IF(csv!P233="","",csv!P233)</f>
        <v/>
      </c>
      <c r="K243" s="31" t="str">
        <f>IF(csv!Q233="","",csv!Q233)</f>
        <v/>
      </c>
      <c r="L243" s="31" t="s">
        <v>0</v>
      </c>
      <c r="M243" s="66" t="str">
        <f>IF(csv!R233="","",csv!R233)</f>
        <v/>
      </c>
      <c r="N243" s="47" t="s">
        <v>0</v>
      </c>
      <c r="O243" s="246" t="str">
        <f t="shared" si="308"/>
        <v/>
      </c>
      <c r="P243" s="47"/>
      <c r="Q243" s="52" t="str">
        <f t="shared" si="309"/>
        <v>Ž16</v>
      </c>
      <c r="R243" s="73">
        <f>IF(Q243="","",IF(COUNTIF(Q$12:Q242,Q243)=0,R242+1,R242))</f>
        <v>15</v>
      </c>
      <c r="S243" s="73">
        <f t="shared" si="310"/>
        <v>120</v>
      </c>
      <c r="T243" s="73">
        <f t="shared" si="273"/>
        <v>27</v>
      </c>
      <c r="U243" s="66" t="str">
        <f t="shared" si="274"/>
        <v>Ž21B – Ž16</v>
      </c>
      <c r="V243" s="47" t="s">
        <v>0</v>
      </c>
      <c r="W243" s="222" t="str">
        <f t="shared" si="275"/>
        <v/>
      </c>
      <c r="X243" s="223" t="str">
        <f t="shared" si="276"/>
        <v/>
      </c>
      <c r="Y243" s="47" t="s">
        <v>0</v>
      </c>
      <c r="Z243" s="52" t="str">
        <f t="shared" si="311"/>
        <v/>
      </c>
      <c r="AA243" s="73" t="str">
        <f t="shared" si="277"/>
        <v/>
      </c>
      <c r="AB243" s="31" t="str">
        <f t="shared" si="312"/>
        <v/>
      </c>
      <c r="AC243" s="66" t="str">
        <f>IF(AB243="","",MAX(AC$12:AC242)+1)</f>
        <v/>
      </c>
      <c r="AD243" s="47" t="s">
        <v>0</v>
      </c>
      <c r="AE243" s="125"/>
      <c r="AF243" s="47" t="s">
        <v>0</v>
      </c>
      <c r="AG243" s="19" t="str">
        <f t="shared" si="313"/>
        <v/>
      </c>
      <c r="AH243" s="47" t="s">
        <v>0</v>
      </c>
      <c r="AI243" s="143" t="str">
        <f t="shared" si="314"/>
        <v/>
      </c>
      <c r="AJ243" s="47"/>
      <c r="AK243" s="52" t="str">
        <f t="shared" si="315"/>
        <v/>
      </c>
      <c r="AL243" s="31" t="str">
        <f t="shared" si="316"/>
        <v/>
      </c>
      <c r="AM243" s="73" t="str">
        <f t="shared" si="317"/>
        <v/>
      </c>
      <c r="AN243" s="73" t="str">
        <f t="shared" si="318"/>
        <v/>
      </c>
      <c r="AO243" s="31" t="str">
        <f t="shared" si="278"/>
        <v/>
      </c>
      <c r="AP243" s="66" t="str">
        <f t="shared" si="279"/>
        <v/>
      </c>
      <c r="AQ243" s="47" t="s">
        <v>0</v>
      </c>
      <c r="AR243" s="82" t="str">
        <f t="shared" si="319"/>
        <v/>
      </c>
      <c r="AS243" s="47" t="s">
        <v>0</v>
      </c>
      <c r="AT243" s="19" t="str">
        <f t="shared" si="320"/>
        <v/>
      </c>
      <c r="AU243" s="47" t="s">
        <v>0</v>
      </c>
      <c r="AV243" s="103"/>
      <c r="AW243" s="105"/>
      <c r="AX243" s="47" t="s">
        <v>0</v>
      </c>
      <c r="AY243" s="259" t="str">
        <f t="shared" si="343"/>
        <v/>
      </c>
      <c r="AZ243" s="47" t="s">
        <v>0</v>
      </c>
      <c r="BA243" s="52" t="str">
        <f t="shared" si="280"/>
        <v/>
      </c>
      <c r="BB243" s="73" t="str">
        <f>IF(AV243&amp;AW243="","",MAX(BB$12:BB242)+1)</f>
        <v/>
      </c>
      <c r="BC243" s="272" t="str">
        <f t="shared" si="281"/>
        <v/>
      </c>
      <c r="BD243" s="53" t="str">
        <f>IF(AND(AM243="NEMA",AN243="NEMA",OR(AV243&amp;AW243="",BC243="NEMA")),MAX(BD$12:BD242)+1,"")</f>
        <v/>
      </c>
      <c r="BE243" s="47" t="s">
        <v>0</v>
      </c>
      <c r="BF243" s="52" t="str">
        <f t="shared" si="321"/>
        <v/>
      </c>
      <c r="BG243" s="66" t="str">
        <f t="shared" si="322"/>
        <v/>
      </c>
      <c r="BH243" s="47" t="s">
        <v>0</v>
      </c>
      <c r="BI243" s="52" t="str">
        <f t="shared" si="282"/>
        <v/>
      </c>
      <c r="BJ243" s="31" t="str">
        <f t="shared" si="283"/>
        <v/>
      </c>
      <c r="BK243" s="73" t="str">
        <f t="shared" si="284"/>
        <v/>
      </c>
      <c r="BL243" s="31" t="str" cm="1">
        <f t="array" ref="BL243">IF(BK243="",""&amp;BJ243,IF(BK243="NEMA",BJ243,INDEX(regKlub_naziv,MATCH(INDEX(regKlub_alias_klubId,BK243),regKlub_id,0))))</f>
        <v/>
      </c>
      <c r="BM243" s="31" t="str" cm="1">
        <f t="array" ref="BM243">IFERROR(""&amp;INDEX(regNatjecatelj_klub,DV243),"")</f>
        <v/>
      </c>
      <c r="BN243" s="88" t="str">
        <f t="shared" si="323"/>
        <v/>
      </c>
      <c r="BO243" s="66" t="str">
        <f t="shared" si="324"/>
        <v/>
      </c>
      <c r="BP243" s="47" t="s">
        <v>0</v>
      </c>
      <c r="BQ243" s="52" t="str">
        <f>IF(X243&lt;&gt;"NEMA","",IF(IFERROR(MATCH(W243,W$12:W242,0),0)&lt;&gt;0,"",W243))</f>
        <v/>
      </c>
      <c r="BR243" s="73" t="str">
        <f t="shared" si="325"/>
        <v/>
      </c>
      <c r="BS243" s="31" t="str">
        <f>IF(OR(BR243="",BR243&lt;&gt;"NEMA"),"",MAX(BS$12:BS242)+1)</f>
        <v/>
      </c>
      <c r="BT243" s="66" t="str">
        <f t="shared" si="326"/>
        <v/>
      </c>
      <c r="BU243" s="47" t="s">
        <v>0</v>
      </c>
      <c r="BV243" s="19" t="str">
        <f t="shared" si="327"/>
        <v/>
      </c>
      <c r="BW243" s="47" t="s">
        <v>0</v>
      </c>
      <c r="BX243" s="82" t="str">
        <f>IF(BK243&lt;&gt;"NEMA","",IF(IFERROR(MATCH(BJ243,BJ$12:BJ242,0),0)&lt;&gt;0,"",BJ243))</f>
        <v/>
      </c>
      <c r="BY243" s="47" t="s">
        <v>0</v>
      </c>
      <c r="BZ243" s="125"/>
      <c r="CA243" s="47" t="s">
        <v>0</v>
      </c>
      <c r="CB243" s="58" t="str">
        <f t="shared" si="328"/>
        <v/>
      </c>
      <c r="CC243" s="31" t="str">
        <f t="shared" si="329"/>
        <v/>
      </c>
      <c r="CD243" s="31" t="str">
        <f>IF(CC243="","",MAX(CD$12:CD242)+1)</f>
        <v/>
      </c>
      <c r="CE243" s="31" t="str">
        <f t="shared" si="285"/>
        <v/>
      </c>
      <c r="CF243" s="31" t="str">
        <f t="shared" si="330"/>
        <v/>
      </c>
      <c r="CG243" s="31" t="str">
        <f>IF(BZ243="","",MAX(CG$12:CG242)+1)</f>
        <v/>
      </c>
      <c r="CH243" s="31" t="str">
        <f t="shared" si="331"/>
        <v/>
      </c>
      <c r="CI243" s="66" t="str">
        <f t="shared" si="332"/>
        <v/>
      </c>
      <c r="CJ243" s="47" t="s">
        <v>0</v>
      </c>
      <c r="CK243" s="73" t="str">
        <f t="shared" si="286"/>
        <v/>
      </c>
      <c r="CL243" s="47"/>
      <c r="CM243" s="19" t="str">
        <f t="shared" si="333"/>
        <v/>
      </c>
      <c r="CN243" s="47" t="s">
        <v>0</v>
      </c>
      <c r="CO243" s="143" t="str">
        <f t="shared" si="334"/>
        <v/>
      </c>
      <c r="CP243" s="47" t="s">
        <v>0</v>
      </c>
      <c r="CQ243" s="58" t="str">
        <f t="shared" si="350"/>
        <v/>
      </c>
      <c r="CR243" s="73" t="str">
        <f t="shared" si="351"/>
        <v>0</v>
      </c>
      <c r="CS243" s="229" t="str">
        <f t="shared" si="287"/>
        <v/>
      </c>
      <c r="CT243" s="230" t="str">
        <f t="shared" si="272"/>
        <v/>
      </c>
      <c r="CU243" s="163" t="str">
        <f t="shared" si="288"/>
        <v/>
      </c>
      <c r="CV243" s="47" t="s">
        <v>0</v>
      </c>
      <c r="CW243" s="222" t="str">
        <f t="shared" si="335"/>
        <v xml:space="preserve">
</v>
      </c>
      <c r="CX243" s="223" t="str">
        <f t="shared" si="336"/>
        <v/>
      </c>
      <c r="CY243" s="47" t="s">
        <v>0</v>
      </c>
      <c r="CZ243" s="47"/>
      <c r="DA243" s="47"/>
      <c r="DB243" s="47"/>
      <c r="DC243" s="47" t="s">
        <v>0</v>
      </c>
      <c r="DD243" s="53" t="str">
        <f t="shared" si="344"/>
        <v/>
      </c>
      <c r="DE243" t="s">
        <v>0</v>
      </c>
      <c r="DF243" s="128" t="str">
        <f t="shared" si="345"/>
        <v>Ž</v>
      </c>
      <c r="DG243" t="s">
        <v>0</v>
      </c>
      <c r="DH243" s="52" t="str">
        <f t="shared" si="346"/>
        <v/>
      </c>
      <c r="DI243" s="66" t="str">
        <f t="shared" si="347"/>
        <v/>
      </c>
      <c r="DJ243" t="s">
        <v>0</v>
      </c>
      <c r="DK243" s="19" t="str">
        <f t="shared" si="348"/>
        <v/>
      </c>
      <c r="DL243" s="47" t="s">
        <v>0</v>
      </c>
      <c r="DM243" s="19" t="str">
        <f t="shared" si="349"/>
        <v/>
      </c>
      <c r="DN243" s="47" t="s">
        <v>0</v>
      </c>
      <c r="DO243" s="52" t="str">
        <f t="shared" si="289"/>
        <v/>
      </c>
      <c r="DP243" s="53" t="str">
        <f t="shared" si="290"/>
        <v/>
      </c>
      <c r="DQ243" s="47" t="s">
        <v>0</v>
      </c>
      <c r="DR243" s="52" t="str">
        <f t="shared" si="291"/>
        <v/>
      </c>
      <c r="DS243" s="53" t="str">
        <f t="shared" si="292"/>
        <v/>
      </c>
      <c r="DT243" s="47" t="s">
        <v>0</v>
      </c>
      <c r="DU243" s="52" t="str">
        <f t="shared" si="293"/>
        <v/>
      </c>
      <c r="DV243" s="53" t="str">
        <f t="shared" si="294"/>
        <v/>
      </c>
      <c r="DW243" s="47" t="s">
        <v>0</v>
      </c>
      <c r="DX243" s="58" t="str">
        <f t="shared" si="337"/>
        <v/>
      </c>
      <c r="DY243" s="53" t="str" cm="1">
        <f t="array" ref="DY243">IF(DX243&lt;&gt;"",INDEX(regNatjecatelj_id,DX243,0),IF(BD243&lt;&gt;"",BD243,""))</f>
        <v/>
      </c>
      <c r="DZ243" s="47" t="s">
        <v>0</v>
      </c>
      <c r="EA243" s="58" t="str">
        <f t="shared" si="295"/>
        <v/>
      </c>
      <c r="EB243" s="73" t="str">
        <f t="shared" si="296"/>
        <v/>
      </c>
      <c r="EC243" s="73" t="str">
        <f t="shared" si="297"/>
        <v/>
      </c>
      <c r="ED243" s="73" t="str">
        <f t="shared" si="298"/>
        <v/>
      </c>
      <c r="EE243" s="66" t="str">
        <f t="shared" si="299"/>
        <v/>
      </c>
      <c r="EF243" s="47" t="s">
        <v>0</v>
      </c>
      <c r="EG243" s="58" t="str">
        <f>IF(AL243="","",MAX(EG$12:EG242)+1)</f>
        <v/>
      </c>
      <c r="EH243" s="73" t="str">
        <f t="shared" si="300"/>
        <v/>
      </c>
      <c r="EI243" s="73" t="str">
        <f t="shared" si="338"/>
        <v/>
      </c>
      <c r="EJ243" s="73" t="str">
        <f t="shared" si="301"/>
        <v/>
      </c>
      <c r="EK243" s="73" t="str">
        <f t="shared" si="302"/>
        <v/>
      </c>
      <c r="EL243" s="73" t="str">
        <f t="shared" si="339"/>
        <v/>
      </c>
      <c r="EM243" s="73" t="str">
        <f t="shared" si="340"/>
        <v/>
      </c>
      <c r="EN243" s="73" t="str">
        <f t="shared" si="303"/>
        <v/>
      </c>
      <c r="EO243" s="73" t="str">
        <f t="shared" si="304"/>
        <v/>
      </c>
      <c r="EP243" s="73" t="str">
        <f t="shared" si="305"/>
        <v/>
      </c>
      <c r="EQ243" s="53" t="str">
        <f t="shared" si="306"/>
        <v/>
      </c>
      <c r="ER243" s="47" t="s">
        <v>0</v>
      </c>
      <c r="ES243" s="19" t="str">
        <f t="shared" si="341"/>
        <v/>
      </c>
      <c r="ET243" s="47" t="s">
        <v>0</v>
      </c>
      <c r="EU243" s="19" t="str">
        <f t="shared" si="342"/>
        <v/>
      </c>
      <c r="EV243" s="47" t="s">
        <v>0</v>
      </c>
      <c r="EW243" s="180" t="str">
        <f t="shared" si="307"/>
        <v/>
      </c>
      <c r="EX243" s="47" t="s">
        <v>0</v>
      </c>
    </row>
    <row r="244" spans="1:154" x14ac:dyDescent="0.25">
      <c r="A244" t="s">
        <v>0</v>
      </c>
      <c r="B244" s="52" t="str">
        <f>IF(csv!F234="","",csv!T234)</f>
        <v>Ž20</v>
      </c>
      <c r="C244" s="31" t="s">
        <v>0</v>
      </c>
      <c r="D244" s="31" t="str">
        <f>IF(csv!F234="","",csv!F234)</f>
        <v>Dorja</v>
      </c>
      <c r="E244" s="31" t="str">
        <f>IF(csv!E234="","",csv!E234)</f>
        <v>Salopek</v>
      </c>
      <c r="F244" s="31" t="s">
        <v>0</v>
      </c>
      <c r="G244" s="73" t="str">
        <f>IF(csv!M234="","",csv!M234)</f>
        <v>34:26</v>
      </c>
      <c r="H244" s="73" t="str">
        <f>IF(csv!N234="","",csv!N234)</f>
        <v>0</v>
      </c>
      <c r="I244" s="31" t="s">
        <v>0</v>
      </c>
      <c r="J244" s="31" t="str">
        <f>IF(csv!P234="","",csv!P234)</f>
        <v>RIS</v>
      </c>
      <c r="K244" s="31" t="str">
        <f>IF(csv!Q234="","",csv!Q234)</f>
        <v>OK Ris</v>
      </c>
      <c r="L244" s="31" t="s">
        <v>0</v>
      </c>
      <c r="M244" s="66" t="str">
        <f>IF(csv!R234="","",csv!R234)</f>
        <v>CRO</v>
      </c>
      <c r="N244" s="47" t="s">
        <v>0</v>
      </c>
      <c r="O244" s="246" t="str">
        <f t="shared" si="308"/>
        <v>ok</v>
      </c>
      <c r="P244" s="47"/>
      <c r="Q244" s="52" t="str">
        <f t="shared" si="309"/>
        <v>Ž20</v>
      </c>
      <c r="R244" s="73">
        <f>IF(Q244="","",IF(COUNTIF(Q$12:Q243,Q244)=0,R243+1,R243))</f>
        <v>16</v>
      </c>
      <c r="S244" s="73">
        <f t="shared" si="310"/>
        <v>119</v>
      </c>
      <c r="T244" s="73">
        <f t="shared" si="273"/>
        <v>28</v>
      </c>
      <c r="U244" s="66" t="str">
        <f t="shared" si="274"/>
        <v>Ž20</v>
      </c>
      <c r="V244" s="47" t="s">
        <v>0</v>
      </c>
      <c r="W244" s="222" t="str">
        <f t="shared" si="275"/>
        <v>Ž20</v>
      </c>
      <c r="X244" s="223">
        <f t="shared" si="276"/>
        <v>38</v>
      </c>
      <c r="Y244" s="47" t="s">
        <v>0</v>
      </c>
      <c r="Z244" s="52" t="str">
        <f t="shared" si="311"/>
        <v>CRO</v>
      </c>
      <c r="AA244" s="73">
        <f t="shared" si="277"/>
        <v>1</v>
      </c>
      <c r="AB244" s="31" t="str">
        <f t="shared" si="312"/>
        <v/>
      </c>
      <c r="AC244" s="66" t="str">
        <f>IF(AB244="","",MAX(AC$12:AC243)+1)</f>
        <v/>
      </c>
      <c r="AD244" s="47" t="s">
        <v>0</v>
      </c>
      <c r="AE244" s="125"/>
      <c r="AF244" s="47" t="s">
        <v>0</v>
      </c>
      <c r="AG244" s="19" t="str">
        <f t="shared" si="313"/>
        <v/>
      </c>
      <c r="AH244" s="47" t="s">
        <v>0</v>
      </c>
      <c r="AI244" s="143" t="str">
        <f t="shared" si="314"/>
        <v>CRO</v>
      </c>
      <c r="AJ244" s="47"/>
      <c r="AK244" s="52" t="str">
        <f t="shared" si="315"/>
        <v>Dorja</v>
      </c>
      <c r="AL244" s="31" t="str">
        <f t="shared" si="316"/>
        <v>Salopek</v>
      </c>
      <c r="AM244" s="73">
        <f t="shared" si="317"/>
        <v>1966</v>
      </c>
      <c r="AN244" s="73" t="str">
        <f t="shared" si="318"/>
        <v/>
      </c>
      <c r="AO244" s="31" t="str">
        <f t="shared" si="278"/>
        <v>Dorja</v>
      </c>
      <c r="AP244" s="66" t="str">
        <f t="shared" si="279"/>
        <v>Salopek</v>
      </c>
      <c r="AQ244" s="47" t="s">
        <v>0</v>
      </c>
      <c r="AR244" s="82" t="str">
        <f t="shared" si="319"/>
        <v/>
      </c>
      <c r="AS244" s="47" t="s">
        <v>0</v>
      </c>
      <c r="AT244" s="19" t="str">
        <f t="shared" si="320"/>
        <v/>
      </c>
      <c r="AU244" s="47" t="s">
        <v>0</v>
      </c>
      <c r="AV244" s="103"/>
      <c r="AW244" s="105"/>
      <c r="AX244" s="47" t="s">
        <v>0</v>
      </c>
      <c r="AY244" s="259" t="str">
        <f t="shared" si="343"/>
        <v/>
      </c>
      <c r="AZ244" s="47" t="s">
        <v>0</v>
      </c>
      <c r="BA244" s="52" t="str">
        <f t="shared" si="280"/>
        <v/>
      </c>
      <c r="BB244" s="73" t="str">
        <f>IF(AV244&amp;AW244="","",MAX(BB$12:BB243)+1)</f>
        <v/>
      </c>
      <c r="BC244" s="272" t="str">
        <f t="shared" si="281"/>
        <v/>
      </c>
      <c r="BD244" s="53" t="str">
        <f>IF(AND(AM244="NEMA",AN244="NEMA",OR(AV244&amp;AW244="",BC244="NEMA")),MAX(BD$12:BD243)+1,"")</f>
        <v/>
      </c>
      <c r="BE244" s="47" t="s">
        <v>0</v>
      </c>
      <c r="BF244" s="52" t="str">
        <f t="shared" si="321"/>
        <v>Dorja</v>
      </c>
      <c r="BG244" s="66" t="str">
        <f t="shared" si="322"/>
        <v>Salopek</v>
      </c>
      <c r="BH244" s="47" t="s">
        <v>0</v>
      </c>
      <c r="BI244" s="52" t="str">
        <f t="shared" si="282"/>
        <v>RIS</v>
      </c>
      <c r="BJ244" s="31" t="str">
        <f t="shared" si="283"/>
        <v>OK Ris</v>
      </c>
      <c r="BK244" s="73" t="str">
        <f t="shared" si="284"/>
        <v/>
      </c>
      <c r="BL244" s="31" t="str" cm="1">
        <f t="array" ref="BL244">IF(BK244="",""&amp;BJ244,IF(BK244="NEMA",BJ244,INDEX(regKlub_naziv,MATCH(INDEX(regKlub_alias_klubId,BK244),regKlub_id,0))))</f>
        <v>OK Ris</v>
      </c>
      <c r="BM244" s="31" t="str" cm="1">
        <f t="array" ref="BM244">IFERROR(""&amp;INDEX(regNatjecatelj_klub,DV244),"")</f>
        <v>OK Ris</v>
      </c>
      <c r="BN244" s="88" t="str">
        <f t="shared" si="323"/>
        <v/>
      </c>
      <c r="BO244" s="66" t="str">
        <f t="shared" si="324"/>
        <v>OK Ris</v>
      </c>
      <c r="BP244" s="47" t="s">
        <v>0</v>
      </c>
      <c r="BQ244" s="52" t="str">
        <f>IF(X244&lt;&gt;"NEMA","",IF(IFERROR(MATCH(W244,W$12:W243,0),0)&lt;&gt;0,"",W244))</f>
        <v/>
      </c>
      <c r="BR244" s="73" t="str">
        <f t="shared" si="325"/>
        <v/>
      </c>
      <c r="BS244" s="31" t="str">
        <f>IF(OR(BR244="",BR244&lt;&gt;"NEMA"),"",MAX(BS$12:BS243)+1)</f>
        <v/>
      </c>
      <c r="BT244" s="66" t="str">
        <f t="shared" si="326"/>
        <v/>
      </c>
      <c r="BU244" s="47" t="s">
        <v>0</v>
      </c>
      <c r="BV244" s="19" t="str">
        <f t="shared" si="327"/>
        <v/>
      </c>
      <c r="BW244" s="47" t="s">
        <v>0</v>
      </c>
      <c r="BX244" s="82" t="str">
        <f>IF(BK244&lt;&gt;"NEMA","",IF(IFERROR(MATCH(BJ244,BJ$12:BJ243,0),0)&lt;&gt;0,"",BJ244))</f>
        <v/>
      </c>
      <c r="BY244" s="47" t="s">
        <v>0</v>
      </c>
      <c r="BZ244" s="125"/>
      <c r="CA244" s="47" t="s">
        <v>0</v>
      </c>
      <c r="CB244" s="58" t="str">
        <f t="shared" si="328"/>
        <v/>
      </c>
      <c r="CC244" s="31" t="str">
        <f t="shared" si="329"/>
        <v/>
      </c>
      <c r="CD244" s="31" t="str">
        <f>IF(CC244="","",MAX(CD$12:CD243)+1)</f>
        <v/>
      </c>
      <c r="CE244" s="31" t="str">
        <f t="shared" si="285"/>
        <v/>
      </c>
      <c r="CF244" s="31" t="str">
        <f t="shared" si="330"/>
        <v/>
      </c>
      <c r="CG244" s="31" t="str">
        <f>IF(BZ244="","",MAX(CG$12:CG243)+1)</f>
        <v/>
      </c>
      <c r="CH244" s="31" t="str">
        <f t="shared" si="331"/>
        <v/>
      </c>
      <c r="CI244" s="66" t="str">
        <f t="shared" si="332"/>
        <v/>
      </c>
      <c r="CJ244" s="47" t="s">
        <v>0</v>
      </c>
      <c r="CK244" s="73" t="str">
        <f t="shared" si="286"/>
        <v/>
      </c>
      <c r="CL244" s="47"/>
      <c r="CM244" s="19" t="str">
        <f t="shared" si="333"/>
        <v/>
      </c>
      <c r="CN244" s="47" t="s">
        <v>0</v>
      </c>
      <c r="CO244" s="143" t="str">
        <f t="shared" si="334"/>
        <v>OK Ris</v>
      </c>
      <c r="CP244" s="47" t="s">
        <v>0</v>
      </c>
      <c r="CQ244" s="58" t="str">
        <f t="shared" si="350"/>
        <v>34:26</v>
      </c>
      <c r="CR244" s="73" t="str">
        <f t="shared" si="351"/>
        <v>0</v>
      </c>
      <c r="CS244" s="229" t="str">
        <f t="shared" si="287"/>
        <v/>
      </c>
      <c r="CT244" s="230">
        <f t="shared" si="272"/>
        <v>2066</v>
      </c>
      <c r="CU244" s="163">
        <f t="shared" si="288"/>
        <v>1</v>
      </c>
      <c r="CV244" s="47" t="s">
        <v>0</v>
      </c>
      <c r="CW244" s="222" t="str">
        <f t="shared" si="335"/>
        <v xml:space="preserve">
</v>
      </c>
      <c r="CX244" s="223">
        <f t="shared" si="336"/>
        <v>6</v>
      </c>
      <c r="CY244" s="47" t="s">
        <v>0</v>
      </c>
      <c r="CZ244" s="47"/>
      <c r="DA244" s="47"/>
      <c r="DB244" s="47"/>
      <c r="DC244" s="47" t="s">
        <v>0</v>
      </c>
      <c r="DD244" s="53" t="str">
        <f t="shared" si="344"/>
        <v/>
      </c>
      <c r="DE244" t="s">
        <v>0</v>
      </c>
      <c r="DF244" s="128" t="str">
        <f t="shared" si="345"/>
        <v>Ž</v>
      </c>
      <c r="DG244" t="s">
        <v>0</v>
      </c>
      <c r="DH244" s="52" t="str">
        <f t="shared" si="346"/>
        <v/>
      </c>
      <c r="DI244" s="66" t="str">
        <f t="shared" si="347"/>
        <v/>
      </c>
      <c r="DJ244" t="s">
        <v>0</v>
      </c>
      <c r="DK244" s="19" t="str">
        <f t="shared" si="348"/>
        <v/>
      </c>
      <c r="DL244" s="47" t="s">
        <v>0</v>
      </c>
      <c r="DM244" s="19" t="str">
        <f t="shared" si="349"/>
        <v/>
      </c>
      <c r="DN244" s="47" t="s">
        <v>0</v>
      </c>
      <c r="DO244" s="52" t="str">
        <f t="shared" si="289"/>
        <v>Dorja – Salopek – OK Ris – Ž20</v>
      </c>
      <c r="DP244" s="53" t="str">
        <f t="shared" si="290"/>
        <v>NEMA</v>
      </c>
      <c r="DQ244" s="47" t="s">
        <v>0</v>
      </c>
      <c r="DR244" s="52" t="str">
        <f t="shared" si="291"/>
        <v>Dorja – Salopek – OK Ris</v>
      </c>
      <c r="DS244" s="53">
        <f t="shared" si="292"/>
        <v>451</v>
      </c>
      <c r="DT244" s="47" t="s">
        <v>0</v>
      </c>
      <c r="DU244" s="52" t="str">
        <f t="shared" si="293"/>
        <v>Dorja – Salopek</v>
      </c>
      <c r="DV244" s="53">
        <f t="shared" si="294"/>
        <v>451</v>
      </c>
      <c r="DW244" s="47" t="s">
        <v>0</v>
      </c>
      <c r="DX244" s="58">
        <f t="shared" si="337"/>
        <v>451</v>
      </c>
      <c r="DY244" s="53" cm="1">
        <f t="array" ref="DY244">IF(DX244&lt;&gt;"",INDEX(regNatjecatelj_id,DX244,0),IF(BD244&lt;&gt;"",BD244,""))</f>
        <v>1966</v>
      </c>
      <c r="DZ244" s="47" t="s">
        <v>0</v>
      </c>
      <c r="EA244" s="58" t="str">
        <f t="shared" si="295"/>
        <v>imepre</v>
      </c>
      <c r="EB244" s="73" t="str">
        <f t="shared" si="296"/>
        <v>klu</v>
      </c>
      <c r="EC244" s="73" t="str">
        <f t="shared" si="297"/>
        <v>kat</v>
      </c>
      <c r="ED244" s="73" t="str">
        <f t="shared" si="298"/>
        <v/>
      </c>
      <c r="EE244" s="66" t="str">
        <f t="shared" si="299"/>
        <v>imepre-klu-kat</v>
      </c>
      <c r="EF244" s="47" t="s">
        <v>0</v>
      </c>
      <c r="EG244" s="58">
        <f>IF(AL244="","",MAX(EG$12:EG243)+1)</f>
        <v>399</v>
      </c>
      <c r="EH244" s="73">
        <f t="shared" si="300"/>
        <v>38</v>
      </c>
      <c r="EI244" s="73">
        <f t="shared" si="338"/>
        <v>1966</v>
      </c>
      <c r="EJ244" s="73">
        <f t="shared" si="301"/>
        <v>2066</v>
      </c>
      <c r="EK244" s="73">
        <f t="shared" si="302"/>
        <v>1</v>
      </c>
      <c r="EL244" s="73">
        <f t="shared" si="339"/>
        <v>0</v>
      </c>
      <c r="EM244" s="73">
        <f t="shared" si="340"/>
        <v>1</v>
      </c>
      <c r="EN244" s="73" t="str">
        <f t="shared" si="303"/>
        <v>0</v>
      </c>
      <c r="EO244" s="73" t="str">
        <f t="shared" si="304"/>
        <v/>
      </c>
      <c r="EP244" s="73" t="str">
        <f t="shared" si="305"/>
        <v/>
      </c>
      <c r="EQ244" s="53" t="str">
        <f t="shared" si="306"/>
        <v/>
      </c>
      <c r="ER244" s="47" t="s">
        <v>0</v>
      </c>
      <c r="ES244" s="19" t="str">
        <f t="shared" si="341"/>
        <v>INSERT INTO rezultat(id,stazakategorija_id,imeprezime_id,vrijeme_sec,status_id,registracija,uparivanje_id,originalstatus_id,imeprezimealias_id,klubalias_id,kategorijaalias_id) VALUES (399,38,1966,2066,1,0,1,0,Null,Null,Null);</v>
      </c>
      <c r="ET244" s="47" t="s">
        <v>0</v>
      </c>
      <c r="EU244" s="19" t="str">
        <f t="shared" si="342"/>
        <v/>
      </c>
      <c r="EV244" s="47" t="s">
        <v>0</v>
      </c>
      <c r="EW244" s="180" t="str">
        <f t="shared" si="307"/>
        <v xml:space="preserve">
INSERT INTO rezultat(id,stazakategorija_id,imeprezime_id,vrijeme_sec,status_id,registracija,uparivanje_id,originalstatus_id,imeprezimealias_id,klubalias_id,kategorijaalias_id) VALUES (399,38,1966,2066,1,0,1,0,Null,Null,Null);</v>
      </c>
      <c r="EX244" s="47" t="s">
        <v>0</v>
      </c>
    </row>
    <row r="245" spans="1:154" x14ac:dyDescent="0.25">
      <c r="A245" t="s">
        <v>0</v>
      </c>
      <c r="B245" s="52" t="str">
        <f>IF(csv!F235="","",csv!T235)</f>
        <v>Ž20</v>
      </c>
      <c r="C245" s="31" t="s">
        <v>0</v>
      </c>
      <c r="D245" s="31" t="str">
        <f>IF(csv!F235="","",csv!F235)</f>
        <v>Zdenka Petra</v>
      </c>
      <c r="E245" s="31" t="str">
        <f>IF(csv!E235="","",csv!E235)</f>
        <v>Štambuk</v>
      </c>
      <c r="F245" s="31" t="s">
        <v>0</v>
      </c>
      <c r="G245" s="73" t="str">
        <f>IF(csv!M235="","",csv!M235)</f>
        <v>39:50</v>
      </c>
      <c r="H245" s="73" t="str">
        <f>IF(csv!N235="","",csv!N235)</f>
        <v>0</v>
      </c>
      <c r="I245" s="31" t="s">
        <v>0</v>
      </c>
      <c r="J245" s="31" t="str">
        <f>IF(csv!P235="","",csv!P235)</f>
        <v>OK MERZ CRO</v>
      </c>
      <c r="K245" s="31" t="str">
        <f>IF(csv!Q235="","",csv!Q235)</f>
        <v>OK Ivan Merz</v>
      </c>
      <c r="L245" s="31" t="s">
        <v>0</v>
      </c>
      <c r="M245" s="66" t="str">
        <f>IF(csv!R235="","",csv!R235)</f>
        <v>CRO</v>
      </c>
      <c r="N245" s="47" t="s">
        <v>0</v>
      </c>
      <c r="O245" s="246" t="str">
        <f t="shared" si="308"/>
        <v>ok</v>
      </c>
      <c r="P245" s="47"/>
      <c r="Q245" s="52" t="str">
        <f t="shared" si="309"/>
        <v>Ž20</v>
      </c>
      <c r="R245" s="73">
        <f>IF(Q245="","",IF(COUNTIF(Q$12:Q244,Q245)=0,R244+1,R244))</f>
        <v>16</v>
      </c>
      <c r="S245" s="73">
        <f t="shared" si="310"/>
        <v>119</v>
      </c>
      <c r="T245" s="73">
        <f t="shared" si="273"/>
        <v>28</v>
      </c>
      <c r="U245" s="66" t="str">
        <f t="shared" si="274"/>
        <v>Ž20</v>
      </c>
      <c r="V245" s="47" t="s">
        <v>0</v>
      </c>
      <c r="W245" s="222" t="str">
        <f t="shared" si="275"/>
        <v>Ž20</v>
      </c>
      <c r="X245" s="223">
        <f t="shared" si="276"/>
        <v>38</v>
      </c>
      <c r="Y245" s="47" t="s">
        <v>0</v>
      </c>
      <c r="Z245" s="52" t="str">
        <f t="shared" si="311"/>
        <v>CRO</v>
      </c>
      <c r="AA245" s="73">
        <f t="shared" si="277"/>
        <v>1</v>
      </c>
      <c r="AB245" s="31" t="str">
        <f t="shared" si="312"/>
        <v/>
      </c>
      <c r="AC245" s="66" t="str">
        <f>IF(AB245="","",MAX(AC$12:AC244)+1)</f>
        <v/>
      </c>
      <c r="AD245" s="47" t="s">
        <v>0</v>
      </c>
      <c r="AE245" s="125"/>
      <c r="AF245" s="47" t="s">
        <v>0</v>
      </c>
      <c r="AG245" s="19" t="str">
        <f t="shared" si="313"/>
        <v/>
      </c>
      <c r="AH245" s="47" t="s">
        <v>0</v>
      </c>
      <c r="AI245" s="143" t="str">
        <f t="shared" si="314"/>
        <v>CRO</v>
      </c>
      <c r="AJ245" s="47"/>
      <c r="AK245" s="52" t="str">
        <f t="shared" si="315"/>
        <v>Zdenka Petra</v>
      </c>
      <c r="AL245" s="31" t="str">
        <f t="shared" si="316"/>
        <v>Štambuk</v>
      </c>
      <c r="AM245" s="73">
        <f t="shared" si="317"/>
        <v>1424</v>
      </c>
      <c r="AN245" s="73" t="str">
        <f t="shared" si="318"/>
        <v/>
      </c>
      <c r="AO245" s="31" t="str">
        <f t="shared" si="278"/>
        <v>Zdenka Petra</v>
      </c>
      <c r="AP245" s="66" t="str">
        <f t="shared" si="279"/>
        <v>Štambuk</v>
      </c>
      <c r="AQ245" s="47" t="s">
        <v>0</v>
      </c>
      <c r="AR245" s="82" t="str">
        <f t="shared" si="319"/>
        <v/>
      </c>
      <c r="AS245" s="47" t="s">
        <v>0</v>
      </c>
      <c r="AT245" s="19" t="str">
        <f t="shared" si="320"/>
        <v/>
      </c>
      <c r="AU245" s="47" t="s">
        <v>0</v>
      </c>
      <c r="AV245" s="103"/>
      <c r="AW245" s="105"/>
      <c r="AX245" s="47" t="s">
        <v>0</v>
      </c>
      <c r="AY245" s="259" t="str">
        <f t="shared" si="343"/>
        <v/>
      </c>
      <c r="AZ245" s="47" t="s">
        <v>0</v>
      </c>
      <c r="BA245" s="52" t="str">
        <f t="shared" si="280"/>
        <v/>
      </c>
      <c r="BB245" s="73" t="str">
        <f>IF(AV245&amp;AW245="","",MAX(BB$12:BB244)+1)</f>
        <v/>
      </c>
      <c r="BC245" s="272" t="str">
        <f t="shared" si="281"/>
        <v/>
      </c>
      <c r="BD245" s="53" t="str">
        <f>IF(AND(AM245="NEMA",AN245="NEMA",OR(AV245&amp;AW245="",BC245="NEMA")),MAX(BD$12:BD244)+1,"")</f>
        <v/>
      </c>
      <c r="BE245" s="47" t="s">
        <v>0</v>
      </c>
      <c r="BF245" s="52" t="str">
        <f t="shared" si="321"/>
        <v>Zdenka Petra</v>
      </c>
      <c r="BG245" s="66" t="str">
        <f t="shared" si="322"/>
        <v>Štambuk</v>
      </c>
      <c r="BH245" s="47" t="s">
        <v>0</v>
      </c>
      <c r="BI245" s="52" t="str">
        <f t="shared" si="282"/>
        <v>OK MERZ CRO</v>
      </c>
      <c r="BJ245" s="31" t="str">
        <f t="shared" si="283"/>
        <v>OK Ivan Merz</v>
      </c>
      <c r="BK245" s="73" t="str">
        <f t="shared" si="284"/>
        <v/>
      </c>
      <c r="BL245" s="31" t="str" cm="1">
        <f t="array" ref="BL245">IF(BK245="",""&amp;BJ245,IF(BK245="NEMA",BJ245,INDEX(regKlub_naziv,MATCH(INDEX(regKlub_alias_klubId,BK245),regKlub_id,0))))</f>
        <v>OK Ivan Merz</v>
      </c>
      <c r="BM245" s="31" t="str" cm="1">
        <f t="array" ref="BM245">IFERROR(""&amp;INDEX(regNatjecatelj_klub,DV245),"")</f>
        <v>OK Ivan Merz</v>
      </c>
      <c r="BN245" s="88" t="str">
        <f t="shared" si="323"/>
        <v/>
      </c>
      <c r="BO245" s="66" t="str">
        <f t="shared" si="324"/>
        <v>OK Ivan Merz</v>
      </c>
      <c r="BP245" s="47" t="s">
        <v>0</v>
      </c>
      <c r="BQ245" s="52" t="str">
        <f>IF(X245&lt;&gt;"NEMA","",IF(IFERROR(MATCH(W245,W$12:W244,0),0)&lt;&gt;0,"",W245))</f>
        <v/>
      </c>
      <c r="BR245" s="73" t="str">
        <f t="shared" si="325"/>
        <v/>
      </c>
      <c r="BS245" s="31" t="str">
        <f>IF(OR(BR245="",BR245&lt;&gt;"NEMA"),"",MAX(BS$12:BS244)+1)</f>
        <v/>
      </c>
      <c r="BT245" s="66" t="str">
        <f t="shared" si="326"/>
        <v/>
      </c>
      <c r="BU245" s="47" t="s">
        <v>0</v>
      </c>
      <c r="BV245" s="19" t="str">
        <f t="shared" si="327"/>
        <v/>
      </c>
      <c r="BW245" s="47" t="s">
        <v>0</v>
      </c>
      <c r="BX245" s="82" t="str">
        <f>IF(BK245&lt;&gt;"NEMA","",IF(IFERROR(MATCH(BJ245,BJ$12:BJ244,0),0)&lt;&gt;0,"",BJ245))</f>
        <v/>
      </c>
      <c r="BY245" s="47" t="s">
        <v>0</v>
      </c>
      <c r="BZ245" s="125"/>
      <c r="CA245" s="47" t="s">
        <v>0</v>
      </c>
      <c r="CB245" s="58" t="str">
        <f t="shared" si="328"/>
        <v/>
      </c>
      <c r="CC245" s="31" t="str">
        <f t="shared" si="329"/>
        <v/>
      </c>
      <c r="CD245" s="31" t="str">
        <f>IF(CC245="","",MAX(CD$12:CD244)+1)</f>
        <v/>
      </c>
      <c r="CE245" s="31" t="str">
        <f t="shared" si="285"/>
        <v/>
      </c>
      <c r="CF245" s="31" t="str">
        <f t="shared" si="330"/>
        <v/>
      </c>
      <c r="CG245" s="31" t="str">
        <f>IF(BZ245="","",MAX(CG$12:CG244)+1)</f>
        <v/>
      </c>
      <c r="CH245" s="31" t="str">
        <f t="shared" si="331"/>
        <v/>
      </c>
      <c r="CI245" s="66" t="str">
        <f t="shared" si="332"/>
        <v/>
      </c>
      <c r="CJ245" s="47" t="s">
        <v>0</v>
      </c>
      <c r="CK245" s="73" t="str">
        <f t="shared" si="286"/>
        <v/>
      </c>
      <c r="CL245" s="47"/>
      <c r="CM245" s="19" t="str">
        <f t="shared" si="333"/>
        <v/>
      </c>
      <c r="CN245" s="47" t="s">
        <v>0</v>
      </c>
      <c r="CO245" s="143" t="str">
        <f t="shared" si="334"/>
        <v>OK Ivan Merz</v>
      </c>
      <c r="CP245" s="47" t="s">
        <v>0</v>
      </c>
      <c r="CQ245" s="58" t="str">
        <f t="shared" si="350"/>
        <v>39:50</v>
      </c>
      <c r="CR245" s="73" t="str">
        <f t="shared" si="351"/>
        <v>0</v>
      </c>
      <c r="CS245" s="229" t="str">
        <f t="shared" si="287"/>
        <v/>
      </c>
      <c r="CT245" s="230">
        <f t="shared" si="272"/>
        <v>2390</v>
      </c>
      <c r="CU245" s="163">
        <f t="shared" si="288"/>
        <v>1</v>
      </c>
      <c r="CV245" s="47" t="s">
        <v>0</v>
      </c>
      <c r="CW245" s="222" t="str">
        <f t="shared" si="335"/>
        <v xml:space="preserve">
</v>
      </c>
      <c r="CX245" s="223">
        <f t="shared" si="336"/>
        <v>6</v>
      </c>
      <c r="CY245" s="47" t="s">
        <v>0</v>
      </c>
      <c r="CZ245" s="47"/>
      <c r="DA245" s="47"/>
      <c r="DB245" s="47"/>
      <c r="DC245" s="47" t="s">
        <v>0</v>
      </c>
      <c r="DD245" s="53" t="str">
        <f t="shared" si="344"/>
        <v/>
      </c>
      <c r="DE245" t="s">
        <v>0</v>
      </c>
      <c r="DF245" s="128" t="str">
        <f t="shared" si="345"/>
        <v>Ž</v>
      </c>
      <c r="DG245" t="s">
        <v>0</v>
      </c>
      <c r="DH245" s="52" t="str">
        <f t="shared" si="346"/>
        <v/>
      </c>
      <c r="DI245" s="66" t="str">
        <f t="shared" si="347"/>
        <v/>
      </c>
      <c r="DJ245" t="s">
        <v>0</v>
      </c>
      <c r="DK245" s="19" t="str">
        <f t="shared" si="348"/>
        <v/>
      </c>
      <c r="DL245" s="47" t="s">
        <v>0</v>
      </c>
      <c r="DM245" s="19" t="str">
        <f t="shared" si="349"/>
        <v/>
      </c>
      <c r="DN245" s="47" t="s">
        <v>0</v>
      </c>
      <c r="DO245" s="52" t="str">
        <f t="shared" si="289"/>
        <v>Zdenka Petra – Štambuk – OK Ivan Merz – Ž20</v>
      </c>
      <c r="DP245" s="53">
        <f t="shared" si="290"/>
        <v>71</v>
      </c>
      <c r="DQ245" s="47" t="s">
        <v>0</v>
      </c>
      <c r="DR245" s="52" t="str">
        <f t="shared" si="291"/>
        <v>Zdenka Petra – Štambuk – OK Ivan Merz</v>
      </c>
      <c r="DS245" s="53">
        <f t="shared" si="292"/>
        <v>71</v>
      </c>
      <c r="DT245" s="47" t="s">
        <v>0</v>
      </c>
      <c r="DU245" s="52" t="str">
        <f t="shared" si="293"/>
        <v>Zdenka Petra – Štambuk</v>
      </c>
      <c r="DV245" s="53">
        <f t="shared" si="294"/>
        <v>71</v>
      </c>
      <c r="DW245" s="47" t="s">
        <v>0</v>
      </c>
      <c r="DX245" s="58">
        <f t="shared" si="337"/>
        <v>71</v>
      </c>
      <c r="DY245" s="53" cm="1">
        <f t="array" ref="DY245">IF(DX245&lt;&gt;"",INDEX(regNatjecatelj_id,DX245,0),IF(BD245&lt;&gt;"",BD245,""))</f>
        <v>1424</v>
      </c>
      <c r="DZ245" s="47" t="s">
        <v>0</v>
      </c>
      <c r="EA245" s="58" t="str">
        <f t="shared" si="295"/>
        <v>imepre</v>
      </c>
      <c r="EB245" s="73" t="str">
        <f t="shared" si="296"/>
        <v>klu</v>
      </c>
      <c r="EC245" s="73" t="str">
        <f t="shared" si="297"/>
        <v>kat</v>
      </c>
      <c r="ED245" s="73" t="str">
        <f t="shared" si="298"/>
        <v/>
      </c>
      <c r="EE245" s="66" t="str">
        <f t="shared" si="299"/>
        <v>imepre-klu-kat</v>
      </c>
      <c r="EF245" s="47" t="s">
        <v>0</v>
      </c>
      <c r="EG245" s="58">
        <f>IF(AL245="","",MAX(EG$12:EG244)+1)</f>
        <v>400</v>
      </c>
      <c r="EH245" s="73">
        <f t="shared" si="300"/>
        <v>38</v>
      </c>
      <c r="EI245" s="73">
        <f t="shared" si="338"/>
        <v>1424</v>
      </c>
      <c r="EJ245" s="73">
        <f t="shared" si="301"/>
        <v>2390</v>
      </c>
      <c r="EK245" s="73">
        <f t="shared" si="302"/>
        <v>1</v>
      </c>
      <c r="EL245" s="73">
        <f t="shared" si="339"/>
        <v>1</v>
      </c>
      <c r="EM245" s="73">
        <f t="shared" si="340"/>
        <v>1</v>
      </c>
      <c r="EN245" s="73" t="str">
        <f t="shared" si="303"/>
        <v>0</v>
      </c>
      <c r="EO245" s="73" t="str">
        <f t="shared" si="304"/>
        <v/>
      </c>
      <c r="EP245" s="73" t="str">
        <f t="shared" si="305"/>
        <v/>
      </c>
      <c r="EQ245" s="53" t="str">
        <f t="shared" si="306"/>
        <v/>
      </c>
      <c r="ER245" s="47" t="s">
        <v>0</v>
      </c>
      <c r="ES245" s="19" t="str">
        <f t="shared" si="341"/>
        <v>INSERT INTO rezultat(id,stazakategorija_id,imeprezime_id,vrijeme_sec,status_id,registracija,uparivanje_id,originalstatus_id,imeprezimealias_id,klubalias_id,kategorijaalias_id) VALUES (400,38,1424,2390,1,1,1,0,Null,Null,Null);</v>
      </c>
      <c r="ET245" s="47" t="s">
        <v>0</v>
      </c>
      <c r="EU245" s="19" t="str">
        <f t="shared" si="342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5" s="47" t="s">
        <v>0</v>
      </c>
      <c r="EW245" s="180" t="str">
        <f t="shared" si="307"/>
        <v xml:space="preserve">
INSERT INTO rezultat(id,stazakategorija_id,imeprezime_id,vrijeme_sec,status_id,registracija,uparivanje_id,originalstatus_id,imeprezimealias_id,klubalias_id,kategorijaalias_id) VALUES (400,38,1424,2390,1,1,1,0,Null,Null,Null);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5" s="47" t="s">
        <v>0</v>
      </c>
    </row>
    <row r="246" spans="1:154" x14ac:dyDescent="0.25">
      <c r="A246" t="s">
        <v>0</v>
      </c>
      <c r="B246" s="52" t="str">
        <f>IF(csv!F236="","",csv!T236)</f>
        <v>Ž20</v>
      </c>
      <c r="C246" s="31" t="s">
        <v>0</v>
      </c>
      <c r="D246" s="31" t="str">
        <f>IF(csv!F236="","",csv!F236)</f>
        <v>Paula</v>
      </c>
      <c r="E246" s="31" t="str">
        <f>IF(csv!E236="","",csv!E236)</f>
        <v>Pavlin</v>
      </c>
      <c r="F246" s="31" t="s">
        <v>0</v>
      </c>
      <c r="G246" s="73" t="str">
        <f>IF(csv!M236="","",csv!M236)</f>
        <v>47:34</v>
      </c>
      <c r="H246" s="73" t="str">
        <f>IF(csv!N236="","",csv!N236)</f>
        <v>0</v>
      </c>
      <c r="I246" s="31" t="s">
        <v>0</v>
      </c>
      <c r="J246" s="31" t="str">
        <f>IF(csv!P236="","",csv!P236)</f>
        <v>Vihor</v>
      </c>
      <c r="K246" s="31" t="str">
        <f>IF(csv!Q236="","",csv!Q236)</f>
        <v>OK Vihor</v>
      </c>
      <c r="L246" s="31" t="s">
        <v>0</v>
      </c>
      <c r="M246" s="66" t="str">
        <f>IF(csv!R236="","",csv!R236)</f>
        <v>CRO</v>
      </c>
      <c r="N246" s="47" t="s">
        <v>0</v>
      </c>
      <c r="O246" s="246" t="str">
        <f t="shared" si="308"/>
        <v>ok</v>
      </c>
      <c r="P246" s="47"/>
      <c r="Q246" s="52" t="str">
        <f t="shared" si="309"/>
        <v>Ž20</v>
      </c>
      <c r="R246" s="73">
        <f>IF(Q246="","",IF(COUNTIF(Q$12:Q245,Q246)=0,R245+1,R245))</f>
        <v>16</v>
      </c>
      <c r="S246" s="73">
        <f t="shared" si="310"/>
        <v>119</v>
      </c>
      <c r="T246" s="73">
        <f t="shared" si="273"/>
        <v>28</v>
      </c>
      <c r="U246" s="66" t="str">
        <f t="shared" si="274"/>
        <v>Ž20</v>
      </c>
      <c r="V246" s="47" t="s">
        <v>0</v>
      </c>
      <c r="W246" s="222" t="str">
        <f t="shared" si="275"/>
        <v>Ž20</v>
      </c>
      <c r="X246" s="223">
        <f t="shared" si="276"/>
        <v>38</v>
      </c>
      <c r="Y246" s="47" t="s">
        <v>0</v>
      </c>
      <c r="Z246" s="52" t="str">
        <f t="shared" si="311"/>
        <v>CRO</v>
      </c>
      <c r="AA246" s="73">
        <f t="shared" si="277"/>
        <v>1</v>
      </c>
      <c r="AB246" s="31" t="str">
        <f t="shared" si="312"/>
        <v/>
      </c>
      <c r="AC246" s="66" t="str">
        <f>IF(AB246="","",MAX(AC$12:AC245)+1)</f>
        <v/>
      </c>
      <c r="AD246" s="47" t="s">
        <v>0</v>
      </c>
      <c r="AE246" s="125"/>
      <c r="AF246" s="47" t="s">
        <v>0</v>
      </c>
      <c r="AG246" s="19" t="str">
        <f t="shared" si="313"/>
        <v/>
      </c>
      <c r="AH246" s="47" t="s">
        <v>0</v>
      </c>
      <c r="AI246" s="143" t="str">
        <f t="shared" si="314"/>
        <v>CRO</v>
      </c>
      <c r="AJ246" s="47"/>
      <c r="AK246" s="52" t="str">
        <f t="shared" si="315"/>
        <v>Paula</v>
      </c>
      <c r="AL246" s="31" t="str">
        <f t="shared" si="316"/>
        <v>Pavlin</v>
      </c>
      <c r="AM246" s="73">
        <f t="shared" si="317"/>
        <v>1431</v>
      </c>
      <c r="AN246" s="73" t="str">
        <f t="shared" si="318"/>
        <v/>
      </c>
      <c r="AO246" s="31" t="str">
        <f t="shared" si="278"/>
        <v>Paula</v>
      </c>
      <c r="AP246" s="66" t="str">
        <f t="shared" si="279"/>
        <v>Pavlin</v>
      </c>
      <c r="AQ246" s="47" t="s">
        <v>0</v>
      </c>
      <c r="AR246" s="82" t="str">
        <f t="shared" si="319"/>
        <v/>
      </c>
      <c r="AS246" s="47" t="s">
        <v>0</v>
      </c>
      <c r="AT246" s="19" t="str">
        <f t="shared" si="320"/>
        <v/>
      </c>
      <c r="AU246" s="47" t="s">
        <v>0</v>
      </c>
      <c r="AV246" s="103"/>
      <c r="AW246" s="105"/>
      <c r="AX246" s="47" t="s">
        <v>0</v>
      </c>
      <c r="AY246" s="259" t="str">
        <f t="shared" si="343"/>
        <v/>
      </c>
      <c r="AZ246" s="47" t="s">
        <v>0</v>
      </c>
      <c r="BA246" s="52" t="str">
        <f t="shared" si="280"/>
        <v/>
      </c>
      <c r="BB246" s="73" t="str">
        <f>IF(AV246&amp;AW246="","",MAX(BB$12:BB245)+1)</f>
        <v/>
      </c>
      <c r="BC246" s="272" t="str">
        <f t="shared" si="281"/>
        <v/>
      </c>
      <c r="BD246" s="53" t="str">
        <f>IF(AND(AM246="NEMA",AN246="NEMA",OR(AV246&amp;AW246="",BC246="NEMA")),MAX(BD$12:BD245)+1,"")</f>
        <v/>
      </c>
      <c r="BE246" s="47" t="s">
        <v>0</v>
      </c>
      <c r="BF246" s="52" t="str">
        <f t="shared" si="321"/>
        <v>Paula</v>
      </c>
      <c r="BG246" s="66" t="str">
        <f t="shared" si="322"/>
        <v>Pavlin</v>
      </c>
      <c r="BH246" s="47" t="s">
        <v>0</v>
      </c>
      <c r="BI246" s="52" t="str">
        <f t="shared" si="282"/>
        <v>Vihor</v>
      </c>
      <c r="BJ246" s="31" t="str">
        <f t="shared" si="283"/>
        <v>OK Vihor</v>
      </c>
      <c r="BK246" s="73" t="str">
        <f t="shared" si="284"/>
        <v/>
      </c>
      <c r="BL246" s="31" t="str" cm="1">
        <f t="array" ref="BL246">IF(BK246="",""&amp;BJ246,IF(BK246="NEMA",BJ246,INDEX(regKlub_naziv,MATCH(INDEX(regKlub_alias_klubId,BK246),regKlub_id,0))))</f>
        <v>OK Vihor</v>
      </c>
      <c r="BM246" s="31" t="str" cm="1">
        <f t="array" ref="BM246">IFERROR(""&amp;INDEX(regNatjecatelj_klub,DV246),"")</f>
        <v>OK Vihor</v>
      </c>
      <c r="BN246" s="88" t="str">
        <f t="shared" si="323"/>
        <v/>
      </c>
      <c r="BO246" s="66" t="str">
        <f t="shared" si="324"/>
        <v>OK Vihor</v>
      </c>
      <c r="BP246" s="47" t="s">
        <v>0</v>
      </c>
      <c r="BQ246" s="52" t="str">
        <f>IF(X246&lt;&gt;"NEMA","",IF(IFERROR(MATCH(W246,W$12:W245,0),0)&lt;&gt;0,"",W246))</f>
        <v/>
      </c>
      <c r="BR246" s="73" t="str">
        <f t="shared" si="325"/>
        <v/>
      </c>
      <c r="BS246" s="31" t="str">
        <f>IF(OR(BR246="",BR246&lt;&gt;"NEMA"),"",MAX(BS$12:BS245)+1)</f>
        <v/>
      </c>
      <c r="BT246" s="66" t="str">
        <f t="shared" si="326"/>
        <v/>
      </c>
      <c r="BU246" s="47" t="s">
        <v>0</v>
      </c>
      <c r="BV246" s="19" t="str">
        <f t="shared" si="327"/>
        <v/>
      </c>
      <c r="BW246" s="47" t="s">
        <v>0</v>
      </c>
      <c r="BX246" s="82" t="str">
        <f>IF(BK246&lt;&gt;"NEMA","",IF(IFERROR(MATCH(BJ246,BJ$12:BJ245,0),0)&lt;&gt;0,"",BJ246))</f>
        <v/>
      </c>
      <c r="BY246" s="47" t="s">
        <v>0</v>
      </c>
      <c r="BZ246" s="125"/>
      <c r="CA246" s="47" t="s">
        <v>0</v>
      </c>
      <c r="CB246" s="58" t="str">
        <f t="shared" si="328"/>
        <v/>
      </c>
      <c r="CC246" s="31" t="str">
        <f t="shared" si="329"/>
        <v/>
      </c>
      <c r="CD246" s="31" t="str">
        <f>IF(CC246="","",MAX(CD$12:CD245)+1)</f>
        <v/>
      </c>
      <c r="CE246" s="31" t="str">
        <f t="shared" si="285"/>
        <v/>
      </c>
      <c r="CF246" s="31" t="str">
        <f t="shared" si="330"/>
        <v/>
      </c>
      <c r="CG246" s="31" t="str">
        <f>IF(BZ246="","",MAX(CG$12:CG245)+1)</f>
        <v/>
      </c>
      <c r="CH246" s="31" t="str">
        <f t="shared" si="331"/>
        <v/>
      </c>
      <c r="CI246" s="66" t="str">
        <f t="shared" si="332"/>
        <v/>
      </c>
      <c r="CJ246" s="47" t="s">
        <v>0</v>
      </c>
      <c r="CK246" s="73" t="str">
        <f t="shared" si="286"/>
        <v/>
      </c>
      <c r="CL246" s="47"/>
      <c r="CM246" s="19" t="str">
        <f t="shared" si="333"/>
        <v/>
      </c>
      <c r="CN246" s="47" t="s">
        <v>0</v>
      </c>
      <c r="CO246" s="143" t="str">
        <f t="shared" si="334"/>
        <v>OK Vihor</v>
      </c>
      <c r="CP246" s="47" t="s">
        <v>0</v>
      </c>
      <c r="CQ246" s="58" t="str">
        <f t="shared" si="350"/>
        <v>47:34</v>
      </c>
      <c r="CR246" s="73" t="str">
        <f t="shared" si="351"/>
        <v>0</v>
      </c>
      <c r="CS246" s="229" t="str">
        <f t="shared" si="287"/>
        <v/>
      </c>
      <c r="CT246" s="230">
        <f t="shared" si="272"/>
        <v>2854</v>
      </c>
      <c r="CU246" s="163">
        <f t="shared" si="288"/>
        <v>1</v>
      </c>
      <c r="CV246" s="47" t="s">
        <v>0</v>
      </c>
      <c r="CW246" s="222" t="str">
        <f t="shared" si="335"/>
        <v xml:space="preserve">
</v>
      </c>
      <c r="CX246" s="223">
        <f t="shared" si="336"/>
        <v>6</v>
      </c>
      <c r="CY246" s="47" t="s">
        <v>0</v>
      </c>
      <c r="CZ246" s="47"/>
      <c r="DA246" s="47"/>
      <c r="DB246" s="47"/>
      <c r="DC246" s="47" t="s">
        <v>0</v>
      </c>
      <c r="DD246" s="53" t="str">
        <f t="shared" si="344"/>
        <v/>
      </c>
      <c r="DE246" t="s">
        <v>0</v>
      </c>
      <c r="DF246" s="128" t="str">
        <f t="shared" si="345"/>
        <v>Ž</v>
      </c>
      <c r="DG246" t="s">
        <v>0</v>
      </c>
      <c r="DH246" s="52" t="str">
        <f t="shared" si="346"/>
        <v/>
      </c>
      <c r="DI246" s="66" t="str">
        <f t="shared" si="347"/>
        <v/>
      </c>
      <c r="DJ246" t="s">
        <v>0</v>
      </c>
      <c r="DK246" s="19" t="str">
        <f t="shared" si="348"/>
        <v/>
      </c>
      <c r="DL246" s="47" t="s">
        <v>0</v>
      </c>
      <c r="DM246" s="19" t="str">
        <f t="shared" si="349"/>
        <v/>
      </c>
      <c r="DN246" s="47" t="s">
        <v>0</v>
      </c>
      <c r="DO246" s="52" t="str">
        <f t="shared" si="289"/>
        <v>Paula – Pavlin – OK Vihor – Ž20</v>
      </c>
      <c r="DP246" s="53">
        <f t="shared" si="290"/>
        <v>845</v>
      </c>
      <c r="DQ246" s="47" t="s">
        <v>0</v>
      </c>
      <c r="DR246" s="52" t="str">
        <f t="shared" si="291"/>
        <v>Paula – Pavlin – OK Vihor</v>
      </c>
      <c r="DS246" s="53">
        <f t="shared" si="292"/>
        <v>845</v>
      </c>
      <c r="DT246" s="47" t="s">
        <v>0</v>
      </c>
      <c r="DU246" s="52" t="str">
        <f t="shared" si="293"/>
        <v>Paula – Pavlin</v>
      </c>
      <c r="DV246" s="53">
        <f t="shared" si="294"/>
        <v>845</v>
      </c>
      <c r="DW246" s="47" t="s">
        <v>0</v>
      </c>
      <c r="DX246" s="58">
        <f t="shared" si="337"/>
        <v>845</v>
      </c>
      <c r="DY246" s="53" cm="1">
        <f t="array" ref="DY246">IF(DX246&lt;&gt;"",INDEX(regNatjecatelj_id,DX246,0),IF(BD246&lt;&gt;"",BD246,""))</f>
        <v>1431</v>
      </c>
      <c r="DZ246" s="47" t="s">
        <v>0</v>
      </c>
      <c r="EA246" s="58" t="str">
        <f t="shared" si="295"/>
        <v>imepre</v>
      </c>
      <c r="EB246" s="73" t="str">
        <f t="shared" si="296"/>
        <v>klu</v>
      </c>
      <c r="EC246" s="73" t="str">
        <f t="shared" si="297"/>
        <v>kat</v>
      </c>
      <c r="ED246" s="73" t="str">
        <f t="shared" si="298"/>
        <v/>
      </c>
      <c r="EE246" s="66" t="str">
        <f t="shared" si="299"/>
        <v>imepre-klu-kat</v>
      </c>
      <c r="EF246" s="47" t="s">
        <v>0</v>
      </c>
      <c r="EG246" s="58">
        <f>IF(AL246="","",MAX(EG$12:EG245)+1)</f>
        <v>401</v>
      </c>
      <c r="EH246" s="73">
        <f t="shared" si="300"/>
        <v>38</v>
      </c>
      <c r="EI246" s="73">
        <f t="shared" si="338"/>
        <v>1431</v>
      </c>
      <c r="EJ246" s="73">
        <f t="shared" si="301"/>
        <v>2854</v>
      </c>
      <c r="EK246" s="73">
        <f t="shared" si="302"/>
        <v>1</v>
      </c>
      <c r="EL246" s="73">
        <f t="shared" si="339"/>
        <v>1</v>
      </c>
      <c r="EM246" s="73">
        <f t="shared" si="340"/>
        <v>1</v>
      </c>
      <c r="EN246" s="73" t="str">
        <f t="shared" si="303"/>
        <v>0</v>
      </c>
      <c r="EO246" s="73" t="str">
        <f t="shared" si="304"/>
        <v/>
      </c>
      <c r="EP246" s="73" t="str">
        <f t="shared" si="305"/>
        <v/>
      </c>
      <c r="EQ246" s="53" t="str">
        <f t="shared" si="306"/>
        <v/>
      </c>
      <c r="ER246" s="47" t="s">
        <v>0</v>
      </c>
      <c r="ES246" s="19" t="str">
        <f t="shared" si="341"/>
        <v>INSERT INTO rezultat(id,stazakategorija_id,imeprezime_id,vrijeme_sec,status_id,registracija,uparivanje_id,originalstatus_id,imeprezimealias_id,klubalias_id,kategorijaalias_id) VALUES (401,38,1431,2854,1,1,1,0,Null,Null,Null);</v>
      </c>
      <c r="ET246" s="47" t="s">
        <v>0</v>
      </c>
      <c r="EU246" s="19" t="str">
        <f t="shared" si="342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6" s="47" t="s">
        <v>0</v>
      </c>
      <c r="EW246" s="180" t="str">
        <f t="shared" si="307"/>
        <v xml:space="preserve">
INSERT INTO rezultat(id,stazakategorija_id,imeprezime_id,vrijeme_sec,status_id,registracija,uparivanje_id,originalstatus_id,imeprezimealias_id,klubalias_id,kategorijaalias_id) VALUES (401,38,1431,2854,1,1,1,0,Null,Null,Null);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6" s="47" t="s">
        <v>0</v>
      </c>
    </row>
    <row r="247" spans="1:154" x14ac:dyDescent="0.25">
      <c r="A247" t="s">
        <v>0</v>
      </c>
      <c r="B247" s="52" t="str">
        <f>IF(csv!F237="","",csv!T237)</f>
        <v>Ž20</v>
      </c>
      <c r="C247" s="31" t="s">
        <v>0</v>
      </c>
      <c r="D247" s="31" t="str">
        <f>IF(csv!F237="","",csv!F237)</f>
        <v>Nina</v>
      </c>
      <c r="E247" s="31" t="str">
        <f>IF(csv!E237="","",csv!E237)</f>
        <v>Cvjetko</v>
      </c>
      <c r="F247" s="31" t="s">
        <v>0</v>
      </c>
      <c r="G247" s="73" t="str">
        <f>IF(csv!M237="","",csv!M237)</f>
        <v>89:16</v>
      </c>
      <c r="H247" s="73" t="str">
        <f>IF(csv!N237="","",csv!N237)</f>
        <v>0</v>
      </c>
      <c r="I247" s="31" t="s">
        <v>0</v>
      </c>
      <c r="J247" s="31" t="str">
        <f>IF(csv!P237="","",csv!P237)</f>
        <v>JAP</v>
      </c>
      <c r="K247" s="31" t="str">
        <f>IF(csv!Q237="","",csv!Q237)</f>
        <v>OK Japetic</v>
      </c>
      <c r="L247" s="31" t="s">
        <v>0</v>
      </c>
      <c r="M247" s="66" t="str">
        <f>IF(csv!R237="","",csv!R237)</f>
        <v>CRO</v>
      </c>
      <c r="N247" s="47" t="s">
        <v>0</v>
      </c>
      <c r="O247" s="246" t="str">
        <f t="shared" si="308"/>
        <v>ok</v>
      </c>
      <c r="P247" s="47"/>
      <c r="Q247" s="52" t="str">
        <f t="shared" si="309"/>
        <v>Ž20</v>
      </c>
      <c r="R247" s="73">
        <f>IF(Q247="","",IF(COUNTIF(Q$12:Q246,Q247)=0,R246+1,R246))</f>
        <v>16</v>
      </c>
      <c r="S247" s="73">
        <f t="shared" si="310"/>
        <v>119</v>
      </c>
      <c r="T247" s="73">
        <f t="shared" si="273"/>
        <v>28</v>
      </c>
      <c r="U247" s="66" t="str">
        <f t="shared" si="274"/>
        <v>Ž20</v>
      </c>
      <c r="V247" s="47" t="s">
        <v>0</v>
      </c>
      <c r="W247" s="222" t="str">
        <f t="shared" si="275"/>
        <v>Ž20</v>
      </c>
      <c r="X247" s="223">
        <f t="shared" si="276"/>
        <v>38</v>
      </c>
      <c r="Y247" s="47" t="s">
        <v>0</v>
      </c>
      <c r="Z247" s="52" t="str">
        <f t="shared" si="311"/>
        <v>CRO</v>
      </c>
      <c r="AA247" s="73">
        <f t="shared" si="277"/>
        <v>1</v>
      </c>
      <c r="AB247" s="31" t="str">
        <f t="shared" si="312"/>
        <v/>
      </c>
      <c r="AC247" s="66" t="str">
        <f>IF(AB247="","",MAX(AC$12:AC246)+1)</f>
        <v/>
      </c>
      <c r="AD247" s="47" t="s">
        <v>0</v>
      </c>
      <c r="AE247" s="125"/>
      <c r="AF247" s="47" t="s">
        <v>0</v>
      </c>
      <c r="AG247" s="19" t="str">
        <f t="shared" si="313"/>
        <v/>
      </c>
      <c r="AH247" s="47" t="s">
        <v>0</v>
      </c>
      <c r="AI247" s="143" t="str">
        <f t="shared" si="314"/>
        <v>CRO</v>
      </c>
      <c r="AJ247" s="47"/>
      <c r="AK247" s="52" t="str">
        <f t="shared" si="315"/>
        <v>Nina</v>
      </c>
      <c r="AL247" s="31" t="str">
        <f t="shared" si="316"/>
        <v>Cvjetko</v>
      </c>
      <c r="AM247" s="73">
        <f t="shared" si="317"/>
        <v>1863</v>
      </c>
      <c r="AN247" s="73" t="str">
        <f t="shared" si="318"/>
        <v/>
      </c>
      <c r="AO247" s="31" t="str">
        <f t="shared" si="278"/>
        <v>Nina</v>
      </c>
      <c r="AP247" s="66" t="str">
        <f t="shared" si="279"/>
        <v>Cvjetko</v>
      </c>
      <c r="AQ247" s="47" t="s">
        <v>0</v>
      </c>
      <c r="AR247" s="82" t="str">
        <f t="shared" si="319"/>
        <v/>
      </c>
      <c r="AS247" s="47" t="s">
        <v>0</v>
      </c>
      <c r="AT247" s="19" t="str">
        <f t="shared" si="320"/>
        <v/>
      </c>
      <c r="AU247" s="47" t="s">
        <v>0</v>
      </c>
      <c r="AV247" s="103"/>
      <c r="AW247" s="105"/>
      <c r="AX247" s="47" t="s">
        <v>0</v>
      </c>
      <c r="AY247" s="259" t="str">
        <f t="shared" si="343"/>
        <v/>
      </c>
      <c r="AZ247" s="47" t="s">
        <v>0</v>
      </c>
      <c r="BA247" s="52" t="str">
        <f t="shared" si="280"/>
        <v/>
      </c>
      <c r="BB247" s="73" t="str">
        <f>IF(AV247&amp;AW247="","",MAX(BB$12:BB246)+1)</f>
        <v/>
      </c>
      <c r="BC247" s="272" t="str">
        <f t="shared" si="281"/>
        <v/>
      </c>
      <c r="BD247" s="53" t="str">
        <f>IF(AND(AM247="NEMA",AN247="NEMA",OR(AV247&amp;AW247="",BC247="NEMA")),MAX(BD$12:BD246)+1,"")</f>
        <v/>
      </c>
      <c r="BE247" s="47" t="s">
        <v>0</v>
      </c>
      <c r="BF247" s="52" t="str">
        <f t="shared" si="321"/>
        <v>Nina</v>
      </c>
      <c r="BG247" s="66" t="str">
        <f t="shared" si="322"/>
        <v>Cvjetko</v>
      </c>
      <c r="BH247" s="47" t="s">
        <v>0</v>
      </c>
      <c r="BI247" s="52" t="str">
        <f t="shared" si="282"/>
        <v>JAP</v>
      </c>
      <c r="BJ247" s="31" t="str">
        <f t="shared" si="283"/>
        <v>OK Japetic</v>
      </c>
      <c r="BK247" s="73">
        <f t="shared" si="284"/>
        <v>1</v>
      </c>
      <c r="BL247" s="31" t="str" cm="1">
        <f t="array" ref="BL247">IF(BK247="",""&amp;BJ247,IF(BK247="NEMA",BJ247,INDEX(regKlub_naziv,MATCH(INDEX(regKlub_alias_klubId,BK247),regKlub_id,0))))</f>
        <v>OK Japetić</v>
      </c>
      <c r="BM247" s="31" t="str" cm="1">
        <f t="array" ref="BM247">IFERROR(""&amp;INDEX(regNatjecatelj_klub,DV247),"")</f>
        <v>OK Japetić</v>
      </c>
      <c r="BN247" s="88" t="str">
        <f t="shared" si="323"/>
        <v/>
      </c>
      <c r="BO247" s="66" t="str">
        <f t="shared" si="324"/>
        <v>OK Japetić</v>
      </c>
      <c r="BP247" s="47" t="s">
        <v>0</v>
      </c>
      <c r="BQ247" s="52" t="str">
        <f>IF(X247&lt;&gt;"NEMA","",IF(IFERROR(MATCH(W247,W$12:W246,0),0)&lt;&gt;0,"",W247))</f>
        <v/>
      </c>
      <c r="BR247" s="73" t="str">
        <f t="shared" si="325"/>
        <v/>
      </c>
      <c r="BS247" s="31" t="str">
        <f>IF(OR(BR247="",BR247&lt;&gt;"NEMA"),"",MAX(BS$12:BS246)+1)</f>
        <v/>
      </c>
      <c r="BT247" s="66" t="str">
        <f t="shared" si="326"/>
        <v/>
      </c>
      <c r="BU247" s="47" t="s">
        <v>0</v>
      </c>
      <c r="BV247" s="19" t="str">
        <f t="shared" si="327"/>
        <v/>
      </c>
      <c r="BW247" s="47" t="s">
        <v>0</v>
      </c>
      <c r="BX247" s="82" t="str">
        <f>IF(BK247&lt;&gt;"NEMA","",IF(IFERROR(MATCH(BJ247,BJ$12:BJ246,0),0)&lt;&gt;0,"",BJ247))</f>
        <v/>
      </c>
      <c r="BY247" s="47" t="s">
        <v>0</v>
      </c>
      <c r="BZ247" s="125"/>
      <c r="CA247" s="47" t="s">
        <v>0</v>
      </c>
      <c r="CB247" s="58" t="str">
        <f t="shared" si="328"/>
        <v/>
      </c>
      <c r="CC247" s="31" t="str">
        <f t="shared" si="329"/>
        <v/>
      </c>
      <c r="CD247" s="31" t="str">
        <f>IF(CC247="","",MAX(CD$12:CD246)+1)</f>
        <v/>
      </c>
      <c r="CE247" s="31" t="str">
        <f t="shared" si="285"/>
        <v/>
      </c>
      <c r="CF247" s="31" t="str">
        <f t="shared" si="330"/>
        <v/>
      </c>
      <c r="CG247" s="31" t="str">
        <f>IF(BZ247="","",MAX(CG$12:CG246)+1)</f>
        <v/>
      </c>
      <c r="CH247" s="31" t="str">
        <f t="shared" si="331"/>
        <v/>
      </c>
      <c r="CI247" s="66" t="str">
        <f t="shared" si="332"/>
        <v/>
      </c>
      <c r="CJ247" s="47" t="s">
        <v>0</v>
      </c>
      <c r="CK247" s="73" t="str">
        <f t="shared" si="286"/>
        <v/>
      </c>
      <c r="CL247" s="47"/>
      <c r="CM247" s="19" t="str">
        <f t="shared" si="333"/>
        <v/>
      </c>
      <c r="CN247" s="47" t="s">
        <v>0</v>
      </c>
      <c r="CO247" s="143" t="str">
        <f t="shared" si="334"/>
        <v>OK Japetić</v>
      </c>
      <c r="CP247" s="47" t="s">
        <v>0</v>
      </c>
      <c r="CQ247" s="58" t="str">
        <f t="shared" si="350"/>
        <v>89:16</v>
      </c>
      <c r="CR247" s="73" t="str">
        <f t="shared" si="351"/>
        <v>0</v>
      </c>
      <c r="CS247" s="229" t="str">
        <f t="shared" si="287"/>
        <v/>
      </c>
      <c r="CT247" s="230">
        <f t="shared" si="272"/>
        <v>5356</v>
      </c>
      <c r="CU247" s="163">
        <f t="shared" si="288"/>
        <v>1</v>
      </c>
      <c r="CV247" s="47" t="s">
        <v>0</v>
      </c>
      <c r="CW247" s="222" t="str">
        <f t="shared" si="335"/>
        <v xml:space="preserve">
</v>
      </c>
      <c r="CX247" s="223">
        <f t="shared" si="336"/>
        <v>6</v>
      </c>
      <c r="CY247" s="47" t="s">
        <v>0</v>
      </c>
      <c r="CZ247" s="47"/>
      <c r="DA247" s="47"/>
      <c r="DB247" s="47"/>
      <c r="DC247" s="47" t="s">
        <v>0</v>
      </c>
      <c r="DD247" s="53" t="str">
        <f t="shared" si="344"/>
        <v/>
      </c>
      <c r="DE247" t="s">
        <v>0</v>
      </c>
      <c r="DF247" s="128" t="str">
        <f t="shared" si="345"/>
        <v>Ž</v>
      </c>
      <c r="DG247" t="s">
        <v>0</v>
      </c>
      <c r="DH247" s="52" t="str">
        <f t="shared" si="346"/>
        <v/>
      </c>
      <c r="DI247" s="66" t="str">
        <f t="shared" si="347"/>
        <v/>
      </c>
      <c r="DJ247" t="s">
        <v>0</v>
      </c>
      <c r="DK247" s="19" t="str">
        <f t="shared" si="348"/>
        <v/>
      </c>
      <c r="DL247" s="47" t="s">
        <v>0</v>
      </c>
      <c r="DM247" s="19" t="str">
        <f t="shared" si="349"/>
        <v/>
      </c>
      <c r="DN247" s="47" t="s">
        <v>0</v>
      </c>
      <c r="DO247" s="52" t="str">
        <f t="shared" si="289"/>
        <v>Nina – Cvjetko – OK Japetić – Ž20</v>
      </c>
      <c r="DP247" s="53">
        <f t="shared" si="290"/>
        <v>84</v>
      </c>
      <c r="DQ247" s="47" t="s">
        <v>0</v>
      </c>
      <c r="DR247" s="52" t="str">
        <f t="shared" si="291"/>
        <v>Nina – Cvjetko – OK Japetić</v>
      </c>
      <c r="DS247" s="53">
        <f t="shared" si="292"/>
        <v>84</v>
      </c>
      <c r="DT247" s="47" t="s">
        <v>0</v>
      </c>
      <c r="DU247" s="52" t="str">
        <f t="shared" si="293"/>
        <v>Nina – Cvjetko</v>
      </c>
      <c r="DV247" s="53">
        <f t="shared" si="294"/>
        <v>84</v>
      </c>
      <c r="DW247" s="47" t="s">
        <v>0</v>
      </c>
      <c r="DX247" s="58">
        <f t="shared" si="337"/>
        <v>84</v>
      </c>
      <c r="DY247" s="53" cm="1">
        <f t="array" ref="DY247">IF(DX247&lt;&gt;"",INDEX(regNatjecatelj_id,DX247,0),IF(BD247&lt;&gt;"",BD247,""))</f>
        <v>1863</v>
      </c>
      <c r="DZ247" s="47" t="s">
        <v>0</v>
      </c>
      <c r="EA247" s="58" t="str">
        <f t="shared" si="295"/>
        <v>imepre</v>
      </c>
      <c r="EB247" s="73" t="str">
        <f t="shared" si="296"/>
        <v>klu(ali)</v>
      </c>
      <c r="EC247" s="73" t="str">
        <f t="shared" si="297"/>
        <v>kat</v>
      </c>
      <c r="ED247" s="73" t="str">
        <f t="shared" si="298"/>
        <v/>
      </c>
      <c r="EE247" s="66" t="str">
        <f t="shared" si="299"/>
        <v>imepre-klu(ali)-kat</v>
      </c>
      <c r="EF247" s="47" t="s">
        <v>0</v>
      </c>
      <c r="EG247" s="58">
        <f>IF(AL247="","",MAX(EG$12:EG246)+1)</f>
        <v>402</v>
      </c>
      <c r="EH247" s="73">
        <f t="shared" si="300"/>
        <v>38</v>
      </c>
      <c r="EI247" s="73">
        <f t="shared" si="338"/>
        <v>1863</v>
      </c>
      <c r="EJ247" s="73">
        <f t="shared" si="301"/>
        <v>5356</v>
      </c>
      <c r="EK247" s="73">
        <f t="shared" si="302"/>
        <v>1</v>
      </c>
      <c r="EL247" s="73">
        <f t="shared" si="339"/>
        <v>1</v>
      </c>
      <c r="EM247" s="73">
        <f t="shared" si="340"/>
        <v>3</v>
      </c>
      <c r="EN247" s="73" t="str">
        <f t="shared" si="303"/>
        <v>0</v>
      </c>
      <c r="EO247" s="73" t="str">
        <f t="shared" si="304"/>
        <v/>
      </c>
      <c r="EP247" s="73">
        <f t="shared" si="305"/>
        <v>1</v>
      </c>
      <c r="EQ247" s="53" t="str">
        <f t="shared" si="306"/>
        <v/>
      </c>
      <c r="ER247" s="47" t="s">
        <v>0</v>
      </c>
      <c r="ES247" s="19" t="str">
        <f t="shared" si="341"/>
        <v>INSERT INTO rezultat(id,stazakategorija_id,imeprezime_id,vrijeme_sec,status_id,registracija,uparivanje_id,originalstatus_id,imeprezimealias_id,klubalias_id,kategorijaalias_id) VALUES (402,38,1863,5356,1,1,3,0,Null,1,Null);</v>
      </c>
      <c r="ET247" s="47" t="s">
        <v>0</v>
      </c>
      <c r="EU247" s="19" t="str">
        <f t="shared" si="342"/>
        <v>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7" s="47" t="s">
        <v>0</v>
      </c>
      <c r="EW247" s="180" t="str">
        <f t="shared" si="307"/>
        <v xml:space="preserve">
INSERT INTO rezultat(id,stazakategorija_id,imeprezime_id,vrijeme_sec,status_id,registracija,uparivanje_id,originalstatus_id,imeprezimealias_id,klubalias_id,kategorijaalias_id) VALUES (402,38,1863,5356,1,1,3,0,Null,1,Null);
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7" s="47" t="s">
        <v>0</v>
      </c>
    </row>
    <row r="248" spans="1:154" x14ac:dyDescent="0.25">
      <c r="A248" t="s">
        <v>0</v>
      </c>
      <c r="B248" s="52" t="str">
        <f>IF(csv!F238="","",csv!T238)</f>
        <v>Ž20</v>
      </c>
      <c r="C248" s="31" t="s">
        <v>0</v>
      </c>
      <c r="D248" s="31" t="str">
        <f>IF(csv!F238="","",csv!F238)</f>
        <v>Jelena</v>
      </c>
      <c r="E248" s="31" t="str">
        <f>IF(csv!E238="","",csv!E238)</f>
        <v>Lesjak</v>
      </c>
      <c r="F248" s="31" t="s">
        <v>0</v>
      </c>
      <c r="G248" s="73" t="str">
        <f>IF(csv!M238="","",csv!M238)</f>
        <v>93:22</v>
      </c>
      <c r="H248" s="73" t="str">
        <f>IF(csv!N238="","",csv!N238)</f>
        <v>0</v>
      </c>
      <c r="I248" s="31" t="s">
        <v>0</v>
      </c>
      <c r="J248" s="31" t="str">
        <f>IF(csv!P238="","",csv!P238)</f>
        <v>JAP</v>
      </c>
      <c r="K248" s="31" t="str">
        <f>IF(csv!Q238="","",csv!Q238)</f>
        <v>OK Japetic</v>
      </c>
      <c r="L248" s="31" t="s">
        <v>0</v>
      </c>
      <c r="M248" s="66" t="str">
        <f>IF(csv!R238="","",csv!R238)</f>
        <v>CRO</v>
      </c>
      <c r="N248" s="47" t="s">
        <v>0</v>
      </c>
      <c r="O248" s="246" t="str">
        <f t="shared" si="308"/>
        <v>ok</v>
      </c>
      <c r="P248" s="47"/>
      <c r="Q248" s="52" t="str">
        <f t="shared" si="309"/>
        <v>Ž20</v>
      </c>
      <c r="R248" s="73">
        <f>IF(Q248="","",IF(COUNTIF(Q$12:Q247,Q248)=0,R247+1,R247))</f>
        <v>16</v>
      </c>
      <c r="S248" s="73">
        <f t="shared" si="310"/>
        <v>119</v>
      </c>
      <c r="T248" s="73">
        <f t="shared" si="273"/>
        <v>28</v>
      </c>
      <c r="U248" s="66" t="str">
        <f t="shared" si="274"/>
        <v>Ž20</v>
      </c>
      <c r="V248" s="47" t="s">
        <v>0</v>
      </c>
      <c r="W248" s="222" t="str">
        <f t="shared" si="275"/>
        <v>Ž20</v>
      </c>
      <c r="X248" s="223">
        <f t="shared" si="276"/>
        <v>38</v>
      </c>
      <c r="Y248" s="47" t="s">
        <v>0</v>
      </c>
      <c r="Z248" s="52" t="str">
        <f t="shared" si="311"/>
        <v>CRO</v>
      </c>
      <c r="AA248" s="73">
        <f t="shared" si="277"/>
        <v>1</v>
      </c>
      <c r="AB248" s="31" t="str">
        <f t="shared" si="312"/>
        <v/>
      </c>
      <c r="AC248" s="66" t="str">
        <f>IF(AB248="","",MAX(AC$12:AC247)+1)</f>
        <v/>
      </c>
      <c r="AD248" s="47" t="s">
        <v>0</v>
      </c>
      <c r="AE248" s="125"/>
      <c r="AF248" s="47" t="s">
        <v>0</v>
      </c>
      <c r="AG248" s="19" t="str">
        <f t="shared" si="313"/>
        <v/>
      </c>
      <c r="AH248" s="47" t="s">
        <v>0</v>
      </c>
      <c r="AI248" s="143" t="str">
        <f t="shared" si="314"/>
        <v>CRO</v>
      </c>
      <c r="AJ248" s="47"/>
      <c r="AK248" s="52" t="str">
        <f t="shared" si="315"/>
        <v>Jelena</v>
      </c>
      <c r="AL248" s="31" t="str">
        <f t="shared" si="316"/>
        <v>Lesjak</v>
      </c>
      <c r="AM248" s="73">
        <f t="shared" si="317"/>
        <v>1469</v>
      </c>
      <c r="AN248" s="73" t="str">
        <f t="shared" si="318"/>
        <v/>
      </c>
      <c r="AO248" s="31" t="str">
        <f t="shared" si="278"/>
        <v>Jelena</v>
      </c>
      <c r="AP248" s="66" t="str">
        <f t="shared" si="279"/>
        <v>Lesjak</v>
      </c>
      <c r="AQ248" s="47" t="s">
        <v>0</v>
      </c>
      <c r="AR248" s="82" t="str">
        <f t="shared" si="319"/>
        <v/>
      </c>
      <c r="AS248" s="47" t="s">
        <v>0</v>
      </c>
      <c r="AT248" s="19" t="str">
        <f t="shared" si="320"/>
        <v/>
      </c>
      <c r="AU248" s="47" t="s">
        <v>0</v>
      </c>
      <c r="AV248" s="103"/>
      <c r="AW248" s="105"/>
      <c r="AX248" s="47" t="s">
        <v>0</v>
      </c>
      <c r="AY248" s="259" t="str">
        <f t="shared" si="343"/>
        <v/>
      </c>
      <c r="AZ248" s="47" t="s">
        <v>0</v>
      </c>
      <c r="BA248" s="52" t="str">
        <f t="shared" si="280"/>
        <v/>
      </c>
      <c r="BB248" s="73" t="str">
        <f>IF(AV248&amp;AW248="","",MAX(BB$12:BB247)+1)</f>
        <v/>
      </c>
      <c r="BC248" s="272" t="str">
        <f t="shared" si="281"/>
        <v/>
      </c>
      <c r="BD248" s="53" t="str">
        <f>IF(AND(AM248="NEMA",AN248="NEMA",OR(AV248&amp;AW248="",BC248="NEMA")),MAX(BD$12:BD247)+1,"")</f>
        <v/>
      </c>
      <c r="BE248" s="47" t="s">
        <v>0</v>
      </c>
      <c r="BF248" s="52" t="str">
        <f t="shared" si="321"/>
        <v>Jelena</v>
      </c>
      <c r="BG248" s="66" t="str">
        <f t="shared" si="322"/>
        <v>Lesjak</v>
      </c>
      <c r="BH248" s="47" t="s">
        <v>0</v>
      </c>
      <c r="BI248" s="52" t="str">
        <f t="shared" si="282"/>
        <v>JAP</v>
      </c>
      <c r="BJ248" s="31" t="str">
        <f t="shared" si="283"/>
        <v>OK Japetic</v>
      </c>
      <c r="BK248" s="73">
        <f t="shared" si="284"/>
        <v>1</v>
      </c>
      <c r="BL248" s="31" t="str" cm="1">
        <f t="array" ref="BL248">IF(BK248="",""&amp;BJ248,IF(BK248="NEMA",BJ248,INDEX(regKlub_naziv,MATCH(INDEX(regKlub_alias_klubId,BK248),regKlub_id,0))))</f>
        <v>OK Japetić</v>
      </c>
      <c r="BM248" s="31" t="str" cm="1">
        <f t="array" ref="BM248">IFERROR(""&amp;INDEX(regNatjecatelj_klub,DV248),"")</f>
        <v>OK Japetić</v>
      </c>
      <c r="BN248" s="88" t="str">
        <f t="shared" si="323"/>
        <v/>
      </c>
      <c r="BO248" s="66" t="str">
        <f t="shared" si="324"/>
        <v>OK Japetić</v>
      </c>
      <c r="BP248" s="47" t="s">
        <v>0</v>
      </c>
      <c r="BQ248" s="52" t="str">
        <f>IF(X248&lt;&gt;"NEMA","",IF(IFERROR(MATCH(W248,W$12:W247,0),0)&lt;&gt;0,"",W248))</f>
        <v/>
      </c>
      <c r="BR248" s="73" t="str">
        <f t="shared" si="325"/>
        <v/>
      </c>
      <c r="BS248" s="31" t="str">
        <f>IF(OR(BR248="",BR248&lt;&gt;"NEMA"),"",MAX(BS$12:BS247)+1)</f>
        <v/>
      </c>
      <c r="BT248" s="66" t="str">
        <f t="shared" si="326"/>
        <v/>
      </c>
      <c r="BU248" s="47" t="s">
        <v>0</v>
      </c>
      <c r="BV248" s="19" t="str">
        <f t="shared" si="327"/>
        <v/>
      </c>
      <c r="BW248" s="47" t="s">
        <v>0</v>
      </c>
      <c r="BX248" s="82" t="str">
        <f>IF(BK248&lt;&gt;"NEMA","",IF(IFERROR(MATCH(BJ248,BJ$12:BJ247,0),0)&lt;&gt;0,"",BJ248))</f>
        <v/>
      </c>
      <c r="BY248" s="47" t="s">
        <v>0</v>
      </c>
      <c r="BZ248" s="125"/>
      <c r="CA248" s="47" t="s">
        <v>0</v>
      </c>
      <c r="CB248" s="58" t="str">
        <f t="shared" si="328"/>
        <v/>
      </c>
      <c r="CC248" s="31" t="str">
        <f t="shared" si="329"/>
        <v/>
      </c>
      <c r="CD248" s="31" t="str">
        <f>IF(CC248="","",MAX(CD$12:CD247)+1)</f>
        <v/>
      </c>
      <c r="CE248" s="31" t="str">
        <f t="shared" si="285"/>
        <v/>
      </c>
      <c r="CF248" s="31" t="str">
        <f t="shared" si="330"/>
        <v/>
      </c>
      <c r="CG248" s="31" t="str">
        <f>IF(BZ248="","",MAX(CG$12:CG247)+1)</f>
        <v/>
      </c>
      <c r="CH248" s="31" t="str">
        <f t="shared" si="331"/>
        <v/>
      </c>
      <c r="CI248" s="66" t="str">
        <f t="shared" si="332"/>
        <v/>
      </c>
      <c r="CJ248" s="47" t="s">
        <v>0</v>
      </c>
      <c r="CK248" s="73" t="str">
        <f t="shared" si="286"/>
        <v/>
      </c>
      <c r="CL248" s="47"/>
      <c r="CM248" s="19" t="str">
        <f t="shared" si="333"/>
        <v/>
      </c>
      <c r="CN248" s="47" t="s">
        <v>0</v>
      </c>
      <c r="CO248" s="143" t="str">
        <f t="shared" si="334"/>
        <v>OK Japetić</v>
      </c>
      <c r="CP248" s="47" t="s">
        <v>0</v>
      </c>
      <c r="CQ248" s="58" t="str">
        <f t="shared" si="350"/>
        <v>93:22</v>
      </c>
      <c r="CR248" s="73" t="str">
        <f t="shared" si="351"/>
        <v>0</v>
      </c>
      <c r="CS248" s="229" t="str">
        <f t="shared" si="287"/>
        <v/>
      </c>
      <c r="CT248" s="230">
        <f t="shared" si="272"/>
        <v>5602</v>
      </c>
      <c r="CU248" s="163">
        <f t="shared" si="288"/>
        <v>1</v>
      </c>
      <c r="CV248" s="47" t="s">
        <v>0</v>
      </c>
      <c r="CW248" s="222" t="str">
        <f t="shared" si="335"/>
        <v xml:space="preserve">
</v>
      </c>
      <c r="CX248" s="223">
        <f t="shared" si="336"/>
        <v>6</v>
      </c>
      <c r="CY248" s="47" t="s">
        <v>0</v>
      </c>
      <c r="CZ248" s="47"/>
      <c r="DA248" s="47"/>
      <c r="DB248" s="47"/>
      <c r="DC248" s="47" t="s">
        <v>0</v>
      </c>
      <c r="DD248" s="53" t="str">
        <f t="shared" si="344"/>
        <v/>
      </c>
      <c r="DE248" t="s">
        <v>0</v>
      </c>
      <c r="DF248" s="128" t="str">
        <f t="shared" si="345"/>
        <v>Ž</v>
      </c>
      <c r="DG248" t="s">
        <v>0</v>
      </c>
      <c r="DH248" s="52" t="str">
        <f t="shared" si="346"/>
        <v/>
      </c>
      <c r="DI248" s="66" t="str">
        <f t="shared" si="347"/>
        <v/>
      </c>
      <c r="DJ248" t="s">
        <v>0</v>
      </c>
      <c r="DK248" s="19" t="str">
        <f t="shared" si="348"/>
        <v/>
      </c>
      <c r="DL248" s="47" t="s">
        <v>0</v>
      </c>
      <c r="DM248" s="19" t="str">
        <f t="shared" si="349"/>
        <v/>
      </c>
      <c r="DN248" s="47" t="s">
        <v>0</v>
      </c>
      <c r="DO248" s="52" t="str">
        <f t="shared" si="289"/>
        <v>Jelena – Lesjak – OK Japetić – Ž20</v>
      </c>
      <c r="DP248" s="53">
        <f t="shared" si="290"/>
        <v>106</v>
      </c>
      <c r="DQ248" s="47" t="s">
        <v>0</v>
      </c>
      <c r="DR248" s="52" t="str">
        <f t="shared" si="291"/>
        <v>Jelena – Lesjak – OK Japetić</v>
      </c>
      <c r="DS248" s="53">
        <f t="shared" si="292"/>
        <v>106</v>
      </c>
      <c r="DT248" s="47" t="s">
        <v>0</v>
      </c>
      <c r="DU248" s="52" t="str">
        <f t="shared" si="293"/>
        <v>Jelena – Lesjak</v>
      </c>
      <c r="DV248" s="53">
        <f t="shared" si="294"/>
        <v>106</v>
      </c>
      <c r="DW248" s="47" t="s">
        <v>0</v>
      </c>
      <c r="DX248" s="58">
        <f t="shared" si="337"/>
        <v>106</v>
      </c>
      <c r="DY248" s="53" cm="1">
        <f t="array" ref="DY248">IF(DX248&lt;&gt;"",INDEX(regNatjecatelj_id,DX248,0),IF(BD248&lt;&gt;"",BD248,""))</f>
        <v>1469</v>
      </c>
      <c r="DZ248" s="47" t="s">
        <v>0</v>
      </c>
      <c r="EA248" s="58" t="str">
        <f t="shared" si="295"/>
        <v>imepre</v>
      </c>
      <c r="EB248" s="73" t="str">
        <f t="shared" si="296"/>
        <v>klu(ali)</v>
      </c>
      <c r="EC248" s="73" t="str">
        <f t="shared" si="297"/>
        <v>kat</v>
      </c>
      <c r="ED248" s="73" t="str">
        <f t="shared" si="298"/>
        <v/>
      </c>
      <c r="EE248" s="66" t="str">
        <f t="shared" si="299"/>
        <v>imepre-klu(ali)-kat</v>
      </c>
      <c r="EF248" s="47" t="s">
        <v>0</v>
      </c>
      <c r="EG248" s="58">
        <f>IF(AL248="","",MAX(EG$12:EG247)+1)</f>
        <v>403</v>
      </c>
      <c r="EH248" s="73">
        <f t="shared" si="300"/>
        <v>38</v>
      </c>
      <c r="EI248" s="73">
        <f t="shared" si="338"/>
        <v>1469</v>
      </c>
      <c r="EJ248" s="73">
        <f t="shared" si="301"/>
        <v>5602</v>
      </c>
      <c r="EK248" s="73">
        <f t="shared" si="302"/>
        <v>1</v>
      </c>
      <c r="EL248" s="73">
        <f t="shared" si="339"/>
        <v>1</v>
      </c>
      <c r="EM248" s="73">
        <f t="shared" si="340"/>
        <v>3</v>
      </c>
      <c r="EN248" s="73" t="str">
        <f t="shared" si="303"/>
        <v>0</v>
      </c>
      <c r="EO248" s="73" t="str">
        <f t="shared" si="304"/>
        <v/>
      </c>
      <c r="EP248" s="73">
        <f t="shared" si="305"/>
        <v>1</v>
      </c>
      <c r="EQ248" s="53" t="str">
        <f t="shared" si="306"/>
        <v/>
      </c>
      <c r="ER248" s="47" t="s">
        <v>0</v>
      </c>
      <c r="ES248" s="19" t="str">
        <f t="shared" si="341"/>
        <v>INSERT INTO rezultat(id,stazakategorija_id,imeprezime_id,vrijeme_sec,status_id,registracija,uparivanje_id,originalstatus_id,imeprezimealias_id,klubalias_id,kategorijaalias_id) VALUES (403,38,1469,5602,1,1,3,0,Null,1,Null);</v>
      </c>
      <c r="ET248" s="47" t="s">
        <v>0</v>
      </c>
      <c r="EU248" s="19" t="str">
        <f t="shared" si="342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8" s="47" t="s">
        <v>0</v>
      </c>
      <c r="EW248" s="180" t="str">
        <f t="shared" si="307"/>
        <v xml:space="preserve">
INSERT INTO rezultat(id,stazakategorija_id,imeprezime_id,vrijeme_sec,status_id,registracija,uparivanje_id,originalstatus_id,imeprezimealias_id,klubalias_id,kategorijaalias_id) VALUES (403,38,1469,5602,1,1,3,0,Null,1,Null);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8" s="47" t="s">
        <v>0</v>
      </c>
    </row>
    <row r="249" spans="1:154" x14ac:dyDescent="0.25">
      <c r="A249" t="s">
        <v>0</v>
      </c>
      <c r="B249" s="52" t="str">
        <f>IF(csv!F239="","",csv!T239)</f>
        <v>Ž20</v>
      </c>
      <c r="C249" s="31" t="s">
        <v>0</v>
      </c>
      <c r="D249" s="31" t="str">
        <f>IF(csv!F239="","",csv!F239)</f>
        <v>Nika</v>
      </c>
      <c r="E249" s="31" t="str">
        <f>IF(csv!E239="","",csv!E239)</f>
        <v>Kolarek</v>
      </c>
      <c r="F249" s="31" t="s">
        <v>0</v>
      </c>
      <c r="G249" s="73" t="str">
        <f>IF(csv!M239="","",csv!M239)</f>
        <v>99:37</v>
      </c>
      <c r="H249" s="73" t="str">
        <f>IF(csv!N239="","",csv!N239)</f>
        <v>0</v>
      </c>
      <c r="I249" s="31" t="s">
        <v>0</v>
      </c>
      <c r="J249" s="31" t="str">
        <f>IF(csv!P239="","",csv!P239)</f>
        <v>Vihor</v>
      </c>
      <c r="K249" s="31" t="str">
        <f>IF(csv!Q239="","",csv!Q239)</f>
        <v>OK Vihor</v>
      </c>
      <c r="L249" s="31" t="s">
        <v>0</v>
      </c>
      <c r="M249" s="66" t="str">
        <f>IF(csv!R239="","",csv!R239)</f>
        <v>CRO</v>
      </c>
      <c r="N249" s="47" t="s">
        <v>0</v>
      </c>
      <c r="O249" s="246" t="str">
        <f t="shared" si="308"/>
        <v>ok</v>
      </c>
      <c r="P249" s="47"/>
      <c r="Q249" s="52" t="str">
        <f t="shared" si="309"/>
        <v>Ž20</v>
      </c>
      <c r="R249" s="73">
        <f>IF(Q249="","",IF(COUNTIF(Q$12:Q248,Q249)=0,R248+1,R248))</f>
        <v>16</v>
      </c>
      <c r="S249" s="73">
        <f t="shared" si="310"/>
        <v>119</v>
      </c>
      <c r="T249" s="73">
        <f t="shared" si="273"/>
        <v>28</v>
      </c>
      <c r="U249" s="66" t="str">
        <f t="shared" si="274"/>
        <v>Ž20</v>
      </c>
      <c r="V249" s="47" t="s">
        <v>0</v>
      </c>
      <c r="W249" s="222" t="str">
        <f t="shared" si="275"/>
        <v>Ž20</v>
      </c>
      <c r="X249" s="223">
        <f t="shared" si="276"/>
        <v>38</v>
      </c>
      <c r="Y249" s="47" t="s">
        <v>0</v>
      </c>
      <c r="Z249" s="52" t="str">
        <f t="shared" si="311"/>
        <v>CRO</v>
      </c>
      <c r="AA249" s="73">
        <f t="shared" si="277"/>
        <v>1</v>
      </c>
      <c r="AB249" s="31" t="str">
        <f t="shared" si="312"/>
        <v/>
      </c>
      <c r="AC249" s="66" t="str">
        <f>IF(AB249="","",MAX(AC$12:AC248)+1)</f>
        <v/>
      </c>
      <c r="AD249" s="47" t="s">
        <v>0</v>
      </c>
      <c r="AE249" s="125"/>
      <c r="AF249" s="47" t="s">
        <v>0</v>
      </c>
      <c r="AG249" s="19" t="str">
        <f t="shared" si="313"/>
        <v/>
      </c>
      <c r="AH249" s="47" t="s">
        <v>0</v>
      </c>
      <c r="AI249" s="143" t="str">
        <f t="shared" si="314"/>
        <v>CRO</v>
      </c>
      <c r="AJ249" s="47"/>
      <c r="AK249" s="52" t="str">
        <f t="shared" si="315"/>
        <v>Nika</v>
      </c>
      <c r="AL249" s="31" t="str">
        <f t="shared" si="316"/>
        <v>Kolarek</v>
      </c>
      <c r="AM249" s="73">
        <f t="shared" si="317"/>
        <v>1477</v>
      </c>
      <c r="AN249" s="73" t="str">
        <f t="shared" si="318"/>
        <v/>
      </c>
      <c r="AO249" s="31" t="str">
        <f t="shared" si="278"/>
        <v>Nika</v>
      </c>
      <c r="AP249" s="66" t="str">
        <f t="shared" si="279"/>
        <v>Kolarek</v>
      </c>
      <c r="AQ249" s="47" t="s">
        <v>0</v>
      </c>
      <c r="AR249" s="82" t="str">
        <f t="shared" si="319"/>
        <v/>
      </c>
      <c r="AS249" s="47" t="s">
        <v>0</v>
      </c>
      <c r="AT249" s="19" t="str">
        <f t="shared" si="320"/>
        <v/>
      </c>
      <c r="AU249" s="47" t="s">
        <v>0</v>
      </c>
      <c r="AV249" s="103"/>
      <c r="AW249" s="105"/>
      <c r="AX249" s="47" t="s">
        <v>0</v>
      </c>
      <c r="AY249" s="259" t="str">
        <f t="shared" si="343"/>
        <v/>
      </c>
      <c r="AZ249" s="47" t="s">
        <v>0</v>
      </c>
      <c r="BA249" s="52" t="str">
        <f t="shared" si="280"/>
        <v/>
      </c>
      <c r="BB249" s="73" t="str">
        <f>IF(AV249&amp;AW249="","",MAX(BB$12:BB248)+1)</f>
        <v/>
      </c>
      <c r="BC249" s="272" t="str">
        <f t="shared" si="281"/>
        <v/>
      </c>
      <c r="BD249" s="53" t="str">
        <f>IF(AND(AM249="NEMA",AN249="NEMA",OR(AV249&amp;AW249="",BC249="NEMA")),MAX(BD$12:BD248)+1,"")</f>
        <v/>
      </c>
      <c r="BE249" s="47" t="s">
        <v>0</v>
      </c>
      <c r="BF249" s="52" t="str">
        <f t="shared" si="321"/>
        <v>Nika</v>
      </c>
      <c r="BG249" s="66" t="str">
        <f t="shared" si="322"/>
        <v>Kolarek</v>
      </c>
      <c r="BH249" s="47" t="s">
        <v>0</v>
      </c>
      <c r="BI249" s="52" t="str">
        <f t="shared" si="282"/>
        <v>Vihor</v>
      </c>
      <c r="BJ249" s="31" t="str">
        <f t="shared" si="283"/>
        <v>OK Vihor</v>
      </c>
      <c r="BK249" s="73" t="str">
        <f t="shared" si="284"/>
        <v/>
      </c>
      <c r="BL249" s="31" t="str" cm="1">
        <f t="array" ref="BL249">IF(BK249="",""&amp;BJ249,IF(BK249="NEMA",BJ249,INDEX(regKlub_naziv,MATCH(INDEX(regKlub_alias_klubId,BK249),regKlub_id,0))))</f>
        <v>OK Vihor</v>
      </c>
      <c r="BM249" s="31" t="str" cm="1">
        <f t="array" ref="BM249">IFERROR(""&amp;INDEX(regNatjecatelj_klub,DV249),"")</f>
        <v>OK Vihor</v>
      </c>
      <c r="BN249" s="88" t="str">
        <f t="shared" si="323"/>
        <v/>
      </c>
      <c r="BO249" s="66" t="str">
        <f t="shared" si="324"/>
        <v>OK Vihor</v>
      </c>
      <c r="BP249" s="47" t="s">
        <v>0</v>
      </c>
      <c r="BQ249" s="52" t="str">
        <f>IF(X249&lt;&gt;"NEMA","",IF(IFERROR(MATCH(W249,W$12:W248,0),0)&lt;&gt;0,"",W249))</f>
        <v/>
      </c>
      <c r="BR249" s="73" t="str">
        <f t="shared" si="325"/>
        <v/>
      </c>
      <c r="BS249" s="31" t="str">
        <f>IF(OR(BR249="",BR249&lt;&gt;"NEMA"),"",MAX(BS$12:BS248)+1)</f>
        <v/>
      </c>
      <c r="BT249" s="66" t="str">
        <f t="shared" si="326"/>
        <v/>
      </c>
      <c r="BU249" s="47" t="s">
        <v>0</v>
      </c>
      <c r="BV249" s="19" t="str">
        <f t="shared" si="327"/>
        <v/>
      </c>
      <c r="BW249" s="47" t="s">
        <v>0</v>
      </c>
      <c r="BX249" s="82" t="str">
        <f>IF(BK249&lt;&gt;"NEMA","",IF(IFERROR(MATCH(BJ249,BJ$12:BJ248,0),0)&lt;&gt;0,"",BJ249))</f>
        <v/>
      </c>
      <c r="BY249" s="47" t="s">
        <v>0</v>
      </c>
      <c r="BZ249" s="125"/>
      <c r="CA249" s="47" t="s">
        <v>0</v>
      </c>
      <c r="CB249" s="58" t="str">
        <f t="shared" si="328"/>
        <v/>
      </c>
      <c r="CC249" s="31" t="str">
        <f t="shared" si="329"/>
        <v/>
      </c>
      <c r="CD249" s="31" t="str">
        <f>IF(CC249="","",MAX(CD$12:CD248)+1)</f>
        <v/>
      </c>
      <c r="CE249" s="31" t="str">
        <f t="shared" si="285"/>
        <v/>
      </c>
      <c r="CF249" s="31" t="str">
        <f t="shared" si="330"/>
        <v/>
      </c>
      <c r="CG249" s="31" t="str">
        <f>IF(BZ249="","",MAX(CG$12:CG248)+1)</f>
        <v/>
      </c>
      <c r="CH249" s="31" t="str">
        <f t="shared" si="331"/>
        <v/>
      </c>
      <c r="CI249" s="66" t="str">
        <f t="shared" si="332"/>
        <v/>
      </c>
      <c r="CJ249" s="47" t="s">
        <v>0</v>
      </c>
      <c r="CK249" s="73" t="str">
        <f t="shared" si="286"/>
        <v/>
      </c>
      <c r="CL249" s="47"/>
      <c r="CM249" s="19" t="str">
        <f t="shared" si="333"/>
        <v/>
      </c>
      <c r="CN249" s="47" t="s">
        <v>0</v>
      </c>
      <c r="CO249" s="143" t="str">
        <f t="shared" si="334"/>
        <v>OK Vihor</v>
      </c>
      <c r="CP249" s="47" t="s">
        <v>0</v>
      </c>
      <c r="CQ249" s="58" t="str">
        <f t="shared" si="350"/>
        <v>99:37</v>
      </c>
      <c r="CR249" s="73" t="str">
        <f t="shared" si="351"/>
        <v>0</v>
      </c>
      <c r="CS249" s="229" t="str">
        <f t="shared" si="287"/>
        <v/>
      </c>
      <c r="CT249" s="230">
        <f t="shared" si="272"/>
        <v>5977</v>
      </c>
      <c r="CU249" s="163">
        <f t="shared" si="288"/>
        <v>1</v>
      </c>
      <c r="CV249" s="47" t="s">
        <v>0</v>
      </c>
      <c r="CW249" s="222" t="str">
        <f t="shared" si="335"/>
        <v xml:space="preserve">
</v>
      </c>
      <c r="CX249" s="223">
        <f t="shared" si="336"/>
        <v>6</v>
      </c>
      <c r="CY249" s="47" t="s">
        <v>0</v>
      </c>
      <c r="CZ249" s="47"/>
      <c r="DA249" s="47"/>
      <c r="DB249" s="47"/>
      <c r="DC249" s="47" t="s">
        <v>0</v>
      </c>
      <c r="DD249" s="53" t="str">
        <f t="shared" si="344"/>
        <v/>
      </c>
      <c r="DE249" t="s">
        <v>0</v>
      </c>
      <c r="DF249" s="128" t="str">
        <f t="shared" si="345"/>
        <v>Ž</v>
      </c>
      <c r="DG249" t="s">
        <v>0</v>
      </c>
      <c r="DH249" s="52" t="str">
        <f t="shared" si="346"/>
        <v/>
      </c>
      <c r="DI249" s="66" t="str">
        <f t="shared" si="347"/>
        <v/>
      </c>
      <c r="DJ249" t="s">
        <v>0</v>
      </c>
      <c r="DK249" s="19" t="str">
        <f t="shared" si="348"/>
        <v/>
      </c>
      <c r="DL249" s="47" t="s">
        <v>0</v>
      </c>
      <c r="DM249" s="19" t="str">
        <f t="shared" si="349"/>
        <v/>
      </c>
      <c r="DN249" s="47" t="s">
        <v>0</v>
      </c>
      <c r="DO249" s="52" t="str">
        <f t="shared" si="289"/>
        <v>Nika – Kolarek – OK Vihor – Ž20</v>
      </c>
      <c r="DP249" s="53">
        <f t="shared" si="290"/>
        <v>745</v>
      </c>
      <c r="DQ249" s="47" t="s">
        <v>0</v>
      </c>
      <c r="DR249" s="52" t="str">
        <f t="shared" si="291"/>
        <v>Nika – Kolarek – OK Vihor</v>
      </c>
      <c r="DS249" s="53">
        <f t="shared" si="292"/>
        <v>745</v>
      </c>
      <c r="DT249" s="47" t="s">
        <v>0</v>
      </c>
      <c r="DU249" s="52" t="str">
        <f t="shared" si="293"/>
        <v>Nika – Kolarek</v>
      </c>
      <c r="DV249" s="53">
        <f t="shared" si="294"/>
        <v>745</v>
      </c>
      <c r="DW249" s="47" t="s">
        <v>0</v>
      </c>
      <c r="DX249" s="58">
        <f t="shared" si="337"/>
        <v>745</v>
      </c>
      <c r="DY249" s="53" cm="1">
        <f t="array" ref="DY249">IF(DX249&lt;&gt;"",INDEX(regNatjecatelj_id,DX249,0),IF(BD249&lt;&gt;"",BD249,""))</f>
        <v>1477</v>
      </c>
      <c r="DZ249" s="47" t="s">
        <v>0</v>
      </c>
      <c r="EA249" s="58" t="str">
        <f t="shared" si="295"/>
        <v>imepre</v>
      </c>
      <c r="EB249" s="73" t="str">
        <f t="shared" si="296"/>
        <v>klu</v>
      </c>
      <c r="EC249" s="73" t="str">
        <f t="shared" si="297"/>
        <v>kat</v>
      </c>
      <c r="ED249" s="73" t="str">
        <f t="shared" si="298"/>
        <v/>
      </c>
      <c r="EE249" s="66" t="str">
        <f t="shared" si="299"/>
        <v>imepre-klu-kat</v>
      </c>
      <c r="EF249" s="47" t="s">
        <v>0</v>
      </c>
      <c r="EG249" s="58">
        <f>IF(AL249="","",MAX(EG$12:EG248)+1)</f>
        <v>404</v>
      </c>
      <c r="EH249" s="73">
        <f t="shared" si="300"/>
        <v>38</v>
      </c>
      <c r="EI249" s="73">
        <f t="shared" si="338"/>
        <v>1477</v>
      </c>
      <c r="EJ249" s="73">
        <f t="shared" si="301"/>
        <v>5977</v>
      </c>
      <c r="EK249" s="73">
        <f t="shared" si="302"/>
        <v>1</v>
      </c>
      <c r="EL249" s="73">
        <f t="shared" si="339"/>
        <v>1</v>
      </c>
      <c r="EM249" s="73">
        <f t="shared" si="340"/>
        <v>1</v>
      </c>
      <c r="EN249" s="73" t="str">
        <f t="shared" si="303"/>
        <v>0</v>
      </c>
      <c r="EO249" s="73" t="str">
        <f t="shared" si="304"/>
        <v/>
      </c>
      <c r="EP249" s="73" t="str">
        <f t="shared" si="305"/>
        <v/>
      </c>
      <c r="EQ249" s="53" t="str">
        <f t="shared" si="306"/>
        <v/>
      </c>
      <c r="ER249" s="47" t="s">
        <v>0</v>
      </c>
      <c r="ES249" s="19" t="str">
        <f t="shared" si="341"/>
        <v>INSERT INTO rezultat(id,stazakategorija_id,imeprezime_id,vrijeme_sec,status_id,registracija,uparivanje_id,originalstatus_id,imeprezimealias_id,klubalias_id,kategorijaalias_id) VALUES (404,38,1477,5977,1,1,1,0,Null,Null,Null);</v>
      </c>
      <c r="ET249" s="47" t="s">
        <v>0</v>
      </c>
      <c r="EU249" s="19" t="str">
        <f t="shared" si="342"/>
        <v>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9" s="47" t="s">
        <v>0</v>
      </c>
      <c r="EW249" s="180" t="str">
        <f t="shared" si="307"/>
        <v xml:space="preserve">
INSERT INTO rezultat(id,stazakategorija_id,imeprezime_id,vrijeme_sec,status_id,registracija,uparivanje_id,originalstatus_id,imeprezimealias_id,klubalias_id,kategorijaalias_id) VALUES (404,38,1477,5977,1,1,1,0,Null,Null,Null);
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9" s="47" t="s">
        <v>0</v>
      </c>
    </row>
    <row r="250" spans="1:154" x14ac:dyDescent="0.25">
      <c r="A250" t="s">
        <v>0</v>
      </c>
      <c r="B250" s="52" t="str">
        <f>IF(csv!F240="","",csv!T240)</f>
        <v>Ž20</v>
      </c>
      <c r="C250" s="31" t="s">
        <v>0</v>
      </c>
      <c r="D250" s="31" t="str">
        <f>IF(csv!F240="","",csv!F240)</f>
        <v>Ana</v>
      </c>
      <c r="E250" s="31" t="str">
        <f>IF(csv!E240="","",csv!E240)</f>
        <v>Srebačić</v>
      </c>
      <c r="F250" s="31" t="s">
        <v>0</v>
      </c>
      <c r="G250" s="73" t="str">
        <f>IF(csv!M240="","",csv!M240)</f>
        <v/>
      </c>
      <c r="H250" s="73" t="str">
        <f>IF(csv!N240="","",csv!N240)</f>
        <v>1</v>
      </c>
      <c r="I250" s="31" t="s">
        <v>0</v>
      </c>
      <c r="J250" s="31" t="str">
        <f>IF(csv!P240="","",csv!P240)</f>
        <v>OK Varaždin</v>
      </c>
      <c r="K250" s="31" t="str">
        <f>IF(csv!Q240="","",csv!Q240)</f>
        <v>OK Varaždin</v>
      </c>
      <c r="L250" s="31" t="s">
        <v>0</v>
      </c>
      <c r="M250" s="66" t="str">
        <f>IF(csv!R240="","",csv!R240)</f>
        <v>CRO</v>
      </c>
      <c r="N250" s="47" t="s">
        <v>0</v>
      </c>
      <c r="O250" s="246" t="str">
        <f t="shared" si="308"/>
        <v>ok</v>
      </c>
      <c r="P250" s="47"/>
      <c r="Q250" s="52" t="str">
        <f t="shared" si="309"/>
        <v>Ž20</v>
      </c>
      <c r="R250" s="73">
        <f>IF(Q250="","",IF(COUNTIF(Q$12:Q249,Q250)=0,R249+1,R249))</f>
        <v>16</v>
      </c>
      <c r="S250" s="73">
        <f t="shared" si="310"/>
        <v>119</v>
      </c>
      <c r="T250" s="73">
        <f t="shared" si="273"/>
        <v>28</v>
      </c>
      <c r="U250" s="66" t="str">
        <f t="shared" si="274"/>
        <v>Ž20</v>
      </c>
      <c r="V250" s="47" t="s">
        <v>0</v>
      </c>
      <c r="W250" s="222" t="str">
        <f t="shared" si="275"/>
        <v>Ž20</v>
      </c>
      <c r="X250" s="223">
        <f t="shared" si="276"/>
        <v>38</v>
      </c>
      <c r="Y250" s="47" t="s">
        <v>0</v>
      </c>
      <c r="Z250" s="52" t="str">
        <f t="shared" si="311"/>
        <v>CRO</v>
      </c>
      <c r="AA250" s="73">
        <f t="shared" si="277"/>
        <v>1</v>
      </c>
      <c r="AB250" s="31" t="str">
        <f t="shared" si="312"/>
        <v/>
      </c>
      <c r="AC250" s="66" t="str">
        <f>IF(AB250="","",MAX(AC$12:AC249)+1)</f>
        <v/>
      </c>
      <c r="AD250" s="47" t="s">
        <v>0</v>
      </c>
      <c r="AE250" s="125"/>
      <c r="AF250" s="47" t="s">
        <v>0</v>
      </c>
      <c r="AG250" s="19" t="str">
        <f t="shared" si="313"/>
        <v/>
      </c>
      <c r="AH250" s="47" t="s">
        <v>0</v>
      </c>
      <c r="AI250" s="143" t="str">
        <f t="shared" si="314"/>
        <v>CRO</v>
      </c>
      <c r="AJ250" s="47"/>
      <c r="AK250" s="52" t="str">
        <f t="shared" si="315"/>
        <v>Ana</v>
      </c>
      <c r="AL250" s="31" t="str">
        <f t="shared" si="316"/>
        <v>Srebačić</v>
      </c>
      <c r="AM250" s="73">
        <f t="shared" si="317"/>
        <v>1840</v>
      </c>
      <c r="AN250" s="73" t="str">
        <f t="shared" si="318"/>
        <v/>
      </c>
      <c r="AO250" s="31" t="str">
        <f t="shared" si="278"/>
        <v>Ana</v>
      </c>
      <c r="AP250" s="66" t="str">
        <f t="shared" si="279"/>
        <v>Srebačić</v>
      </c>
      <c r="AQ250" s="47" t="s">
        <v>0</v>
      </c>
      <c r="AR250" s="82" t="str">
        <f t="shared" si="319"/>
        <v/>
      </c>
      <c r="AS250" s="47" t="s">
        <v>0</v>
      </c>
      <c r="AT250" s="19" t="str">
        <f t="shared" si="320"/>
        <v/>
      </c>
      <c r="AU250" s="47" t="s">
        <v>0</v>
      </c>
      <c r="AV250" s="103"/>
      <c r="AW250" s="105"/>
      <c r="AX250" s="47" t="s">
        <v>0</v>
      </c>
      <c r="AY250" s="259" t="str">
        <f t="shared" si="343"/>
        <v/>
      </c>
      <c r="AZ250" s="47" t="s">
        <v>0</v>
      </c>
      <c r="BA250" s="52" t="str">
        <f t="shared" si="280"/>
        <v/>
      </c>
      <c r="BB250" s="73" t="str">
        <f>IF(AV250&amp;AW250="","",MAX(BB$12:BB249)+1)</f>
        <v/>
      </c>
      <c r="BC250" s="272" t="str">
        <f t="shared" si="281"/>
        <v/>
      </c>
      <c r="BD250" s="53" t="str">
        <f>IF(AND(AM250="NEMA",AN250="NEMA",OR(AV250&amp;AW250="",BC250="NEMA")),MAX(BD$12:BD249)+1,"")</f>
        <v/>
      </c>
      <c r="BE250" s="47" t="s">
        <v>0</v>
      </c>
      <c r="BF250" s="52" t="str">
        <f t="shared" si="321"/>
        <v>Ana</v>
      </c>
      <c r="BG250" s="66" t="str">
        <f t="shared" si="322"/>
        <v>Srebačić</v>
      </c>
      <c r="BH250" s="47" t="s">
        <v>0</v>
      </c>
      <c r="BI250" s="52" t="str">
        <f t="shared" si="282"/>
        <v>OK Varaždin</v>
      </c>
      <c r="BJ250" s="31" t="str">
        <f t="shared" si="283"/>
        <v>OK Varaždin</v>
      </c>
      <c r="BK250" s="73" t="str">
        <f t="shared" si="284"/>
        <v/>
      </c>
      <c r="BL250" s="31" t="str" cm="1">
        <f t="array" ref="BL250">IF(BK250="",""&amp;BJ250,IF(BK250="NEMA",BJ250,INDEX(regKlub_naziv,MATCH(INDEX(regKlub_alias_klubId,BK250),regKlub_id,0))))</f>
        <v>OK Varaždin</v>
      </c>
      <c r="BM250" s="31" t="str" cm="1">
        <f t="array" ref="BM250">IFERROR(""&amp;INDEX(regNatjecatelj_klub,DV250),"")</f>
        <v>OK Varaždin</v>
      </c>
      <c r="BN250" s="88" t="str">
        <f t="shared" si="323"/>
        <v/>
      </c>
      <c r="BO250" s="66" t="str">
        <f t="shared" si="324"/>
        <v>OK Varaždin</v>
      </c>
      <c r="BP250" s="47" t="s">
        <v>0</v>
      </c>
      <c r="BQ250" s="52" t="str">
        <f>IF(X250&lt;&gt;"NEMA","",IF(IFERROR(MATCH(W250,W$12:W249,0),0)&lt;&gt;0,"",W250))</f>
        <v/>
      </c>
      <c r="BR250" s="73" t="str">
        <f t="shared" si="325"/>
        <v/>
      </c>
      <c r="BS250" s="31" t="str">
        <f>IF(OR(BR250="",BR250&lt;&gt;"NEMA"),"",MAX(BS$12:BS249)+1)</f>
        <v/>
      </c>
      <c r="BT250" s="66" t="str">
        <f t="shared" si="326"/>
        <v/>
      </c>
      <c r="BU250" s="47" t="s">
        <v>0</v>
      </c>
      <c r="BV250" s="19" t="str">
        <f t="shared" si="327"/>
        <v/>
      </c>
      <c r="BW250" s="47" t="s">
        <v>0</v>
      </c>
      <c r="BX250" s="82" t="str">
        <f>IF(BK250&lt;&gt;"NEMA","",IF(IFERROR(MATCH(BJ250,BJ$12:BJ249,0),0)&lt;&gt;0,"",BJ250))</f>
        <v/>
      </c>
      <c r="BY250" s="47" t="s">
        <v>0</v>
      </c>
      <c r="BZ250" s="125"/>
      <c r="CA250" s="47" t="s">
        <v>0</v>
      </c>
      <c r="CB250" s="58" t="str">
        <f t="shared" si="328"/>
        <v/>
      </c>
      <c r="CC250" s="31" t="str">
        <f t="shared" si="329"/>
        <v/>
      </c>
      <c r="CD250" s="31" t="str">
        <f>IF(CC250="","",MAX(CD$12:CD249)+1)</f>
        <v/>
      </c>
      <c r="CE250" s="31" t="str">
        <f t="shared" si="285"/>
        <v/>
      </c>
      <c r="CF250" s="31" t="str">
        <f t="shared" si="330"/>
        <v/>
      </c>
      <c r="CG250" s="31" t="str">
        <f>IF(BZ250="","",MAX(CG$12:CG249)+1)</f>
        <v/>
      </c>
      <c r="CH250" s="31" t="str">
        <f t="shared" si="331"/>
        <v/>
      </c>
      <c r="CI250" s="66" t="str">
        <f t="shared" si="332"/>
        <v/>
      </c>
      <c r="CJ250" s="47" t="s">
        <v>0</v>
      </c>
      <c r="CK250" s="73" t="str">
        <f t="shared" si="286"/>
        <v/>
      </c>
      <c r="CL250" s="47"/>
      <c r="CM250" s="19" t="str">
        <f t="shared" si="333"/>
        <v/>
      </c>
      <c r="CN250" s="47" t="s">
        <v>0</v>
      </c>
      <c r="CO250" s="143" t="str">
        <f t="shared" si="334"/>
        <v>OK Varaždin</v>
      </c>
      <c r="CP250" s="47" t="s">
        <v>0</v>
      </c>
      <c r="CQ250" s="58" t="str">
        <f t="shared" si="350"/>
        <v/>
      </c>
      <c r="CR250" s="73" t="str">
        <f t="shared" si="351"/>
        <v>1</v>
      </c>
      <c r="CS250" s="229" t="str">
        <f t="shared" si="287"/>
        <v/>
      </c>
      <c r="CT250" s="230" t="str">
        <f t="shared" si="272"/>
        <v/>
      </c>
      <c r="CU250" s="163">
        <f t="shared" si="288"/>
        <v>6</v>
      </c>
      <c r="CV250" s="47" t="s">
        <v>0</v>
      </c>
      <c r="CW250" s="222" t="str">
        <f t="shared" si="335"/>
        <v xml:space="preserve">
</v>
      </c>
      <c r="CX250" s="223" t="e">
        <f t="shared" si="336"/>
        <v>#N/A</v>
      </c>
      <c r="CY250" s="47" t="s">
        <v>0</v>
      </c>
      <c r="CZ250" s="47"/>
      <c r="DA250" s="47"/>
      <c r="DB250" s="47"/>
      <c r="DC250" s="47" t="s">
        <v>0</v>
      </c>
      <c r="DD250" s="53" t="str">
        <f t="shared" si="344"/>
        <v/>
      </c>
      <c r="DE250" t="s">
        <v>0</v>
      </c>
      <c r="DF250" s="128" t="str">
        <f t="shared" si="345"/>
        <v>Ž</v>
      </c>
      <c r="DG250" t="s">
        <v>0</v>
      </c>
      <c r="DH250" s="52" t="str">
        <f t="shared" si="346"/>
        <v/>
      </c>
      <c r="DI250" s="66" t="str">
        <f t="shared" si="347"/>
        <v/>
      </c>
      <c r="DJ250" t="s">
        <v>0</v>
      </c>
      <c r="DK250" s="19" t="str">
        <f t="shared" si="348"/>
        <v/>
      </c>
      <c r="DL250" s="47" t="s">
        <v>0</v>
      </c>
      <c r="DM250" s="19" t="str">
        <f t="shared" si="349"/>
        <v/>
      </c>
      <c r="DN250" s="47" t="s">
        <v>0</v>
      </c>
      <c r="DO250" s="52" t="str">
        <f t="shared" si="289"/>
        <v>Ana – Srebačić – OK Varaždin – Ž20</v>
      </c>
      <c r="DP250" s="53">
        <f t="shared" si="290"/>
        <v>592</v>
      </c>
      <c r="DQ250" s="47" t="s">
        <v>0</v>
      </c>
      <c r="DR250" s="52" t="str">
        <f t="shared" si="291"/>
        <v>Ana – Srebačić – OK Varaždin</v>
      </c>
      <c r="DS250" s="53">
        <f t="shared" si="292"/>
        <v>592</v>
      </c>
      <c r="DT250" s="47" t="s">
        <v>0</v>
      </c>
      <c r="DU250" s="52" t="str">
        <f t="shared" si="293"/>
        <v>Ana – Srebačić</v>
      </c>
      <c r="DV250" s="53">
        <f t="shared" si="294"/>
        <v>592</v>
      </c>
      <c r="DW250" s="47" t="s">
        <v>0</v>
      </c>
      <c r="DX250" s="58">
        <f t="shared" si="337"/>
        <v>592</v>
      </c>
      <c r="DY250" s="53" cm="1">
        <f t="array" ref="DY250">IF(DX250&lt;&gt;"",INDEX(regNatjecatelj_id,DX250,0),IF(BD250&lt;&gt;"",BD250,""))</f>
        <v>1840</v>
      </c>
      <c r="DZ250" s="47" t="s">
        <v>0</v>
      </c>
      <c r="EA250" s="58" t="str">
        <f t="shared" si="295"/>
        <v>imepre</v>
      </c>
      <c r="EB250" s="73" t="str">
        <f t="shared" si="296"/>
        <v>klu</v>
      </c>
      <c r="EC250" s="73" t="str">
        <f t="shared" si="297"/>
        <v>kat</v>
      </c>
      <c r="ED250" s="73" t="str">
        <f t="shared" si="298"/>
        <v/>
      </c>
      <c r="EE250" s="66" t="str">
        <f t="shared" si="299"/>
        <v>imepre-klu-kat</v>
      </c>
      <c r="EF250" s="47" t="s">
        <v>0</v>
      </c>
      <c r="EG250" s="58">
        <f>IF(AL250="","",MAX(EG$12:EG249)+1)</f>
        <v>405</v>
      </c>
      <c r="EH250" s="73">
        <f t="shared" si="300"/>
        <v>38</v>
      </c>
      <c r="EI250" s="73">
        <f t="shared" si="338"/>
        <v>1840</v>
      </c>
      <c r="EJ250" s="73" t="str">
        <f t="shared" si="301"/>
        <v/>
      </c>
      <c r="EK250" s="73">
        <f t="shared" si="302"/>
        <v>6</v>
      </c>
      <c r="EL250" s="73">
        <f t="shared" si="339"/>
        <v>1</v>
      </c>
      <c r="EM250" s="73">
        <f t="shared" si="340"/>
        <v>1</v>
      </c>
      <c r="EN250" s="73" t="str">
        <f t="shared" si="303"/>
        <v>1</v>
      </c>
      <c r="EO250" s="73" t="str">
        <f t="shared" si="304"/>
        <v/>
      </c>
      <c r="EP250" s="73" t="str">
        <f t="shared" si="305"/>
        <v/>
      </c>
      <c r="EQ250" s="53" t="str">
        <f t="shared" si="306"/>
        <v/>
      </c>
      <c r="ER250" s="47" t="s">
        <v>0</v>
      </c>
      <c r="ES250" s="19" t="str">
        <f t="shared" si="341"/>
        <v>INSERT INTO rezultat(id,stazakategorija_id,imeprezime_id,vrijeme_sec,status_id,registracija,uparivanje_id,originalstatus_id,imeprezimealias_id,klubalias_id,kategorijaalias_id) VALUES (405,38,1840,Null,6,1,1,1,Null,Null,Null);</v>
      </c>
      <c r="ET250" s="47" t="s">
        <v>0</v>
      </c>
      <c r="EU250" s="19" t="str">
        <f t="shared" si="342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50" s="47" t="s">
        <v>0</v>
      </c>
      <c r="EW250" s="180" t="str">
        <f t="shared" si="307"/>
        <v xml:space="preserve">
INSERT INTO rezultat(id,stazakategorija_id,imeprezime_id,vrijeme_sec,status_id,registracija,uparivanje_id,originalstatus_id,imeprezimealias_id,klubalias_id,kategorijaalias_id) VALUES (405,38,1840,Null,6,1,1,1,Null,Null,Null);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50" s="47" t="s">
        <v>0</v>
      </c>
    </row>
    <row r="251" spans="1:154" x14ac:dyDescent="0.25">
      <c r="A251" t="s">
        <v>0</v>
      </c>
      <c r="B251" s="52" t="str">
        <f>IF(csv!F241="","",csv!T241)</f>
        <v>Ž20</v>
      </c>
      <c r="C251" s="31" t="s">
        <v>0</v>
      </c>
      <c r="D251" s="31" t="str">
        <f>IF(csv!F241="","",csv!F241)</f>
        <v>Vacant</v>
      </c>
      <c r="E251" s="31" t="str">
        <f>IF(csv!E241="","",csv!E241)</f>
        <v/>
      </c>
      <c r="F251" s="31" t="s">
        <v>0</v>
      </c>
      <c r="G251" s="73" t="str">
        <f>IF(csv!M241="","",csv!M241)</f>
        <v/>
      </c>
      <c r="H251" s="73" t="str">
        <f>IF(csv!N241="","",csv!N241)</f>
        <v>0</v>
      </c>
      <c r="I251" s="31" t="s">
        <v>0</v>
      </c>
      <c r="J251" s="31" t="str">
        <f>IF(csv!P241="","",csv!P241)</f>
        <v/>
      </c>
      <c r="K251" s="31" t="str">
        <f>IF(csv!Q241="","",csv!Q241)</f>
        <v/>
      </c>
      <c r="L251" s="31" t="s">
        <v>0</v>
      </c>
      <c r="M251" s="66" t="str">
        <f>IF(csv!R241="","",csv!R241)</f>
        <v/>
      </c>
      <c r="N251" s="47" t="s">
        <v>0</v>
      </c>
      <c r="O251" s="246" t="str">
        <f t="shared" si="308"/>
        <v/>
      </c>
      <c r="P251" s="47"/>
      <c r="Q251" s="52" t="str">
        <f t="shared" si="309"/>
        <v>Ž20</v>
      </c>
      <c r="R251" s="73">
        <f>IF(Q251="","",IF(COUNTIF(Q$12:Q250,Q251)=0,R250+1,R250))</f>
        <v>16</v>
      </c>
      <c r="S251" s="73">
        <f t="shared" si="310"/>
        <v>119</v>
      </c>
      <c r="T251" s="73">
        <f t="shared" si="273"/>
        <v>28</v>
      </c>
      <c r="U251" s="66" t="str">
        <f t="shared" si="274"/>
        <v>Ž20</v>
      </c>
      <c r="V251" s="47" t="s">
        <v>0</v>
      </c>
      <c r="W251" s="222" t="str">
        <f t="shared" si="275"/>
        <v/>
      </c>
      <c r="X251" s="223" t="str">
        <f t="shared" si="276"/>
        <v/>
      </c>
      <c r="Y251" s="47" t="s">
        <v>0</v>
      </c>
      <c r="Z251" s="52" t="str">
        <f t="shared" si="311"/>
        <v/>
      </c>
      <c r="AA251" s="73" t="str">
        <f t="shared" si="277"/>
        <v/>
      </c>
      <c r="AB251" s="31" t="str">
        <f t="shared" si="312"/>
        <v/>
      </c>
      <c r="AC251" s="66" t="str">
        <f>IF(AB251="","",MAX(AC$12:AC250)+1)</f>
        <v/>
      </c>
      <c r="AD251" s="47" t="s">
        <v>0</v>
      </c>
      <c r="AE251" s="125"/>
      <c r="AF251" s="47" t="s">
        <v>0</v>
      </c>
      <c r="AG251" s="19" t="str">
        <f t="shared" si="313"/>
        <v/>
      </c>
      <c r="AH251" s="47" t="s">
        <v>0</v>
      </c>
      <c r="AI251" s="143" t="str">
        <f t="shared" si="314"/>
        <v/>
      </c>
      <c r="AJ251" s="47"/>
      <c r="AK251" s="52" t="str">
        <f t="shared" si="315"/>
        <v/>
      </c>
      <c r="AL251" s="31" t="str">
        <f t="shared" si="316"/>
        <v/>
      </c>
      <c r="AM251" s="73" t="str">
        <f t="shared" si="317"/>
        <v/>
      </c>
      <c r="AN251" s="73" t="str">
        <f t="shared" si="318"/>
        <v/>
      </c>
      <c r="AO251" s="31" t="str">
        <f t="shared" si="278"/>
        <v/>
      </c>
      <c r="AP251" s="66" t="str">
        <f t="shared" si="279"/>
        <v/>
      </c>
      <c r="AQ251" s="47" t="s">
        <v>0</v>
      </c>
      <c r="AR251" s="82" t="str">
        <f t="shared" si="319"/>
        <v/>
      </c>
      <c r="AS251" s="47" t="s">
        <v>0</v>
      </c>
      <c r="AT251" s="19" t="str">
        <f t="shared" si="320"/>
        <v/>
      </c>
      <c r="AU251" s="47" t="s">
        <v>0</v>
      </c>
      <c r="AV251" s="103"/>
      <c r="AW251" s="105"/>
      <c r="AX251" s="47" t="s">
        <v>0</v>
      </c>
      <c r="AY251" s="259" t="str">
        <f t="shared" si="343"/>
        <v/>
      </c>
      <c r="AZ251" s="47" t="s">
        <v>0</v>
      </c>
      <c r="BA251" s="52" t="str">
        <f t="shared" si="280"/>
        <v/>
      </c>
      <c r="BB251" s="73" t="str">
        <f>IF(AV251&amp;AW251="","",MAX(BB$12:BB250)+1)</f>
        <v/>
      </c>
      <c r="BC251" s="272" t="str">
        <f t="shared" si="281"/>
        <v/>
      </c>
      <c r="BD251" s="53" t="str">
        <f>IF(AND(AM251="NEMA",AN251="NEMA",OR(AV251&amp;AW251="",BC251="NEMA")),MAX(BD$12:BD250)+1,"")</f>
        <v/>
      </c>
      <c r="BE251" s="47" t="s">
        <v>0</v>
      </c>
      <c r="BF251" s="52" t="str">
        <f t="shared" si="321"/>
        <v/>
      </c>
      <c r="BG251" s="66" t="str">
        <f t="shared" si="322"/>
        <v/>
      </c>
      <c r="BH251" s="47" t="s">
        <v>0</v>
      </c>
      <c r="BI251" s="52" t="str">
        <f t="shared" si="282"/>
        <v/>
      </c>
      <c r="BJ251" s="31" t="str">
        <f t="shared" si="283"/>
        <v/>
      </c>
      <c r="BK251" s="73" t="str">
        <f t="shared" si="284"/>
        <v/>
      </c>
      <c r="BL251" s="31" t="str" cm="1">
        <f t="array" ref="BL251">IF(BK251="",""&amp;BJ251,IF(BK251="NEMA",BJ251,INDEX(regKlub_naziv,MATCH(INDEX(regKlub_alias_klubId,BK251),regKlub_id,0))))</f>
        <v/>
      </c>
      <c r="BM251" s="31" t="str" cm="1">
        <f t="array" ref="BM251">IFERROR(""&amp;INDEX(regNatjecatelj_klub,DV251),"")</f>
        <v/>
      </c>
      <c r="BN251" s="88" t="str">
        <f t="shared" si="323"/>
        <v/>
      </c>
      <c r="BO251" s="66" t="str">
        <f t="shared" si="324"/>
        <v/>
      </c>
      <c r="BP251" s="47" t="s">
        <v>0</v>
      </c>
      <c r="BQ251" s="52" t="str">
        <f>IF(X251&lt;&gt;"NEMA","",IF(IFERROR(MATCH(W251,W$12:W250,0),0)&lt;&gt;0,"",W251))</f>
        <v/>
      </c>
      <c r="BR251" s="73" t="str">
        <f t="shared" si="325"/>
        <v/>
      </c>
      <c r="BS251" s="31" t="str">
        <f>IF(OR(BR251="",BR251&lt;&gt;"NEMA"),"",MAX(BS$12:BS250)+1)</f>
        <v/>
      </c>
      <c r="BT251" s="66" t="str">
        <f t="shared" si="326"/>
        <v/>
      </c>
      <c r="BU251" s="47" t="s">
        <v>0</v>
      </c>
      <c r="BV251" s="19" t="str">
        <f t="shared" si="327"/>
        <v/>
      </c>
      <c r="BW251" s="47" t="s">
        <v>0</v>
      </c>
      <c r="BX251" s="82" t="str">
        <f>IF(BK251&lt;&gt;"NEMA","",IF(IFERROR(MATCH(BJ251,BJ$12:BJ250,0),0)&lt;&gt;0,"",BJ251))</f>
        <v/>
      </c>
      <c r="BY251" s="47" t="s">
        <v>0</v>
      </c>
      <c r="BZ251" s="125"/>
      <c r="CA251" s="47" t="s">
        <v>0</v>
      </c>
      <c r="CB251" s="58" t="str">
        <f t="shared" si="328"/>
        <v/>
      </c>
      <c r="CC251" s="31" t="str">
        <f t="shared" si="329"/>
        <v/>
      </c>
      <c r="CD251" s="31" t="str">
        <f>IF(CC251="","",MAX(CD$12:CD250)+1)</f>
        <v/>
      </c>
      <c r="CE251" s="31" t="str">
        <f t="shared" si="285"/>
        <v/>
      </c>
      <c r="CF251" s="31" t="str">
        <f t="shared" si="330"/>
        <v/>
      </c>
      <c r="CG251" s="31" t="str">
        <f>IF(BZ251="","",MAX(CG$12:CG250)+1)</f>
        <v/>
      </c>
      <c r="CH251" s="31" t="str">
        <f t="shared" si="331"/>
        <v/>
      </c>
      <c r="CI251" s="66" t="str">
        <f t="shared" si="332"/>
        <v/>
      </c>
      <c r="CJ251" s="47" t="s">
        <v>0</v>
      </c>
      <c r="CK251" s="73" t="str">
        <f t="shared" si="286"/>
        <v/>
      </c>
      <c r="CL251" s="47"/>
      <c r="CM251" s="19" t="str">
        <f t="shared" si="333"/>
        <v/>
      </c>
      <c r="CN251" s="47" t="s">
        <v>0</v>
      </c>
      <c r="CO251" s="143" t="str">
        <f t="shared" si="334"/>
        <v/>
      </c>
      <c r="CP251" s="47" t="s">
        <v>0</v>
      </c>
      <c r="CQ251" s="58" t="str">
        <f t="shared" si="350"/>
        <v/>
      </c>
      <c r="CR251" s="73" t="str">
        <f t="shared" si="351"/>
        <v>0</v>
      </c>
      <c r="CS251" s="229" t="str">
        <f t="shared" si="287"/>
        <v/>
      </c>
      <c r="CT251" s="230" t="str">
        <f t="shared" si="272"/>
        <v/>
      </c>
      <c r="CU251" s="163" t="str">
        <f t="shared" si="288"/>
        <v/>
      </c>
      <c r="CV251" s="47" t="s">
        <v>0</v>
      </c>
      <c r="CW251" s="222" t="str">
        <f t="shared" si="335"/>
        <v xml:space="preserve">
</v>
      </c>
      <c r="CX251" s="223" t="str">
        <f t="shared" si="336"/>
        <v/>
      </c>
      <c r="CY251" s="47" t="s">
        <v>0</v>
      </c>
      <c r="CZ251" s="47"/>
      <c r="DA251" s="47"/>
      <c r="DB251" s="47"/>
      <c r="DC251" s="47" t="s">
        <v>0</v>
      </c>
      <c r="DD251" s="53" t="str">
        <f t="shared" si="344"/>
        <v/>
      </c>
      <c r="DE251" t="s">
        <v>0</v>
      </c>
      <c r="DF251" s="128" t="str">
        <f t="shared" si="345"/>
        <v>Ž</v>
      </c>
      <c r="DG251" t="s">
        <v>0</v>
      </c>
      <c r="DH251" s="52" t="str">
        <f t="shared" si="346"/>
        <v/>
      </c>
      <c r="DI251" s="66" t="str">
        <f t="shared" si="347"/>
        <v/>
      </c>
      <c r="DJ251" t="s">
        <v>0</v>
      </c>
      <c r="DK251" s="19" t="str">
        <f t="shared" si="348"/>
        <v/>
      </c>
      <c r="DL251" s="47" t="s">
        <v>0</v>
      </c>
      <c r="DM251" s="19" t="str">
        <f t="shared" si="349"/>
        <v/>
      </c>
      <c r="DN251" s="47" t="s">
        <v>0</v>
      </c>
      <c r="DO251" s="52" t="str">
        <f t="shared" si="289"/>
        <v/>
      </c>
      <c r="DP251" s="53" t="str">
        <f t="shared" si="290"/>
        <v/>
      </c>
      <c r="DQ251" s="47" t="s">
        <v>0</v>
      </c>
      <c r="DR251" s="52" t="str">
        <f t="shared" si="291"/>
        <v/>
      </c>
      <c r="DS251" s="53" t="str">
        <f t="shared" si="292"/>
        <v/>
      </c>
      <c r="DT251" s="47" t="s">
        <v>0</v>
      </c>
      <c r="DU251" s="52" t="str">
        <f t="shared" si="293"/>
        <v/>
      </c>
      <c r="DV251" s="53" t="str">
        <f t="shared" si="294"/>
        <v/>
      </c>
      <c r="DW251" s="47" t="s">
        <v>0</v>
      </c>
      <c r="DX251" s="58" t="str">
        <f t="shared" si="337"/>
        <v/>
      </c>
      <c r="DY251" s="53" t="str" cm="1">
        <f t="array" ref="DY251">IF(DX251&lt;&gt;"",INDEX(regNatjecatelj_id,DX251,0),IF(BD251&lt;&gt;"",BD251,""))</f>
        <v/>
      </c>
      <c r="DZ251" s="47" t="s">
        <v>0</v>
      </c>
      <c r="EA251" s="58" t="str">
        <f t="shared" si="295"/>
        <v/>
      </c>
      <c r="EB251" s="73" t="str">
        <f t="shared" si="296"/>
        <v/>
      </c>
      <c r="EC251" s="73" t="str">
        <f t="shared" si="297"/>
        <v/>
      </c>
      <c r="ED251" s="73" t="str">
        <f t="shared" si="298"/>
        <v/>
      </c>
      <c r="EE251" s="66" t="str">
        <f t="shared" si="299"/>
        <v/>
      </c>
      <c r="EF251" s="47" t="s">
        <v>0</v>
      </c>
      <c r="EG251" s="58" t="str">
        <f>IF(AL251="","",MAX(EG$12:EG250)+1)</f>
        <v/>
      </c>
      <c r="EH251" s="73" t="str">
        <f t="shared" si="300"/>
        <v/>
      </c>
      <c r="EI251" s="73" t="str">
        <f t="shared" si="338"/>
        <v/>
      </c>
      <c r="EJ251" s="73" t="str">
        <f t="shared" si="301"/>
        <v/>
      </c>
      <c r="EK251" s="73" t="str">
        <f t="shared" si="302"/>
        <v/>
      </c>
      <c r="EL251" s="73" t="str">
        <f t="shared" si="339"/>
        <v/>
      </c>
      <c r="EM251" s="73" t="str">
        <f t="shared" si="340"/>
        <v/>
      </c>
      <c r="EN251" s="73" t="str">
        <f t="shared" si="303"/>
        <v/>
      </c>
      <c r="EO251" s="73" t="str">
        <f t="shared" si="304"/>
        <v/>
      </c>
      <c r="EP251" s="73" t="str">
        <f t="shared" si="305"/>
        <v/>
      </c>
      <c r="EQ251" s="53" t="str">
        <f t="shared" si="306"/>
        <v/>
      </c>
      <c r="ER251" s="47" t="s">
        <v>0</v>
      </c>
      <c r="ES251" s="19" t="str">
        <f t="shared" si="341"/>
        <v/>
      </c>
      <c r="ET251" s="47" t="s">
        <v>0</v>
      </c>
      <c r="EU251" s="19" t="str">
        <f t="shared" si="342"/>
        <v/>
      </c>
      <c r="EV251" s="47" t="s">
        <v>0</v>
      </c>
      <c r="EW251" s="180" t="str">
        <f t="shared" si="307"/>
        <v/>
      </c>
      <c r="EX251" s="47" t="s">
        <v>0</v>
      </c>
    </row>
    <row r="252" spans="1:154" x14ac:dyDescent="0.25">
      <c r="A252" t="s">
        <v>0</v>
      </c>
      <c r="B252" s="52" t="str">
        <f>IF(csv!F242="","",csv!T242)</f>
        <v>Ž20</v>
      </c>
      <c r="C252" s="31" t="s">
        <v>0</v>
      </c>
      <c r="D252" s="31" t="str">
        <f>IF(csv!F242="","",csv!F242)</f>
        <v>Vacant</v>
      </c>
      <c r="E252" s="31" t="str">
        <f>IF(csv!E242="","",csv!E242)</f>
        <v/>
      </c>
      <c r="F252" s="31" t="s">
        <v>0</v>
      </c>
      <c r="G252" s="73" t="str">
        <f>IF(csv!M242="","",csv!M242)</f>
        <v/>
      </c>
      <c r="H252" s="73" t="str">
        <f>IF(csv!N242="","",csv!N242)</f>
        <v>0</v>
      </c>
      <c r="I252" s="31" t="s">
        <v>0</v>
      </c>
      <c r="J252" s="31" t="str">
        <f>IF(csv!P242="","",csv!P242)</f>
        <v/>
      </c>
      <c r="K252" s="31" t="str">
        <f>IF(csv!Q242="","",csv!Q242)</f>
        <v/>
      </c>
      <c r="L252" s="31" t="s">
        <v>0</v>
      </c>
      <c r="M252" s="66" t="str">
        <f>IF(csv!R242="","",csv!R242)</f>
        <v/>
      </c>
      <c r="N252" s="47" t="s">
        <v>0</v>
      </c>
      <c r="O252" s="246" t="str">
        <f t="shared" si="308"/>
        <v/>
      </c>
      <c r="P252" s="47"/>
      <c r="Q252" s="52" t="str">
        <f t="shared" si="309"/>
        <v>Ž20</v>
      </c>
      <c r="R252" s="73">
        <f>IF(Q252="","",IF(COUNTIF(Q$12:Q251,Q252)=0,R251+1,R251))</f>
        <v>16</v>
      </c>
      <c r="S252" s="73">
        <f t="shared" si="310"/>
        <v>119</v>
      </c>
      <c r="T252" s="73">
        <f t="shared" si="273"/>
        <v>28</v>
      </c>
      <c r="U252" s="66" t="str">
        <f t="shared" si="274"/>
        <v>Ž20</v>
      </c>
      <c r="V252" s="47" t="s">
        <v>0</v>
      </c>
      <c r="W252" s="222" t="str">
        <f t="shared" si="275"/>
        <v/>
      </c>
      <c r="X252" s="223" t="str">
        <f t="shared" si="276"/>
        <v/>
      </c>
      <c r="Y252" s="47" t="s">
        <v>0</v>
      </c>
      <c r="Z252" s="52" t="str">
        <f t="shared" si="311"/>
        <v/>
      </c>
      <c r="AA252" s="73" t="str">
        <f t="shared" si="277"/>
        <v/>
      </c>
      <c r="AB252" s="31" t="str">
        <f t="shared" si="312"/>
        <v/>
      </c>
      <c r="AC252" s="66" t="str">
        <f>IF(AB252="","",MAX(AC$12:AC251)+1)</f>
        <v/>
      </c>
      <c r="AD252" s="47" t="s">
        <v>0</v>
      </c>
      <c r="AE252" s="125"/>
      <c r="AF252" s="47" t="s">
        <v>0</v>
      </c>
      <c r="AG252" s="19" t="str">
        <f t="shared" si="313"/>
        <v/>
      </c>
      <c r="AH252" s="47" t="s">
        <v>0</v>
      </c>
      <c r="AI252" s="143" t="str">
        <f t="shared" si="314"/>
        <v/>
      </c>
      <c r="AJ252" s="47"/>
      <c r="AK252" s="52" t="str">
        <f t="shared" si="315"/>
        <v/>
      </c>
      <c r="AL252" s="31" t="str">
        <f t="shared" si="316"/>
        <v/>
      </c>
      <c r="AM252" s="73" t="str">
        <f t="shared" si="317"/>
        <v/>
      </c>
      <c r="AN252" s="73" t="str">
        <f t="shared" si="318"/>
        <v/>
      </c>
      <c r="AO252" s="31" t="str">
        <f t="shared" si="278"/>
        <v/>
      </c>
      <c r="AP252" s="66" t="str">
        <f t="shared" si="279"/>
        <v/>
      </c>
      <c r="AQ252" s="47" t="s">
        <v>0</v>
      </c>
      <c r="AR252" s="82" t="str">
        <f t="shared" si="319"/>
        <v/>
      </c>
      <c r="AS252" s="47" t="s">
        <v>0</v>
      </c>
      <c r="AT252" s="19" t="str">
        <f t="shared" si="320"/>
        <v/>
      </c>
      <c r="AU252" s="47" t="s">
        <v>0</v>
      </c>
      <c r="AV252" s="103"/>
      <c r="AW252" s="105"/>
      <c r="AX252" s="47" t="s">
        <v>0</v>
      </c>
      <c r="AY252" s="259" t="str">
        <f t="shared" si="343"/>
        <v/>
      </c>
      <c r="AZ252" s="47" t="s">
        <v>0</v>
      </c>
      <c r="BA252" s="52" t="str">
        <f t="shared" si="280"/>
        <v/>
      </c>
      <c r="BB252" s="73" t="str">
        <f>IF(AV252&amp;AW252="","",MAX(BB$12:BB251)+1)</f>
        <v/>
      </c>
      <c r="BC252" s="272" t="str">
        <f t="shared" si="281"/>
        <v/>
      </c>
      <c r="BD252" s="53" t="str">
        <f>IF(AND(AM252="NEMA",AN252="NEMA",OR(AV252&amp;AW252="",BC252="NEMA")),MAX(BD$12:BD251)+1,"")</f>
        <v/>
      </c>
      <c r="BE252" s="47" t="s">
        <v>0</v>
      </c>
      <c r="BF252" s="52" t="str">
        <f t="shared" si="321"/>
        <v/>
      </c>
      <c r="BG252" s="66" t="str">
        <f t="shared" si="322"/>
        <v/>
      </c>
      <c r="BH252" s="47" t="s">
        <v>0</v>
      </c>
      <c r="BI252" s="52" t="str">
        <f t="shared" si="282"/>
        <v/>
      </c>
      <c r="BJ252" s="31" t="str">
        <f t="shared" si="283"/>
        <v/>
      </c>
      <c r="BK252" s="73" t="str">
        <f t="shared" si="284"/>
        <v/>
      </c>
      <c r="BL252" s="31" t="str" cm="1">
        <f t="array" ref="BL252">IF(BK252="",""&amp;BJ252,IF(BK252="NEMA",BJ252,INDEX(regKlub_naziv,MATCH(INDEX(regKlub_alias_klubId,BK252),regKlub_id,0))))</f>
        <v/>
      </c>
      <c r="BM252" s="31" t="str" cm="1">
        <f t="array" ref="BM252">IFERROR(""&amp;INDEX(regNatjecatelj_klub,DV252),"")</f>
        <v/>
      </c>
      <c r="BN252" s="88" t="str">
        <f t="shared" si="323"/>
        <v/>
      </c>
      <c r="BO252" s="66" t="str">
        <f t="shared" si="324"/>
        <v/>
      </c>
      <c r="BP252" s="47" t="s">
        <v>0</v>
      </c>
      <c r="BQ252" s="52" t="str">
        <f>IF(X252&lt;&gt;"NEMA","",IF(IFERROR(MATCH(W252,W$12:W251,0),0)&lt;&gt;0,"",W252))</f>
        <v/>
      </c>
      <c r="BR252" s="73" t="str">
        <f t="shared" si="325"/>
        <v/>
      </c>
      <c r="BS252" s="31" t="str">
        <f>IF(OR(BR252="",BR252&lt;&gt;"NEMA"),"",MAX(BS$12:BS251)+1)</f>
        <v/>
      </c>
      <c r="BT252" s="66" t="str">
        <f t="shared" si="326"/>
        <v/>
      </c>
      <c r="BU252" s="47" t="s">
        <v>0</v>
      </c>
      <c r="BV252" s="19" t="str">
        <f t="shared" si="327"/>
        <v/>
      </c>
      <c r="BW252" s="47" t="s">
        <v>0</v>
      </c>
      <c r="BX252" s="82" t="str">
        <f>IF(BK252&lt;&gt;"NEMA","",IF(IFERROR(MATCH(BJ252,BJ$12:BJ251,0),0)&lt;&gt;0,"",BJ252))</f>
        <v/>
      </c>
      <c r="BY252" s="47" t="s">
        <v>0</v>
      </c>
      <c r="BZ252" s="125"/>
      <c r="CA252" s="47" t="s">
        <v>0</v>
      </c>
      <c r="CB252" s="58" t="str">
        <f t="shared" si="328"/>
        <v/>
      </c>
      <c r="CC252" s="31" t="str">
        <f t="shared" si="329"/>
        <v/>
      </c>
      <c r="CD252" s="31" t="str">
        <f>IF(CC252="","",MAX(CD$12:CD251)+1)</f>
        <v/>
      </c>
      <c r="CE252" s="31" t="str">
        <f t="shared" si="285"/>
        <v/>
      </c>
      <c r="CF252" s="31" t="str">
        <f t="shared" si="330"/>
        <v/>
      </c>
      <c r="CG252" s="31" t="str">
        <f>IF(BZ252="","",MAX(CG$12:CG251)+1)</f>
        <v/>
      </c>
      <c r="CH252" s="31" t="str">
        <f t="shared" si="331"/>
        <v/>
      </c>
      <c r="CI252" s="66" t="str">
        <f t="shared" si="332"/>
        <v/>
      </c>
      <c r="CJ252" s="47" t="s">
        <v>0</v>
      </c>
      <c r="CK252" s="73" t="str">
        <f t="shared" si="286"/>
        <v/>
      </c>
      <c r="CL252" s="47"/>
      <c r="CM252" s="19" t="str">
        <f t="shared" si="333"/>
        <v/>
      </c>
      <c r="CN252" s="47" t="s">
        <v>0</v>
      </c>
      <c r="CO252" s="143" t="str">
        <f t="shared" si="334"/>
        <v/>
      </c>
      <c r="CP252" s="47" t="s">
        <v>0</v>
      </c>
      <c r="CQ252" s="58" t="str">
        <f t="shared" si="350"/>
        <v/>
      </c>
      <c r="CR252" s="73" t="str">
        <f t="shared" si="351"/>
        <v>0</v>
      </c>
      <c r="CS252" s="229" t="str">
        <f t="shared" si="287"/>
        <v/>
      </c>
      <c r="CT252" s="230" t="str">
        <f t="shared" si="272"/>
        <v/>
      </c>
      <c r="CU252" s="163" t="str">
        <f t="shared" si="288"/>
        <v/>
      </c>
      <c r="CV252" s="47" t="s">
        <v>0</v>
      </c>
      <c r="CW252" s="222" t="str">
        <f t="shared" si="335"/>
        <v xml:space="preserve">
</v>
      </c>
      <c r="CX252" s="223" t="str">
        <f t="shared" si="336"/>
        <v/>
      </c>
      <c r="CY252" s="47" t="s">
        <v>0</v>
      </c>
      <c r="CZ252" s="47"/>
      <c r="DA252" s="47"/>
      <c r="DB252" s="47"/>
      <c r="DC252" s="47" t="s">
        <v>0</v>
      </c>
      <c r="DD252" s="53" t="str">
        <f t="shared" si="344"/>
        <v/>
      </c>
      <c r="DE252" t="s">
        <v>0</v>
      </c>
      <c r="DF252" s="128" t="str">
        <f t="shared" si="345"/>
        <v>Ž</v>
      </c>
      <c r="DG252" t="s">
        <v>0</v>
      </c>
      <c r="DH252" s="52" t="str">
        <f t="shared" si="346"/>
        <v/>
      </c>
      <c r="DI252" s="66" t="str">
        <f t="shared" si="347"/>
        <v/>
      </c>
      <c r="DJ252" t="s">
        <v>0</v>
      </c>
      <c r="DK252" s="19" t="str">
        <f t="shared" si="348"/>
        <v/>
      </c>
      <c r="DL252" s="47" t="s">
        <v>0</v>
      </c>
      <c r="DM252" s="19" t="str">
        <f t="shared" si="349"/>
        <v/>
      </c>
      <c r="DN252" s="47" t="s">
        <v>0</v>
      </c>
      <c r="DO252" s="52" t="str">
        <f t="shared" si="289"/>
        <v/>
      </c>
      <c r="DP252" s="53" t="str">
        <f t="shared" si="290"/>
        <v/>
      </c>
      <c r="DQ252" s="47" t="s">
        <v>0</v>
      </c>
      <c r="DR252" s="52" t="str">
        <f t="shared" si="291"/>
        <v/>
      </c>
      <c r="DS252" s="53" t="str">
        <f t="shared" si="292"/>
        <v/>
      </c>
      <c r="DT252" s="47" t="s">
        <v>0</v>
      </c>
      <c r="DU252" s="52" t="str">
        <f t="shared" si="293"/>
        <v/>
      </c>
      <c r="DV252" s="53" t="str">
        <f t="shared" si="294"/>
        <v/>
      </c>
      <c r="DW252" s="47" t="s">
        <v>0</v>
      </c>
      <c r="DX252" s="58" t="str">
        <f t="shared" si="337"/>
        <v/>
      </c>
      <c r="DY252" s="53" t="str" cm="1">
        <f t="array" ref="DY252">IF(DX252&lt;&gt;"",INDEX(regNatjecatelj_id,DX252,0),IF(BD252&lt;&gt;"",BD252,""))</f>
        <v/>
      </c>
      <c r="DZ252" s="47" t="s">
        <v>0</v>
      </c>
      <c r="EA252" s="58" t="str">
        <f t="shared" si="295"/>
        <v/>
      </c>
      <c r="EB252" s="73" t="str">
        <f t="shared" si="296"/>
        <v/>
      </c>
      <c r="EC252" s="73" t="str">
        <f t="shared" si="297"/>
        <v/>
      </c>
      <c r="ED252" s="73" t="str">
        <f t="shared" si="298"/>
        <v/>
      </c>
      <c r="EE252" s="66" t="str">
        <f t="shared" si="299"/>
        <v/>
      </c>
      <c r="EF252" s="47" t="s">
        <v>0</v>
      </c>
      <c r="EG252" s="58" t="str">
        <f>IF(AL252="","",MAX(EG$12:EG251)+1)</f>
        <v/>
      </c>
      <c r="EH252" s="73" t="str">
        <f t="shared" si="300"/>
        <v/>
      </c>
      <c r="EI252" s="73" t="str">
        <f t="shared" si="338"/>
        <v/>
      </c>
      <c r="EJ252" s="73" t="str">
        <f t="shared" si="301"/>
        <v/>
      </c>
      <c r="EK252" s="73" t="str">
        <f t="shared" si="302"/>
        <v/>
      </c>
      <c r="EL252" s="73" t="str">
        <f t="shared" si="339"/>
        <v/>
      </c>
      <c r="EM252" s="73" t="str">
        <f t="shared" si="340"/>
        <v/>
      </c>
      <c r="EN252" s="73" t="str">
        <f t="shared" si="303"/>
        <v/>
      </c>
      <c r="EO252" s="73" t="str">
        <f t="shared" si="304"/>
        <v/>
      </c>
      <c r="EP252" s="73" t="str">
        <f t="shared" si="305"/>
        <v/>
      </c>
      <c r="EQ252" s="53" t="str">
        <f t="shared" si="306"/>
        <v/>
      </c>
      <c r="ER252" s="47" t="s">
        <v>0</v>
      </c>
      <c r="ES252" s="19" t="str">
        <f t="shared" si="341"/>
        <v/>
      </c>
      <c r="ET252" s="47" t="s">
        <v>0</v>
      </c>
      <c r="EU252" s="19" t="str">
        <f t="shared" si="342"/>
        <v/>
      </c>
      <c r="EV252" s="47" t="s">
        <v>0</v>
      </c>
      <c r="EW252" s="180" t="str">
        <f t="shared" si="307"/>
        <v/>
      </c>
      <c r="EX252" s="47" t="s">
        <v>0</v>
      </c>
    </row>
    <row r="253" spans="1:154" x14ac:dyDescent="0.25">
      <c r="A253" t="s">
        <v>0</v>
      </c>
      <c r="B253" s="52" t="str">
        <f>IF(csv!F243="","",csv!T243)</f>
        <v>Ž21A</v>
      </c>
      <c r="C253" s="31" t="s">
        <v>0</v>
      </c>
      <c r="D253" s="31" t="str">
        <f>IF(csv!F243="","",csv!F243)</f>
        <v>Mirja</v>
      </c>
      <c r="E253" s="31" t="str">
        <f>IF(csv!E243="","",csv!E243)</f>
        <v>Pavić</v>
      </c>
      <c r="F253" s="31" t="s">
        <v>0</v>
      </c>
      <c r="G253" s="73" t="str">
        <f>IF(csv!M243="","",csv!M243)</f>
        <v>55:35</v>
      </c>
      <c r="H253" s="73" t="str">
        <f>IF(csv!N243="","",csv!N243)</f>
        <v>0</v>
      </c>
      <c r="I253" s="31" t="s">
        <v>0</v>
      </c>
      <c r="J253" s="31" t="str">
        <f>IF(csv!P243="","",csv!P243)</f>
        <v>JAP</v>
      </c>
      <c r="K253" s="31" t="str">
        <f>IF(csv!Q243="","",csv!Q243)</f>
        <v>OK Japetic</v>
      </c>
      <c r="L253" s="31" t="s">
        <v>0</v>
      </c>
      <c r="M253" s="66" t="str">
        <f>IF(csv!R243="","",csv!R243)</f>
        <v>CRO</v>
      </c>
      <c r="N253" s="47" t="s">
        <v>0</v>
      </c>
      <c r="O253" s="246" t="str">
        <f t="shared" si="308"/>
        <v>ok</v>
      </c>
      <c r="P253" s="47"/>
      <c r="Q253" s="52" t="str">
        <f t="shared" si="309"/>
        <v>Ž21A</v>
      </c>
      <c r="R253" s="73">
        <f>IF(Q253="","",IF(COUNTIF(Q$12:Q252,Q253)=0,R252+1,R252))</f>
        <v>17</v>
      </c>
      <c r="S253" s="73">
        <f t="shared" si="310"/>
        <v>102</v>
      </c>
      <c r="T253" s="73">
        <f t="shared" si="273"/>
        <v>14</v>
      </c>
      <c r="U253" s="66" t="str">
        <f t="shared" si="274"/>
        <v>Ž21A</v>
      </c>
      <c r="V253" s="47" t="s">
        <v>0</v>
      </c>
      <c r="W253" s="222" t="str">
        <f t="shared" si="275"/>
        <v>Ž21A</v>
      </c>
      <c r="X253" s="223">
        <f t="shared" si="276"/>
        <v>39</v>
      </c>
      <c r="Y253" s="47" t="s">
        <v>0</v>
      </c>
      <c r="Z253" s="52" t="str">
        <f t="shared" si="311"/>
        <v>CRO</v>
      </c>
      <c r="AA253" s="73">
        <f t="shared" si="277"/>
        <v>1</v>
      </c>
      <c r="AB253" s="31" t="str">
        <f t="shared" si="312"/>
        <v/>
      </c>
      <c r="AC253" s="66" t="str">
        <f>IF(AB253="","",MAX(AC$12:AC252)+1)</f>
        <v/>
      </c>
      <c r="AD253" s="47" t="s">
        <v>0</v>
      </c>
      <c r="AE253" s="125"/>
      <c r="AF253" s="47" t="s">
        <v>0</v>
      </c>
      <c r="AG253" s="19" t="str">
        <f t="shared" si="313"/>
        <v/>
      </c>
      <c r="AH253" s="47" t="s">
        <v>0</v>
      </c>
      <c r="AI253" s="143" t="str">
        <f t="shared" si="314"/>
        <v>CRO</v>
      </c>
      <c r="AJ253" s="47"/>
      <c r="AK253" s="52" t="str">
        <f t="shared" si="315"/>
        <v>Mirja</v>
      </c>
      <c r="AL253" s="31" t="str">
        <f t="shared" si="316"/>
        <v>Pavić</v>
      </c>
      <c r="AM253" s="73">
        <f t="shared" si="317"/>
        <v>1039</v>
      </c>
      <c r="AN253" s="73" t="str">
        <f t="shared" si="318"/>
        <v/>
      </c>
      <c r="AO253" s="31" t="str">
        <f t="shared" si="278"/>
        <v>Mirja</v>
      </c>
      <c r="AP253" s="66" t="str">
        <f t="shared" si="279"/>
        <v>Pavić</v>
      </c>
      <c r="AQ253" s="47" t="s">
        <v>0</v>
      </c>
      <c r="AR253" s="82" t="str">
        <f t="shared" si="319"/>
        <v/>
      </c>
      <c r="AS253" s="47" t="s">
        <v>0</v>
      </c>
      <c r="AT253" s="19" t="str">
        <f t="shared" si="320"/>
        <v/>
      </c>
      <c r="AU253" s="47" t="s">
        <v>0</v>
      </c>
      <c r="AV253" s="103"/>
      <c r="AW253" s="105"/>
      <c r="AX253" s="47" t="s">
        <v>0</v>
      </c>
      <c r="AY253" s="259" t="str">
        <f t="shared" si="343"/>
        <v/>
      </c>
      <c r="AZ253" s="47" t="s">
        <v>0</v>
      </c>
      <c r="BA253" s="52" t="str">
        <f t="shared" si="280"/>
        <v/>
      </c>
      <c r="BB253" s="73" t="str">
        <f>IF(AV253&amp;AW253="","",MAX(BB$12:BB252)+1)</f>
        <v/>
      </c>
      <c r="BC253" s="272" t="str">
        <f t="shared" si="281"/>
        <v/>
      </c>
      <c r="BD253" s="53" t="str">
        <f>IF(AND(AM253="NEMA",AN253="NEMA",OR(AV253&amp;AW253="",BC253="NEMA")),MAX(BD$12:BD252)+1,"")</f>
        <v/>
      </c>
      <c r="BE253" s="47" t="s">
        <v>0</v>
      </c>
      <c r="BF253" s="52" t="str">
        <f t="shared" si="321"/>
        <v>Mirja</v>
      </c>
      <c r="BG253" s="66" t="str">
        <f t="shared" si="322"/>
        <v>Pavić</v>
      </c>
      <c r="BH253" s="47" t="s">
        <v>0</v>
      </c>
      <c r="BI253" s="52" t="str">
        <f t="shared" si="282"/>
        <v>JAP</v>
      </c>
      <c r="BJ253" s="31" t="str">
        <f t="shared" si="283"/>
        <v>OK Japetic</v>
      </c>
      <c r="BK253" s="73">
        <f t="shared" si="284"/>
        <v>1</v>
      </c>
      <c r="BL253" s="31" t="str" cm="1">
        <f t="array" ref="BL253">IF(BK253="",""&amp;BJ253,IF(BK253="NEMA",BJ253,INDEX(regKlub_naziv,MATCH(INDEX(regKlub_alias_klubId,BK253),regKlub_id,0))))</f>
        <v>OK Japetić</v>
      </c>
      <c r="BM253" s="31" t="str" cm="1">
        <f t="array" ref="BM253">IFERROR(""&amp;INDEX(regNatjecatelj_klub,DV253),"")</f>
        <v>OK Japetić</v>
      </c>
      <c r="BN253" s="88" t="str">
        <f t="shared" si="323"/>
        <v/>
      </c>
      <c r="BO253" s="66" t="str">
        <f t="shared" si="324"/>
        <v>OK Japetić</v>
      </c>
      <c r="BP253" s="47" t="s">
        <v>0</v>
      </c>
      <c r="BQ253" s="52" t="str">
        <f>IF(X253&lt;&gt;"NEMA","",IF(IFERROR(MATCH(W253,W$12:W252,0),0)&lt;&gt;0,"",W253))</f>
        <v/>
      </c>
      <c r="BR253" s="73" t="str">
        <f t="shared" si="325"/>
        <v/>
      </c>
      <c r="BS253" s="31" t="str">
        <f>IF(OR(BR253="",BR253&lt;&gt;"NEMA"),"",MAX(BS$12:BS252)+1)</f>
        <v/>
      </c>
      <c r="BT253" s="66" t="str">
        <f t="shared" si="326"/>
        <v/>
      </c>
      <c r="BU253" s="47" t="s">
        <v>0</v>
      </c>
      <c r="BV253" s="19" t="str">
        <f t="shared" si="327"/>
        <v/>
      </c>
      <c r="BW253" s="47" t="s">
        <v>0</v>
      </c>
      <c r="BX253" s="82" t="str">
        <f>IF(BK253&lt;&gt;"NEMA","",IF(IFERROR(MATCH(BJ253,BJ$12:BJ252,0),0)&lt;&gt;0,"",BJ253))</f>
        <v/>
      </c>
      <c r="BY253" s="47" t="s">
        <v>0</v>
      </c>
      <c r="BZ253" s="125"/>
      <c r="CA253" s="47" t="s">
        <v>0</v>
      </c>
      <c r="CB253" s="58" t="str">
        <f t="shared" si="328"/>
        <v/>
      </c>
      <c r="CC253" s="31" t="str">
        <f t="shared" si="329"/>
        <v/>
      </c>
      <c r="CD253" s="31" t="str">
        <f>IF(CC253="","",MAX(CD$12:CD252)+1)</f>
        <v/>
      </c>
      <c r="CE253" s="31" t="str">
        <f t="shared" si="285"/>
        <v/>
      </c>
      <c r="CF253" s="31" t="str">
        <f t="shared" si="330"/>
        <v/>
      </c>
      <c r="CG253" s="31" t="str">
        <f>IF(BZ253="","",MAX(CG$12:CG252)+1)</f>
        <v/>
      </c>
      <c r="CH253" s="31" t="str">
        <f t="shared" si="331"/>
        <v/>
      </c>
      <c r="CI253" s="66" t="str">
        <f t="shared" si="332"/>
        <v/>
      </c>
      <c r="CJ253" s="47" t="s">
        <v>0</v>
      </c>
      <c r="CK253" s="73" t="str">
        <f t="shared" si="286"/>
        <v/>
      </c>
      <c r="CL253" s="47"/>
      <c r="CM253" s="19" t="str">
        <f t="shared" si="333"/>
        <v/>
      </c>
      <c r="CN253" s="47" t="s">
        <v>0</v>
      </c>
      <c r="CO253" s="143" t="str">
        <f t="shared" si="334"/>
        <v>OK Japetić</v>
      </c>
      <c r="CP253" s="47" t="s">
        <v>0</v>
      </c>
      <c r="CQ253" s="58" t="str">
        <f t="shared" si="350"/>
        <v>55:35</v>
      </c>
      <c r="CR253" s="73" t="str">
        <f t="shared" si="351"/>
        <v>0</v>
      </c>
      <c r="CS253" s="229" t="str">
        <f t="shared" si="287"/>
        <v/>
      </c>
      <c r="CT253" s="230">
        <f t="shared" ref="CT253:CT316" si="352">IF(CQ253="","",VALUE(LEFT(CQ253,SEARCH(":",CQ253)-1))*60+VALUE(RIGHT(CQ253,2)))</f>
        <v>3335</v>
      </c>
      <c r="CU253" s="163">
        <f t="shared" si="288"/>
        <v>1</v>
      </c>
      <c r="CV253" s="47" t="s">
        <v>0</v>
      </c>
      <c r="CW253" s="222" t="str">
        <f t="shared" si="335"/>
        <v xml:space="preserve">
</v>
      </c>
      <c r="CX253" s="223">
        <f t="shared" si="336"/>
        <v>6</v>
      </c>
      <c r="CY253" s="47" t="s">
        <v>0</v>
      </c>
      <c r="CZ253" s="47"/>
      <c r="DA253" s="47"/>
      <c r="DB253" s="47"/>
      <c r="DC253" s="47" t="s">
        <v>0</v>
      </c>
      <c r="DD253" s="53" t="str">
        <f t="shared" si="344"/>
        <v/>
      </c>
      <c r="DE253" t="s">
        <v>0</v>
      </c>
      <c r="DF253" s="128" t="str">
        <f t="shared" si="345"/>
        <v>Ž</v>
      </c>
      <c r="DG253" t="s">
        <v>0</v>
      </c>
      <c r="DH253" s="52" t="str">
        <f t="shared" si="346"/>
        <v/>
      </c>
      <c r="DI253" s="66" t="str">
        <f t="shared" si="347"/>
        <v/>
      </c>
      <c r="DJ253" t="s">
        <v>0</v>
      </c>
      <c r="DK253" s="19" t="str">
        <f t="shared" si="348"/>
        <v/>
      </c>
      <c r="DL253" s="47" t="s">
        <v>0</v>
      </c>
      <c r="DM253" s="19" t="str">
        <f t="shared" si="349"/>
        <v/>
      </c>
      <c r="DN253" s="47" t="s">
        <v>0</v>
      </c>
      <c r="DO253" s="52" t="str">
        <f t="shared" si="289"/>
        <v>Mirja – Pavić – OK Japetić – Ž21A</v>
      </c>
      <c r="DP253" s="53">
        <f t="shared" si="290"/>
        <v>125</v>
      </c>
      <c r="DQ253" s="47" t="s">
        <v>0</v>
      </c>
      <c r="DR253" s="52" t="str">
        <f t="shared" si="291"/>
        <v>Mirja – Pavić – OK Japetić</v>
      </c>
      <c r="DS253" s="53">
        <f t="shared" si="292"/>
        <v>125</v>
      </c>
      <c r="DT253" s="47" t="s">
        <v>0</v>
      </c>
      <c r="DU253" s="52" t="str">
        <f t="shared" si="293"/>
        <v>Mirja – Pavić</v>
      </c>
      <c r="DV253" s="53">
        <f t="shared" si="294"/>
        <v>125</v>
      </c>
      <c r="DW253" s="47" t="s">
        <v>0</v>
      </c>
      <c r="DX253" s="58">
        <f t="shared" si="337"/>
        <v>125</v>
      </c>
      <c r="DY253" s="53" cm="1">
        <f t="array" ref="DY253">IF(DX253&lt;&gt;"",INDEX(regNatjecatelj_id,DX253,0),IF(BD253&lt;&gt;"",BD253,""))</f>
        <v>1039</v>
      </c>
      <c r="DZ253" s="47" t="s">
        <v>0</v>
      </c>
      <c r="EA253" s="58" t="str">
        <f t="shared" si="295"/>
        <v>imepre</v>
      </c>
      <c r="EB253" s="73" t="str">
        <f t="shared" si="296"/>
        <v>klu(ali)</v>
      </c>
      <c r="EC253" s="73" t="str">
        <f t="shared" si="297"/>
        <v>kat</v>
      </c>
      <c r="ED253" s="73" t="str">
        <f t="shared" si="298"/>
        <v/>
      </c>
      <c r="EE253" s="66" t="str">
        <f t="shared" si="299"/>
        <v>imepre-klu(ali)-kat</v>
      </c>
      <c r="EF253" s="47" t="s">
        <v>0</v>
      </c>
      <c r="EG253" s="58">
        <f>IF(AL253="","",MAX(EG$12:EG252)+1)</f>
        <v>406</v>
      </c>
      <c r="EH253" s="73">
        <f t="shared" si="300"/>
        <v>39</v>
      </c>
      <c r="EI253" s="73">
        <f t="shared" si="338"/>
        <v>1039</v>
      </c>
      <c r="EJ253" s="73">
        <f t="shared" si="301"/>
        <v>3335</v>
      </c>
      <c r="EK253" s="73">
        <f t="shared" si="302"/>
        <v>1</v>
      </c>
      <c r="EL253" s="73">
        <f t="shared" si="339"/>
        <v>1</v>
      </c>
      <c r="EM253" s="73">
        <f t="shared" si="340"/>
        <v>3</v>
      </c>
      <c r="EN253" s="73" t="str">
        <f t="shared" si="303"/>
        <v>0</v>
      </c>
      <c r="EO253" s="73" t="str">
        <f t="shared" si="304"/>
        <v/>
      </c>
      <c r="EP253" s="73">
        <f t="shared" si="305"/>
        <v>1</v>
      </c>
      <c r="EQ253" s="53" t="str">
        <f t="shared" si="306"/>
        <v/>
      </c>
      <c r="ER253" s="47" t="s">
        <v>0</v>
      </c>
      <c r="ES253" s="19" t="str">
        <f t="shared" si="341"/>
        <v>INSERT INTO rezultat(id,stazakategorija_id,imeprezime_id,vrijeme_sec,status_id,registracija,uparivanje_id,originalstatus_id,imeprezimealias_id,klubalias_id,kategorijaalias_id) VALUES (406,39,1039,3335,1,1,3,0,Null,1,Null);</v>
      </c>
      <c r="ET253" s="47" t="s">
        <v>0</v>
      </c>
      <c r="EU253" s="19" t="str">
        <f t="shared" si="342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3" s="47" t="s">
        <v>0</v>
      </c>
      <c r="EW253" s="180" t="str">
        <f t="shared" si="307"/>
        <v xml:space="preserve">
INSERT INTO rezultat(id,stazakategorija_id,imeprezime_id,vrijeme_sec,status_id,registracija,uparivanje_id,originalstatus_id,imeprezimealias_id,klubalias_id,kategorijaalias_id) VALUES (406,39,1039,3335,1,1,3,0,Null,1,Null);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3" s="47" t="s">
        <v>0</v>
      </c>
    </row>
    <row r="254" spans="1:154" x14ac:dyDescent="0.25">
      <c r="A254" t="s">
        <v>0</v>
      </c>
      <c r="B254" s="52" t="str">
        <f>IF(csv!F244="","",csv!T244)</f>
        <v>Ž21A</v>
      </c>
      <c r="C254" s="31" t="s">
        <v>0</v>
      </c>
      <c r="D254" s="31" t="str">
        <f>IF(csv!F244="","",csv!F244)</f>
        <v>Vinka</v>
      </c>
      <c r="E254" s="31" t="str">
        <f>IF(csv!E244="","",csv!E244)</f>
        <v>Vukmanović</v>
      </c>
      <c r="F254" s="31" t="s">
        <v>0</v>
      </c>
      <c r="G254" s="73" t="str">
        <f>IF(csv!M244="","",csv!M244)</f>
        <v>57:44</v>
      </c>
      <c r="H254" s="73" t="str">
        <f>IF(csv!N244="","",csv!N244)</f>
        <v>0</v>
      </c>
      <c r="I254" s="31" t="s">
        <v>0</v>
      </c>
      <c r="J254" s="31" t="str">
        <f>IF(csv!P244="","",csv!P244)</f>
        <v>KAP</v>
      </c>
      <c r="K254" s="31" t="str">
        <f>IF(csv!Q244="","",csv!Q244)</f>
        <v>OK Kapela</v>
      </c>
      <c r="L254" s="31" t="s">
        <v>0</v>
      </c>
      <c r="M254" s="66" t="str">
        <f>IF(csv!R244="","",csv!R244)</f>
        <v>CRO</v>
      </c>
      <c r="N254" s="47" t="s">
        <v>0</v>
      </c>
      <c r="O254" s="246" t="str">
        <f t="shared" si="308"/>
        <v>ok</v>
      </c>
      <c r="P254" s="47"/>
      <c r="Q254" s="52" t="str">
        <f t="shared" si="309"/>
        <v>Ž21A</v>
      </c>
      <c r="R254" s="73">
        <f>IF(Q254="","",IF(COUNTIF(Q$12:Q253,Q254)=0,R253+1,R253))</f>
        <v>17</v>
      </c>
      <c r="S254" s="73">
        <f t="shared" si="310"/>
        <v>102</v>
      </c>
      <c r="T254" s="73">
        <f t="shared" si="273"/>
        <v>14</v>
      </c>
      <c r="U254" s="66" t="str">
        <f t="shared" si="274"/>
        <v>Ž21A</v>
      </c>
      <c r="V254" s="47" t="s">
        <v>0</v>
      </c>
      <c r="W254" s="222" t="str">
        <f t="shared" si="275"/>
        <v>Ž21A</v>
      </c>
      <c r="X254" s="223">
        <f t="shared" si="276"/>
        <v>39</v>
      </c>
      <c r="Y254" s="47" t="s">
        <v>0</v>
      </c>
      <c r="Z254" s="52" t="str">
        <f t="shared" si="311"/>
        <v>CRO</v>
      </c>
      <c r="AA254" s="73">
        <f t="shared" si="277"/>
        <v>1</v>
      </c>
      <c r="AB254" s="31" t="str">
        <f t="shared" si="312"/>
        <v/>
      </c>
      <c r="AC254" s="66" t="str">
        <f>IF(AB254="","",MAX(AC$12:AC253)+1)</f>
        <v/>
      </c>
      <c r="AD254" s="47" t="s">
        <v>0</v>
      </c>
      <c r="AE254" s="125"/>
      <c r="AF254" s="47" t="s">
        <v>0</v>
      </c>
      <c r="AG254" s="19" t="str">
        <f t="shared" si="313"/>
        <v/>
      </c>
      <c r="AH254" s="47" t="s">
        <v>0</v>
      </c>
      <c r="AI254" s="143" t="str">
        <f t="shared" si="314"/>
        <v>CRO</v>
      </c>
      <c r="AJ254" s="47"/>
      <c r="AK254" s="52" t="str">
        <f t="shared" si="315"/>
        <v>Vinka</v>
      </c>
      <c r="AL254" s="31" t="str">
        <f t="shared" si="316"/>
        <v>Vukmanović</v>
      </c>
      <c r="AM254" s="73">
        <f t="shared" si="317"/>
        <v>1094</v>
      </c>
      <c r="AN254" s="73" t="str">
        <f t="shared" si="318"/>
        <v/>
      </c>
      <c r="AO254" s="31" t="str">
        <f t="shared" si="278"/>
        <v>Vinka</v>
      </c>
      <c r="AP254" s="66" t="str">
        <f t="shared" si="279"/>
        <v>Vukmanović</v>
      </c>
      <c r="AQ254" s="47" t="s">
        <v>0</v>
      </c>
      <c r="AR254" s="82" t="str">
        <f t="shared" si="319"/>
        <v/>
      </c>
      <c r="AS254" s="47" t="s">
        <v>0</v>
      </c>
      <c r="AT254" s="19" t="str">
        <f t="shared" si="320"/>
        <v/>
      </c>
      <c r="AU254" s="47" t="s">
        <v>0</v>
      </c>
      <c r="AV254" s="103"/>
      <c r="AW254" s="105"/>
      <c r="AX254" s="47" t="s">
        <v>0</v>
      </c>
      <c r="AY254" s="259" t="str">
        <f t="shared" si="343"/>
        <v/>
      </c>
      <c r="AZ254" s="47" t="s">
        <v>0</v>
      </c>
      <c r="BA254" s="52" t="str">
        <f t="shared" si="280"/>
        <v/>
      </c>
      <c r="BB254" s="73" t="str">
        <f>IF(AV254&amp;AW254="","",MAX(BB$12:BB253)+1)</f>
        <v/>
      </c>
      <c r="BC254" s="272" t="str">
        <f t="shared" si="281"/>
        <v/>
      </c>
      <c r="BD254" s="53" t="str">
        <f>IF(AND(AM254="NEMA",AN254="NEMA",OR(AV254&amp;AW254="",BC254="NEMA")),MAX(BD$12:BD253)+1,"")</f>
        <v/>
      </c>
      <c r="BE254" s="47" t="s">
        <v>0</v>
      </c>
      <c r="BF254" s="52" t="str">
        <f t="shared" si="321"/>
        <v>Vinka</v>
      </c>
      <c r="BG254" s="66" t="str">
        <f t="shared" si="322"/>
        <v>Vukmanović</v>
      </c>
      <c r="BH254" s="47" t="s">
        <v>0</v>
      </c>
      <c r="BI254" s="52" t="str">
        <f t="shared" si="282"/>
        <v>KAP</v>
      </c>
      <c r="BJ254" s="31" t="str">
        <f t="shared" si="283"/>
        <v>OK Kapela</v>
      </c>
      <c r="BK254" s="73" t="str">
        <f t="shared" si="284"/>
        <v/>
      </c>
      <c r="BL254" s="31" t="str" cm="1">
        <f t="array" ref="BL254">IF(BK254="",""&amp;BJ254,IF(BK254="NEMA",BJ254,INDEX(regKlub_naziv,MATCH(INDEX(regKlub_alias_klubId,BK254),regKlub_id,0))))</f>
        <v>OK Kapela</v>
      </c>
      <c r="BM254" s="31" t="str" cm="1">
        <f t="array" ref="BM254">IFERROR(""&amp;INDEX(regNatjecatelj_klub,DV254),"")</f>
        <v>OK Kapela</v>
      </c>
      <c r="BN254" s="88" t="str">
        <f t="shared" si="323"/>
        <v/>
      </c>
      <c r="BO254" s="66" t="str">
        <f t="shared" si="324"/>
        <v>OK Kapela</v>
      </c>
      <c r="BP254" s="47" t="s">
        <v>0</v>
      </c>
      <c r="BQ254" s="52" t="str">
        <f>IF(X254&lt;&gt;"NEMA","",IF(IFERROR(MATCH(W254,W$12:W253,0),0)&lt;&gt;0,"",W254))</f>
        <v/>
      </c>
      <c r="BR254" s="73" t="str">
        <f t="shared" si="325"/>
        <v/>
      </c>
      <c r="BS254" s="31" t="str">
        <f>IF(OR(BR254="",BR254&lt;&gt;"NEMA"),"",MAX(BS$12:BS253)+1)</f>
        <v/>
      </c>
      <c r="BT254" s="66" t="str">
        <f t="shared" si="326"/>
        <v/>
      </c>
      <c r="BU254" s="47" t="s">
        <v>0</v>
      </c>
      <c r="BV254" s="19" t="str">
        <f t="shared" si="327"/>
        <v/>
      </c>
      <c r="BW254" s="47" t="s">
        <v>0</v>
      </c>
      <c r="BX254" s="82" t="str">
        <f>IF(BK254&lt;&gt;"NEMA","",IF(IFERROR(MATCH(BJ254,BJ$12:BJ253,0),0)&lt;&gt;0,"",BJ254))</f>
        <v/>
      </c>
      <c r="BY254" s="47" t="s">
        <v>0</v>
      </c>
      <c r="BZ254" s="125"/>
      <c r="CA254" s="47" t="s">
        <v>0</v>
      </c>
      <c r="CB254" s="58" t="str">
        <f t="shared" si="328"/>
        <v/>
      </c>
      <c r="CC254" s="31" t="str">
        <f t="shared" si="329"/>
        <v/>
      </c>
      <c r="CD254" s="31" t="str">
        <f>IF(CC254="","",MAX(CD$12:CD253)+1)</f>
        <v/>
      </c>
      <c r="CE254" s="31" t="str">
        <f t="shared" si="285"/>
        <v/>
      </c>
      <c r="CF254" s="31" t="str">
        <f t="shared" si="330"/>
        <v/>
      </c>
      <c r="CG254" s="31" t="str">
        <f>IF(BZ254="","",MAX(CG$12:CG253)+1)</f>
        <v/>
      </c>
      <c r="CH254" s="31" t="str">
        <f t="shared" si="331"/>
        <v/>
      </c>
      <c r="CI254" s="66" t="str">
        <f t="shared" si="332"/>
        <v/>
      </c>
      <c r="CJ254" s="47" t="s">
        <v>0</v>
      </c>
      <c r="CK254" s="73" t="str">
        <f t="shared" si="286"/>
        <v/>
      </c>
      <c r="CL254" s="47"/>
      <c r="CM254" s="19" t="str">
        <f t="shared" si="333"/>
        <v/>
      </c>
      <c r="CN254" s="47" t="s">
        <v>0</v>
      </c>
      <c r="CO254" s="143" t="str">
        <f t="shared" si="334"/>
        <v>OK Kapela</v>
      </c>
      <c r="CP254" s="47" t="s">
        <v>0</v>
      </c>
      <c r="CQ254" s="58" t="str">
        <f t="shared" si="350"/>
        <v>57:44</v>
      </c>
      <c r="CR254" s="73" t="str">
        <f t="shared" si="351"/>
        <v>0</v>
      </c>
      <c r="CS254" s="229" t="str">
        <f t="shared" si="287"/>
        <v/>
      </c>
      <c r="CT254" s="230">
        <f t="shared" si="352"/>
        <v>3464</v>
      </c>
      <c r="CU254" s="163">
        <f t="shared" si="288"/>
        <v>1</v>
      </c>
      <c r="CV254" s="47" t="s">
        <v>0</v>
      </c>
      <c r="CW254" s="222" t="str">
        <f t="shared" si="335"/>
        <v xml:space="preserve">
</v>
      </c>
      <c r="CX254" s="223">
        <f t="shared" si="336"/>
        <v>6</v>
      </c>
      <c r="CY254" s="47" t="s">
        <v>0</v>
      </c>
      <c r="CZ254" s="47"/>
      <c r="DA254" s="47"/>
      <c r="DB254" s="47"/>
      <c r="DC254" s="47" t="s">
        <v>0</v>
      </c>
      <c r="DD254" s="53" t="str">
        <f t="shared" si="344"/>
        <v/>
      </c>
      <c r="DE254" t="s">
        <v>0</v>
      </c>
      <c r="DF254" s="128" t="str">
        <f t="shared" si="345"/>
        <v>Ž</v>
      </c>
      <c r="DG254" t="s">
        <v>0</v>
      </c>
      <c r="DH254" s="52" t="str">
        <f t="shared" si="346"/>
        <v/>
      </c>
      <c r="DI254" s="66" t="str">
        <f t="shared" si="347"/>
        <v/>
      </c>
      <c r="DJ254" t="s">
        <v>0</v>
      </c>
      <c r="DK254" s="19" t="str">
        <f t="shared" si="348"/>
        <v/>
      </c>
      <c r="DL254" s="47" t="s">
        <v>0</v>
      </c>
      <c r="DM254" s="19" t="str">
        <f t="shared" si="349"/>
        <v/>
      </c>
      <c r="DN254" s="47" t="s">
        <v>0</v>
      </c>
      <c r="DO254" s="52" t="str">
        <f t="shared" si="289"/>
        <v>Vinka – Vukmanović – OK Kapela – Ž21A</v>
      </c>
      <c r="DP254" s="53">
        <f t="shared" si="290"/>
        <v>332</v>
      </c>
      <c r="DQ254" s="47" t="s">
        <v>0</v>
      </c>
      <c r="DR254" s="52" t="str">
        <f t="shared" si="291"/>
        <v>Vinka – Vukmanović – OK Kapela</v>
      </c>
      <c r="DS254" s="53">
        <f t="shared" si="292"/>
        <v>332</v>
      </c>
      <c r="DT254" s="47" t="s">
        <v>0</v>
      </c>
      <c r="DU254" s="52" t="str">
        <f t="shared" si="293"/>
        <v>Vinka – Vukmanović</v>
      </c>
      <c r="DV254" s="53">
        <f t="shared" si="294"/>
        <v>332</v>
      </c>
      <c r="DW254" s="47" t="s">
        <v>0</v>
      </c>
      <c r="DX254" s="58">
        <f t="shared" si="337"/>
        <v>332</v>
      </c>
      <c r="DY254" s="53" cm="1">
        <f t="array" ref="DY254">IF(DX254&lt;&gt;"",INDEX(regNatjecatelj_id,DX254,0),IF(BD254&lt;&gt;"",BD254,""))</f>
        <v>1094</v>
      </c>
      <c r="DZ254" s="47" t="s">
        <v>0</v>
      </c>
      <c r="EA254" s="58" t="str">
        <f t="shared" si="295"/>
        <v>imepre</v>
      </c>
      <c r="EB254" s="73" t="str">
        <f t="shared" si="296"/>
        <v>klu</v>
      </c>
      <c r="EC254" s="73" t="str">
        <f t="shared" si="297"/>
        <v>kat</v>
      </c>
      <c r="ED254" s="73" t="str">
        <f t="shared" si="298"/>
        <v/>
      </c>
      <c r="EE254" s="66" t="str">
        <f t="shared" si="299"/>
        <v>imepre-klu-kat</v>
      </c>
      <c r="EF254" s="47" t="s">
        <v>0</v>
      </c>
      <c r="EG254" s="58">
        <f>IF(AL254="","",MAX(EG$12:EG253)+1)</f>
        <v>407</v>
      </c>
      <c r="EH254" s="73">
        <f t="shared" si="300"/>
        <v>39</v>
      </c>
      <c r="EI254" s="73">
        <f t="shared" si="338"/>
        <v>1094</v>
      </c>
      <c r="EJ254" s="73">
        <f t="shared" si="301"/>
        <v>3464</v>
      </c>
      <c r="EK254" s="73">
        <f t="shared" si="302"/>
        <v>1</v>
      </c>
      <c r="EL254" s="73">
        <f t="shared" si="339"/>
        <v>1</v>
      </c>
      <c r="EM254" s="73">
        <f t="shared" si="340"/>
        <v>1</v>
      </c>
      <c r="EN254" s="73" t="str">
        <f t="shared" si="303"/>
        <v>0</v>
      </c>
      <c r="EO254" s="73" t="str">
        <f t="shared" si="304"/>
        <v/>
      </c>
      <c r="EP254" s="73" t="str">
        <f t="shared" si="305"/>
        <v/>
      </c>
      <c r="EQ254" s="53" t="str">
        <f t="shared" si="306"/>
        <v/>
      </c>
      <c r="ER254" s="47" t="s">
        <v>0</v>
      </c>
      <c r="ES254" s="19" t="str">
        <f t="shared" si="341"/>
        <v>INSERT INTO rezultat(id,stazakategorija_id,imeprezime_id,vrijeme_sec,status_id,registracija,uparivanje_id,originalstatus_id,imeprezimealias_id,klubalias_id,kategorijaalias_id) VALUES (407,39,1094,3464,1,1,1,0,Null,Null,Null);</v>
      </c>
      <c r="ET254" s="47" t="s">
        <v>0</v>
      </c>
      <c r="EU254" s="19" t="str">
        <f t="shared" si="342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4" s="47" t="s">
        <v>0</v>
      </c>
      <c r="EW254" s="180" t="str">
        <f t="shared" si="307"/>
        <v xml:space="preserve">
INSERT INTO rezultat(id,stazakategorija_id,imeprezime_id,vrijeme_sec,status_id,registracija,uparivanje_id,originalstatus_id,imeprezimealias_id,klubalias_id,kategorijaalias_id) VALUES (407,39,1094,3464,1,1,1,0,Null,Null,Null);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4" s="47" t="s">
        <v>0</v>
      </c>
    </row>
    <row r="255" spans="1:154" x14ac:dyDescent="0.25">
      <c r="A255" t="s">
        <v>0</v>
      </c>
      <c r="B255" s="52" t="str">
        <f>IF(csv!F245="","",csv!T245)</f>
        <v>Ž21A</v>
      </c>
      <c r="C255" s="31" t="s">
        <v>0</v>
      </c>
      <c r="D255" s="31" t="str">
        <f>IF(csv!F245="","",csv!F245)</f>
        <v>Olga</v>
      </c>
      <c r="E255" s="31" t="str">
        <f>IF(csv!E245="","",csv!E245)</f>
        <v>Jerković Perić</v>
      </c>
      <c r="F255" s="31" t="s">
        <v>0</v>
      </c>
      <c r="G255" s="73" t="str">
        <f>IF(csv!M245="","",csv!M245)</f>
        <v>58:34</v>
      </c>
      <c r="H255" s="73" t="str">
        <f>IF(csv!N245="","",csv!N245)</f>
        <v>0</v>
      </c>
      <c r="I255" s="31" t="s">
        <v>0</v>
      </c>
      <c r="J255" s="31" t="str">
        <f>IF(csv!P245="","",csv!P245)</f>
        <v>KAP</v>
      </c>
      <c r="K255" s="31" t="str">
        <f>IF(csv!Q245="","",csv!Q245)</f>
        <v>OK Kapela</v>
      </c>
      <c r="L255" s="31" t="s">
        <v>0</v>
      </c>
      <c r="M255" s="66" t="str">
        <f>IF(csv!R245="","",csv!R245)</f>
        <v>CRO</v>
      </c>
      <c r="N255" s="47" t="s">
        <v>0</v>
      </c>
      <c r="O255" s="246" t="str">
        <f t="shared" si="308"/>
        <v>ok</v>
      </c>
      <c r="P255" s="47"/>
      <c r="Q255" s="52" t="str">
        <f t="shared" si="309"/>
        <v>Ž21A</v>
      </c>
      <c r="R255" s="73">
        <f>IF(Q255="","",IF(COUNTIF(Q$12:Q254,Q255)=0,R254+1,R254))</f>
        <v>17</v>
      </c>
      <c r="S255" s="73">
        <f t="shared" si="310"/>
        <v>102</v>
      </c>
      <c r="T255" s="73">
        <f t="shared" si="273"/>
        <v>14</v>
      </c>
      <c r="U255" s="66" t="str">
        <f t="shared" si="274"/>
        <v>Ž21A</v>
      </c>
      <c r="V255" s="47" t="s">
        <v>0</v>
      </c>
      <c r="W255" s="222" t="str">
        <f t="shared" si="275"/>
        <v>Ž21A</v>
      </c>
      <c r="X255" s="223">
        <f t="shared" si="276"/>
        <v>39</v>
      </c>
      <c r="Y255" s="47" t="s">
        <v>0</v>
      </c>
      <c r="Z255" s="52" t="str">
        <f t="shared" si="311"/>
        <v>CRO</v>
      </c>
      <c r="AA255" s="73">
        <f t="shared" si="277"/>
        <v>1</v>
      </c>
      <c r="AB255" s="31" t="str">
        <f t="shared" si="312"/>
        <v/>
      </c>
      <c r="AC255" s="66" t="str">
        <f>IF(AB255="","",MAX(AC$12:AC254)+1)</f>
        <v/>
      </c>
      <c r="AD255" s="47" t="s">
        <v>0</v>
      </c>
      <c r="AE255" s="125"/>
      <c r="AF255" s="47" t="s">
        <v>0</v>
      </c>
      <c r="AG255" s="19" t="str">
        <f t="shared" si="313"/>
        <v/>
      </c>
      <c r="AH255" s="47" t="s">
        <v>0</v>
      </c>
      <c r="AI255" s="143" t="str">
        <f t="shared" si="314"/>
        <v>CRO</v>
      </c>
      <c r="AJ255" s="47"/>
      <c r="AK255" s="52" t="str">
        <f t="shared" si="315"/>
        <v>Olga</v>
      </c>
      <c r="AL255" s="31" t="str">
        <f t="shared" si="316"/>
        <v>Jerković Perić</v>
      </c>
      <c r="AM255" s="73">
        <f t="shared" si="317"/>
        <v>1465</v>
      </c>
      <c r="AN255" s="73" t="str">
        <f t="shared" si="318"/>
        <v/>
      </c>
      <c r="AO255" s="31" t="str">
        <f t="shared" si="278"/>
        <v>Olga</v>
      </c>
      <c r="AP255" s="66" t="str">
        <f t="shared" si="279"/>
        <v>Jerković Perić</v>
      </c>
      <c r="AQ255" s="47" t="s">
        <v>0</v>
      </c>
      <c r="AR255" s="82" t="str">
        <f t="shared" si="319"/>
        <v/>
      </c>
      <c r="AS255" s="47" t="s">
        <v>0</v>
      </c>
      <c r="AT255" s="19" t="str">
        <f t="shared" si="320"/>
        <v/>
      </c>
      <c r="AU255" s="47" t="s">
        <v>0</v>
      </c>
      <c r="AV255" s="103"/>
      <c r="AW255" s="105"/>
      <c r="AX255" s="47" t="s">
        <v>0</v>
      </c>
      <c r="AY255" s="259" t="str">
        <f t="shared" si="343"/>
        <v/>
      </c>
      <c r="AZ255" s="47" t="s">
        <v>0</v>
      </c>
      <c r="BA255" s="52" t="str">
        <f t="shared" si="280"/>
        <v/>
      </c>
      <c r="BB255" s="73" t="str">
        <f>IF(AV255&amp;AW255="","",MAX(BB$12:BB254)+1)</f>
        <v/>
      </c>
      <c r="BC255" s="272" t="str">
        <f t="shared" si="281"/>
        <v/>
      </c>
      <c r="BD255" s="53" t="str">
        <f>IF(AND(AM255="NEMA",AN255="NEMA",OR(AV255&amp;AW255="",BC255="NEMA")),MAX(BD$12:BD254)+1,"")</f>
        <v/>
      </c>
      <c r="BE255" s="47" t="s">
        <v>0</v>
      </c>
      <c r="BF255" s="52" t="str">
        <f t="shared" si="321"/>
        <v>Olga</v>
      </c>
      <c r="BG255" s="66" t="str">
        <f t="shared" si="322"/>
        <v>Jerković Perić</v>
      </c>
      <c r="BH255" s="47" t="s">
        <v>0</v>
      </c>
      <c r="BI255" s="52" t="str">
        <f t="shared" si="282"/>
        <v>KAP</v>
      </c>
      <c r="BJ255" s="31" t="str">
        <f t="shared" si="283"/>
        <v>OK Kapela</v>
      </c>
      <c r="BK255" s="73" t="str">
        <f t="shared" si="284"/>
        <v/>
      </c>
      <c r="BL255" s="31" t="str" cm="1">
        <f t="array" ref="BL255">IF(BK255="",""&amp;BJ255,IF(BK255="NEMA",BJ255,INDEX(regKlub_naziv,MATCH(INDEX(regKlub_alias_klubId,BK255),regKlub_id,0))))</f>
        <v>OK Kapela</v>
      </c>
      <c r="BM255" s="31" t="str" cm="1">
        <f t="array" ref="BM255">IFERROR(""&amp;INDEX(regNatjecatelj_klub,DV255),"")</f>
        <v>OK Kapela</v>
      </c>
      <c r="BN255" s="88" t="str">
        <f t="shared" si="323"/>
        <v/>
      </c>
      <c r="BO255" s="66" t="str">
        <f t="shared" si="324"/>
        <v>OK Kapela</v>
      </c>
      <c r="BP255" s="47" t="s">
        <v>0</v>
      </c>
      <c r="BQ255" s="52" t="str">
        <f>IF(X255&lt;&gt;"NEMA","",IF(IFERROR(MATCH(W255,W$12:W254,0),0)&lt;&gt;0,"",W255))</f>
        <v/>
      </c>
      <c r="BR255" s="73" t="str">
        <f t="shared" si="325"/>
        <v/>
      </c>
      <c r="BS255" s="31" t="str">
        <f>IF(OR(BR255="",BR255&lt;&gt;"NEMA"),"",MAX(BS$12:BS254)+1)</f>
        <v/>
      </c>
      <c r="BT255" s="66" t="str">
        <f t="shared" si="326"/>
        <v/>
      </c>
      <c r="BU255" s="47" t="s">
        <v>0</v>
      </c>
      <c r="BV255" s="19" t="str">
        <f t="shared" si="327"/>
        <v/>
      </c>
      <c r="BW255" s="47" t="s">
        <v>0</v>
      </c>
      <c r="BX255" s="82" t="str">
        <f>IF(BK255&lt;&gt;"NEMA","",IF(IFERROR(MATCH(BJ255,BJ$12:BJ254,0),0)&lt;&gt;0,"",BJ255))</f>
        <v/>
      </c>
      <c r="BY255" s="47" t="s">
        <v>0</v>
      </c>
      <c r="BZ255" s="125"/>
      <c r="CA255" s="47" t="s">
        <v>0</v>
      </c>
      <c r="CB255" s="58" t="str">
        <f t="shared" si="328"/>
        <v/>
      </c>
      <c r="CC255" s="31" t="str">
        <f t="shared" si="329"/>
        <v/>
      </c>
      <c r="CD255" s="31" t="str">
        <f>IF(CC255="","",MAX(CD$12:CD254)+1)</f>
        <v/>
      </c>
      <c r="CE255" s="31" t="str">
        <f t="shared" si="285"/>
        <v/>
      </c>
      <c r="CF255" s="31" t="str">
        <f t="shared" si="330"/>
        <v/>
      </c>
      <c r="CG255" s="31" t="str">
        <f>IF(BZ255="","",MAX(CG$12:CG254)+1)</f>
        <v/>
      </c>
      <c r="CH255" s="31" t="str">
        <f t="shared" si="331"/>
        <v/>
      </c>
      <c r="CI255" s="66" t="str">
        <f t="shared" si="332"/>
        <v/>
      </c>
      <c r="CJ255" s="47" t="s">
        <v>0</v>
      </c>
      <c r="CK255" s="73" t="str">
        <f t="shared" si="286"/>
        <v/>
      </c>
      <c r="CL255" s="47"/>
      <c r="CM255" s="19" t="str">
        <f t="shared" si="333"/>
        <v/>
      </c>
      <c r="CN255" s="47" t="s">
        <v>0</v>
      </c>
      <c r="CO255" s="143" t="str">
        <f t="shared" si="334"/>
        <v>OK Kapela</v>
      </c>
      <c r="CP255" s="47" t="s">
        <v>0</v>
      </c>
      <c r="CQ255" s="58" t="str">
        <f t="shared" si="350"/>
        <v>58:34</v>
      </c>
      <c r="CR255" s="73" t="str">
        <f t="shared" si="351"/>
        <v>0</v>
      </c>
      <c r="CS255" s="229" t="str">
        <f t="shared" si="287"/>
        <v/>
      </c>
      <c r="CT255" s="230">
        <f t="shared" si="352"/>
        <v>3514</v>
      </c>
      <c r="CU255" s="163">
        <f t="shared" si="288"/>
        <v>1</v>
      </c>
      <c r="CV255" s="47" t="s">
        <v>0</v>
      </c>
      <c r="CW255" s="222" t="str">
        <f t="shared" si="335"/>
        <v xml:space="preserve">
</v>
      </c>
      <c r="CX255" s="223">
        <f t="shared" si="336"/>
        <v>6</v>
      </c>
      <c r="CY255" s="47" t="s">
        <v>0</v>
      </c>
      <c r="CZ255" s="47"/>
      <c r="DA255" s="47"/>
      <c r="DB255" s="47"/>
      <c r="DC255" s="47" t="s">
        <v>0</v>
      </c>
      <c r="DD255" s="53" t="str">
        <f t="shared" si="344"/>
        <v/>
      </c>
      <c r="DE255" t="s">
        <v>0</v>
      </c>
      <c r="DF255" s="128" t="str">
        <f t="shared" si="345"/>
        <v>Ž</v>
      </c>
      <c r="DG255" t="s">
        <v>0</v>
      </c>
      <c r="DH255" s="52" t="str">
        <f t="shared" si="346"/>
        <v/>
      </c>
      <c r="DI255" s="66" t="str">
        <f t="shared" si="347"/>
        <v/>
      </c>
      <c r="DJ255" t="s">
        <v>0</v>
      </c>
      <c r="DK255" s="19" t="str">
        <f t="shared" si="348"/>
        <v/>
      </c>
      <c r="DL255" s="47" t="s">
        <v>0</v>
      </c>
      <c r="DM255" s="19" t="str">
        <f t="shared" si="349"/>
        <v/>
      </c>
      <c r="DN255" s="47" t="s">
        <v>0</v>
      </c>
      <c r="DO255" s="52" t="str">
        <f t="shared" si="289"/>
        <v>Olga – Jerković Perić – OK Kapela – Ž21A</v>
      </c>
      <c r="DP255" s="53">
        <f t="shared" si="290"/>
        <v>261</v>
      </c>
      <c r="DQ255" s="47" t="s">
        <v>0</v>
      </c>
      <c r="DR255" s="52" t="str">
        <f t="shared" si="291"/>
        <v>Olga – Jerković Perić – OK Kapela</v>
      </c>
      <c r="DS255" s="53">
        <f t="shared" si="292"/>
        <v>261</v>
      </c>
      <c r="DT255" s="47" t="s">
        <v>0</v>
      </c>
      <c r="DU255" s="52" t="str">
        <f t="shared" si="293"/>
        <v>Olga – Jerković Perić</v>
      </c>
      <c r="DV255" s="53">
        <f t="shared" si="294"/>
        <v>261</v>
      </c>
      <c r="DW255" s="47" t="s">
        <v>0</v>
      </c>
      <c r="DX255" s="58">
        <f t="shared" si="337"/>
        <v>261</v>
      </c>
      <c r="DY255" s="53" cm="1">
        <f t="array" ref="DY255">IF(DX255&lt;&gt;"",INDEX(regNatjecatelj_id,DX255,0),IF(BD255&lt;&gt;"",BD255,""))</f>
        <v>1465</v>
      </c>
      <c r="DZ255" s="47" t="s">
        <v>0</v>
      </c>
      <c r="EA255" s="58" t="str">
        <f t="shared" si="295"/>
        <v>imepre</v>
      </c>
      <c r="EB255" s="73" t="str">
        <f t="shared" si="296"/>
        <v>klu</v>
      </c>
      <c r="EC255" s="73" t="str">
        <f t="shared" si="297"/>
        <v>kat</v>
      </c>
      <c r="ED255" s="73" t="str">
        <f t="shared" si="298"/>
        <v/>
      </c>
      <c r="EE255" s="66" t="str">
        <f t="shared" si="299"/>
        <v>imepre-klu-kat</v>
      </c>
      <c r="EF255" s="47" t="s">
        <v>0</v>
      </c>
      <c r="EG255" s="58">
        <f>IF(AL255="","",MAX(EG$12:EG254)+1)</f>
        <v>408</v>
      </c>
      <c r="EH255" s="73">
        <f t="shared" si="300"/>
        <v>39</v>
      </c>
      <c r="EI255" s="73">
        <f t="shared" si="338"/>
        <v>1465</v>
      </c>
      <c r="EJ255" s="73">
        <f t="shared" si="301"/>
        <v>3514</v>
      </c>
      <c r="EK255" s="73">
        <f t="shared" si="302"/>
        <v>1</v>
      </c>
      <c r="EL255" s="73">
        <f t="shared" si="339"/>
        <v>1</v>
      </c>
      <c r="EM255" s="73">
        <f t="shared" si="340"/>
        <v>1</v>
      </c>
      <c r="EN255" s="73" t="str">
        <f t="shared" si="303"/>
        <v>0</v>
      </c>
      <c r="EO255" s="73" t="str">
        <f t="shared" si="304"/>
        <v/>
      </c>
      <c r="EP255" s="73" t="str">
        <f t="shared" si="305"/>
        <v/>
      </c>
      <c r="EQ255" s="53" t="str">
        <f t="shared" si="306"/>
        <v/>
      </c>
      <c r="ER255" s="47" t="s">
        <v>0</v>
      </c>
      <c r="ES255" s="19" t="str">
        <f t="shared" si="341"/>
        <v>INSERT INTO rezultat(id,stazakategorija_id,imeprezime_id,vrijeme_sec,status_id,registracija,uparivanje_id,originalstatus_id,imeprezimealias_id,klubalias_id,kategorijaalias_id) VALUES (408,39,1465,3514,1,1,1,0,Null,Null,Null);</v>
      </c>
      <c r="ET255" s="47" t="s">
        <v>0</v>
      </c>
      <c r="EU255" s="19" t="str">
        <f t="shared" si="342"/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5" s="47" t="s">
        <v>0</v>
      </c>
      <c r="EW255" s="180" t="str">
        <f t="shared" si="307"/>
        <v xml:space="preserve">
INSERT INTO rezultat(id,stazakategorija_id,imeprezime_id,vrijeme_sec,status_id,registracija,uparivanje_id,originalstatus_id,imeprezimealias_id,klubalias_id,kategorijaalias_id) VALUES (408,39,1465,3514,1,1,1,0,Null,Null,Null);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5" s="47" t="s">
        <v>0</v>
      </c>
    </row>
    <row r="256" spans="1:154" x14ac:dyDescent="0.25">
      <c r="A256" t="s">
        <v>0</v>
      </c>
      <c r="B256" s="52" t="str">
        <f>IF(csv!F246="","",csv!T246)</f>
        <v>Ž21A</v>
      </c>
      <c r="C256" s="31" t="s">
        <v>0</v>
      </c>
      <c r="D256" s="31" t="str">
        <f>IF(csv!F246="","",csv!F246)</f>
        <v>Iva</v>
      </c>
      <c r="E256" s="31" t="str">
        <f>IF(csv!E246="","",csv!E246)</f>
        <v>Štambuk</v>
      </c>
      <c r="F256" s="31" t="s">
        <v>0</v>
      </c>
      <c r="G256" s="73" t="str">
        <f>IF(csv!M246="","",csv!M246)</f>
        <v>63:28</v>
      </c>
      <c r="H256" s="73" t="str">
        <f>IF(csv!N246="","",csv!N246)</f>
        <v>0</v>
      </c>
      <c r="I256" s="31" t="s">
        <v>0</v>
      </c>
      <c r="J256" s="31" t="str">
        <f>IF(csv!P246="","",csv!P246)</f>
        <v>Maksimir</v>
      </c>
      <c r="K256" s="31" t="str">
        <f>IF(csv!Q246="","",csv!Q246)</f>
        <v>OK Maksimir</v>
      </c>
      <c r="L256" s="31" t="s">
        <v>0</v>
      </c>
      <c r="M256" s="66" t="str">
        <f>IF(csv!R246="","",csv!R246)</f>
        <v>CRO</v>
      </c>
      <c r="N256" s="47" t="s">
        <v>0</v>
      </c>
      <c r="O256" s="246" t="str">
        <f t="shared" si="308"/>
        <v>ok</v>
      </c>
      <c r="P256" s="47"/>
      <c r="Q256" s="52" t="str">
        <f t="shared" si="309"/>
        <v>Ž21A</v>
      </c>
      <c r="R256" s="73">
        <f>IF(Q256="","",IF(COUNTIF(Q$12:Q255,Q256)=0,R255+1,R255))</f>
        <v>17</v>
      </c>
      <c r="S256" s="73">
        <f t="shared" si="310"/>
        <v>102</v>
      </c>
      <c r="T256" s="73">
        <f t="shared" si="273"/>
        <v>14</v>
      </c>
      <c r="U256" s="66" t="str">
        <f t="shared" si="274"/>
        <v>Ž21A</v>
      </c>
      <c r="V256" s="47" t="s">
        <v>0</v>
      </c>
      <c r="W256" s="222" t="str">
        <f t="shared" si="275"/>
        <v>Ž21A</v>
      </c>
      <c r="X256" s="223">
        <f t="shared" si="276"/>
        <v>39</v>
      </c>
      <c r="Y256" s="47" t="s">
        <v>0</v>
      </c>
      <c r="Z256" s="52" t="str">
        <f t="shared" si="311"/>
        <v>CRO</v>
      </c>
      <c r="AA256" s="73">
        <f t="shared" si="277"/>
        <v>1</v>
      </c>
      <c r="AB256" s="31" t="str">
        <f t="shared" si="312"/>
        <v/>
      </c>
      <c r="AC256" s="66" t="str">
        <f>IF(AB256="","",MAX(AC$12:AC255)+1)</f>
        <v/>
      </c>
      <c r="AD256" s="47" t="s">
        <v>0</v>
      </c>
      <c r="AE256" s="125"/>
      <c r="AF256" s="47" t="s">
        <v>0</v>
      </c>
      <c r="AG256" s="19" t="str">
        <f t="shared" si="313"/>
        <v/>
      </c>
      <c r="AH256" s="47" t="s">
        <v>0</v>
      </c>
      <c r="AI256" s="143" t="str">
        <f t="shared" si="314"/>
        <v>CRO</v>
      </c>
      <c r="AJ256" s="47"/>
      <c r="AK256" s="52" t="str">
        <f t="shared" si="315"/>
        <v>Iva</v>
      </c>
      <c r="AL256" s="31" t="str">
        <f t="shared" si="316"/>
        <v>Štambuk</v>
      </c>
      <c r="AM256" s="73">
        <f t="shared" si="317"/>
        <v>1158</v>
      </c>
      <c r="AN256" s="73" t="str">
        <f t="shared" si="318"/>
        <v/>
      </c>
      <c r="AO256" s="31" t="str">
        <f t="shared" si="278"/>
        <v>Iva</v>
      </c>
      <c r="AP256" s="66" t="str">
        <f t="shared" si="279"/>
        <v>Štambuk</v>
      </c>
      <c r="AQ256" s="47" t="s">
        <v>0</v>
      </c>
      <c r="AR256" s="82" t="str">
        <f t="shared" si="319"/>
        <v/>
      </c>
      <c r="AS256" s="47" t="s">
        <v>0</v>
      </c>
      <c r="AT256" s="19" t="str">
        <f t="shared" si="320"/>
        <v/>
      </c>
      <c r="AU256" s="47" t="s">
        <v>0</v>
      </c>
      <c r="AV256" s="103"/>
      <c r="AW256" s="105"/>
      <c r="AX256" s="47" t="s">
        <v>0</v>
      </c>
      <c r="AY256" s="259" t="str">
        <f t="shared" si="343"/>
        <v/>
      </c>
      <c r="AZ256" s="47" t="s">
        <v>0</v>
      </c>
      <c r="BA256" s="52" t="str">
        <f t="shared" si="280"/>
        <v/>
      </c>
      <c r="BB256" s="73" t="str">
        <f>IF(AV256&amp;AW256="","",MAX(BB$12:BB255)+1)</f>
        <v/>
      </c>
      <c r="BC256" s="272" t="str">
        <f t="shared" si="281"/>
        <v/>
      </c>
      <c r="BD256" s="53" t="str">
        <f>IF(AND(AM256="NEMA",AN256="NEMA",OR(AV256&amp;AW256="",BC256="NEMA")),MAX(BD$12:BD255)+1,"")</f>
        <v/>
      </c>
      <c r="BE256" s="47" t="s">
        <v>0</v>
      </c>
      <c r="BF256" s="52" t="str">
        <f t="shared" si="321"/>
        <v>Iva</v>
      </c>
      <c r="BG256" s="66" t="str">
        <f t="shared" si="322"/>
        <v>Štambuk</v>
      </c>
      <c r="BH256" s="47" t="s">
        <v>0</v>
      </c>
      <c r="BI256" s="52" t="str">
        <f t="shared" si="282"/>
        <v>Maksimir</v>
      </c>
      <c r="BJ256" s="31" t="str">
        <f t="shared" si="283"/>
        <v>OK Maksimir</v>
      </c>
      <c r="BK256" s="73" t="str">
        <f t="shared" si="284"/>
        <v/>
      </c>
      <c r="BL256" s="31" t="str" cm="1">
        <f t="array" ref="BL256">IF(BK256="",""&amp;BJ256,IF(BK256="NEMA",BJ256,INDEX(regKlub_naziv,MATCH(INDEX(regKlub_alias_klubId,BK256),regKlub_id,0))))</f>
        <v>OK Maksimir</v>
      </c>
      <c r="BM256" s="31" t="str" cm="1">
        <f t="array" ref="BM256">IFERROR(""&amp;INDEX(regNatjecatelj_klub,DV256),"")</f>
        <v>OK Maksimir</v>
      </c>
      <c r="BN256" s="88" t="str">
        <f t="shared" si="323"/>
        <v/>
      </c>
      <c r="BO256" s="66" t="str">
        <f t="shared" si="324"/>
        <v>OK Maksimir</v>
      </c>
      <c r="BP256" s="47" t="s">
        <v>0</v>
      </c>
      <c r="BQ256" s="52" t="str">
        <f>IF(X256&lt;&gt;"NEMA","",IF(IFERROR(MATCH(W256,W$12:W255,0),0)&lt;&gt;0,"",W256))</f>
        <v/>
      </c>
      <c r="BR256" s="73" t="str">
        <f t="shared" si="325"/>
        <v/>
      </c>
      <c r="BS256" s="31" t="str">
        <f>IF(OR(BR256="",BR256&lt;&gt;"NEMA"),"",MAX(BS$12:BS255)+1)</f>
        <v/>
      </c>
      <c r="BT256" s="66" t="str">
        <f t="shared" si="326"/>
        <v/>
      </c>
      <c r="BU256" s="47" t="s">
        <v>0</v>
      </c>
      <c r="BV256" s="19" t="str">
        <f t="shared" si="327"/>
        <v/>
      </c>
      <c r="BW256" s="47" t="s">
        <v>0</v>
      </c>
      <c r="BX256" s="82" t="str">
        <f>IF(BK256&lt;&gt;"NEMA","",IF(IFERROR(MATCH(BJ256,BJ$12:BJ255,0),0)&lt;&gt;0,"",BJ256))</f>
        <v/>
      </c>
      <c r="BY256" s="47" t="s">
        <v>0</v>
      </c>
      <c r="BZ256" s="125"/>
      <c r="CA256" s="47" t="s">
        <v>0</v>
      </c>
      <c r="CB256" s="58" t="str">
        <f t="shared" si="328"/>
        <v/>
      </c>
      <c r="CC256" s="31" t="str">
        <f t="shared" si="329"/>
        <v/>
      </c>
      <c r="CD256" s="31" t="str">
        <f>IF(CC256="","",MAX(CD$12:CD255)+1)</f>
        <v/>
      </c>
      <c r="CE256" s="31" t="str">
        <f t="shared" si="285"/>
        <v/>
      </c>
      <c r="CF256" s="31" t="str">
        <f t="shared" si="330"/>
        <v/>
      </c>
      <c r="CG256" s="31" t="str">
        <f>IF(BZ256="","",MAX(CG$12:CG255)+1)</f>
        <v/>
      </c>
      <c r="CH256" s="31" t="str">
        <f t="shared" si="331"/>
        <v/>
      </c>
      <c r="CI256" s="66" t="str">
        <f t="shared" si="332"/>
        <v/>
      </c>
      <c r="CJ256" s="47" t="s">
        <v>0</v>
      </c>
      <c r="CK256" s="73" t="str">
        <f t="shared" si="286"/>
        <v/>
      </c>
      <c r="CL256" s="47"/>
      <c r="CM256" s="19" t="str">
        <f t="shared" si="333"/>
        <v/>
      </c>
      <c r="CN256" s="47" t="s">
        <v>0</v>
      </c>
      <c r="CO256" s="143" t="str">
        <f t="shared" si="334"/>
        <v>OK Maksimir</v>
      </c>
      <c r="CP256" s="47" t="s">
        <v>0</v>
      </c>
      <c r="CQ256" s="58" t="str">
        <f t="shared" si="350"/>
        <v>63:28</v>
      </c>
      <c r="CR256" s="73" t="str">
        <f t="shared" si="351"/>
        <v>0</v>
      </c>
      <c r="CS256" s="229" t="str">
        <f t="shared" si="287"/>
        <v/>
      </c>
      <c r="CT256" s="230">
        <f t="shared" si="352"/>
        <v>3808</v>
      </c>
      <c r="CU256" s="163">
        <f t="shared" si="288"/>
        <v>1</v>
      </c>
      <c r="CV256" s="47" t="s">
        <v>0</v>
      </c>
      <c r="CW256" s="222" t="str">
        <f t="shared" si="335"/>
        <v xml:space="preserve">
</v>
      </c>
      <c r="CX256" s="223">
        <f t="shared" si="336"/>
        <v>6</v>
      </c>
      <c r="CY256" s="47" t="s">
        <v>0</v>
      </c>
      <c r="CZ256" s="47"/>
      <c r="DA256" s="47"/>
      <c r="DB256" s="47"/>
      <c r="DC256" s="47" t="s">
        <v>0</v>
      </c>
      <c r="DD256" s="53" t="str">
        <f t="shared" si="344"/>
        <v/>
      </c>
      <c r="DE256" t="s">
        <v>0</v>
      </c>
      <c r="DF256" s="128" t="str">
        <f t="shared" si="345"/>
        <v>Ž</v>
      </c>
      <c r="DG256" t="s">
        <v>0</v>
      </c>
      <c r="DH256" s="52" t="str">
        <f t="shared" si="346"/>
        <v/>
      </c>
      <c r="DI256" s="66" t="str">
        <f t="shared" si="347"/>
        <v/>
      </c>
      <c r="DJ256" t="s">
        <v>0</v>
      </c>
      <c r="DK256" s="19" t="str">
        <f t="shared" si="348"/>
        <v/>
      </c>
      <c r="DL256" s="47" t="s">
        <v>0</v>
      </c>
      <c r="DM256" s="19" t="str">
        <f t="shared" si="349"/>
        <v/>
      </c>
      <c r="DN256" s="47" t="s">
        <v>0</v>
      </c>
      <c r="DO256" s="52" t="str">
        <f t="shared" si="289"/>
        <v>Iva – Štambuk – OK Maksimir – Ž21A</v>
      </c>
      <c r="DP256" s="53">
        <f t="shared" si="290"/>
        <v>381</v>
      </c>
      <c r="DQ256" s="47" t="s">
        <v>0</v>
      </c>
      <c r="DR256" s="52" t="str">
        <f t="shared" si="291"/>
        <v>Iva – Štambuk – OK Maksimir</v>
      </c>
      <c r="DS256" s="53">
        <f t="shared" si="292"/>
        <v>381</v>
      </c>
      <c r="DT256" s="47" t="s">
        <v>0</v>
      </c>
      <c r="DU256" s="52" t="str">
        <f t="shared" si="293"/>
        <v>Iva – Štambuk</v>
      </c>
      <c r="DV256" s="53">
        <f t="shared" si="294"/>
        <v>381</v>
      </c>
      <c r="DW256" s="47" t="s">
        <v>0</v>
      </c>
      <c r="DX256" s="58">
        <f t="shared" si="337"/>
        <v>381</v>
      </c>
      <c r="DY256" s="53" cm="1">
        <f t="array" ref="DY256">IF(DX256&lt;&gt;"",INDEX(regNatjecatelj_id,DX256,0),IF(BD256&lt;&gt;"",BD256,""))</f>
        <v>1158</v>
      </c>
      <c r="DZ256" s="47" t="s">
        <v>0</v>
      </c>
      <c r="EA256" s="58" t="str">
        <f t="shared" si="295"/>
        <v>imepre</v>
      </c>
      <c r="EB256" s="73" t="str">
        <f t="shared" si="296"/>
        <v>klu</v>
      </c>
      <c r="EC256" s="73" t="str">
        <f t="shared" si="297"/>
        <v>kat</v>
      </c>
      <c r="ED256" s="73" t="str">
        <f t="shared" si="298"/>
        <v/>
      </c>
      <c r="EE256" s="66" t="str">
        <f t="shared" si="299"/>
        <v>imepre-klu-kat</v>
      </c>
      <c r="EF256" s="47" t="s">
        <v>0</v>
      </c>
      <c r="EG256" s="58">
        <f>IF(AL256="","",MAX(EG$12:EG255)+1)</f>
        <v>409</v>
      </c>
      <c r="EH256" s="73">
        <f t="shared" si="300"/>
        <v>39</v>
      </c>
      <c r="EI256" s="73">
        <f t="shared" si="338"/>
        <v>1158</v>
      </c>
      <c r="EJ256" s="73">
        <f t="shared" si="301"/>
        <v>3808</v>
      </c>
      <c r="EK256" s="73">
        <f t="shared" si="302"/>
        <v>1</v>
      </c>
      <c r="EL256" s="73">
        <f t="shared" si="339"/>
        <v>1</v>
      </c>
      <c r="EM256" s="73">
        <f t="shared" si="340"/>
        <v>1</v>
      </c>
      <c r="EN256" s="73" t="str">
        <f t="shared" si="303"/>
        <v>0</v>
      </c>
      <c r="EO256" s="73" t="str">
        <f t="shared" si="304"/>
        <v/>
      </c>
      <c r="EP256" s="73" t="str">
        <f t="shared" si="305"/>
        <v/>
      </c>
      <c r="EQ256" s="53" t="str">
        <f t="shared" si="306"/>
        <v/>
      </c>
      <c r="ER256" s="47" t="s">
        <v>0</v>
      </c>
      <c r="ES256" s="19" t="str">
        <f t="shared" si="341"/>
        <v>INSERT INTO rezultat(id,stazakategorija_id,imeprezime_id,vrijeme_sec,status_id,registracija,uparivanje_id,originalstatus_id,imeprezimealias_id,klubalias_id,kategorijaalias_id) VALUES (409,39,1158,3808,1,1,1,0,Null,Null,Null);</v>
      </c>
      <c r="ET256" s="47" t="s">
        <v>0</v>
      </c>
      <c r="EU256" s="19" t="str">
        <f t="shared" si="342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6" s="47" t="s">
        <v>0</v>
      </c>
      <c r="EW256" s="180" t="str">
        <f t="shared" si="307"/>
        <v xml:space="preserve">
INSERT INTO rezultat(id,stazakategorija_id,imeprezime_id,vrijeme_sec,status_id,registracija,uparivanje_id,originalstatus_id,imeprezimealias_id,klubalias_id,kategorijaalias_id) VALUES (409,39,1158,3808,1,1,1,0,Null,Null,Null);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6" s="47" t="s">
        <v>0</v>
      </c>
    </row>
    <row r="257" spans="1:154" x14ac:dyDescent="0.25">
      <c r="A257" t="s">
        <v>0</v>
      </c>
      <c r="B257" s="52" t="str">
        <f>IF(csv!F247="","",csv!T247)</f>
        <v>Ž21A</v>
      </c>
      <c r="C257" s="31" t="s">
        <v>0</v>
      </c>
      <c r="D257" s="31" t="str">
        <f>IF(csv!F247="","",csv!F247)</f>
        <v>Antonija</v>
      </c>
      <c r="E257" s="31" t="str">
        <f>IF(csv!E247="","",csv!E247)</f>
        <v>Orlić</v>
      </c>
      <c r="F257" s="31" t="s">
        <v>0</v>
      </c>
      <c r="G257" s="73" t="str">
        <f>IF(csv!M247="","",csv!M247)</f>
        <v>68:18</v>
      </c>
      <c r="H257" s="73" t="str">
        <f>IF(csv!N247="","",csv!N247)</f>
        <v>0</v>
      </c>
      <c r="I257" s="31" t="s">
        <v>0</v>
      </c>
      <c r="J257" s="31" t="str">
        <f>IF(csv!P247="","",csv!P247)</f>
        <v>BJE</v>
      </c>
      <c r="K257" s="31" t="str">
        <f>IF(csv!Q247="","",csv!Q247)</f>
        <v>OK Bjelovar</v>
      </c>
      <c r="L257" s="31" t="s">
        <v>0</v>
      </c>
      <c r="M257" s="66" t="str">
        <f>IF(csv!R247="","",csv!R247)</f>
        <v>CRO</v>
      </c>
      <c r="N257" s="47" t="s">
        <v>0</v>
      </c>
      <c r="O257" s="246" t="str">
        <f t="shared" si="308"/>
        <v>ok</v>
      </c>
      <c r="P257" s="47"/>
      <c r="Q257" s="52" t="str">
        <f t="shared" si="309"/>
        <v>Ž21A</v>
      </c>
      <c r="R257" s="73">
        <f>IF(Q257="","",IF(COUNTIF(Q$12:Q256,Q257)=0,R256+1,R256))</f>
        <v>17</v>
      </c>
      <c r="S257" s="73">
        <f t="shared" si="310"/>
        <v>102</v>
      </c>
      <c r="T257" s="73">
        <f t="shared" si="273"/>
        <v>14</v>
      </c>
      <c r="U257" s="66" t="str">
        <f t="shared" si="274"/>
        <v>Ž21A</v>
      </c>
      <c r="V257" s="47" t="s">
        <v>0</v>
      </c>
      <c r="W257" s="222" t="str">
        <f t="shared" si="275"/>
        <v>Ž21A</v>
      </c>
      <c r="X257" s="223">
        <f t="shared" si="276"/>
        <v>39</v>
      </c>
      <c r="Y257" s="47" t="s">
        <v>0</v>
      </c>
      <c r="Z257" s="52" t="str">
        <f t="shared" si="311"/>
        <v>CRO</v>
      </c>
      <c r="AA257" s="73">
        <f t="shared" si="277"/>
        <v>1</v>
      </c>
      <c r="AB257" s="31" t="str">
        <f t="shared" si="312"/>
        <v/>
      </c>
      <c r="AC257" s="66" t="str">
        <f>IF(AB257="","",MAX(AC$12:AC256)+1)</f>
        <v/>
      </c>
      <c r="AD257" s="47" t="s">
        <v>0</v>
      </c>
      <c r="AE257" s="125"/>
      <c r="AF257" s="47" t="s">
        <v>0</v>
      </c>
      <c r="AG257" s="19" t="str">
        <f t="shared" si="313"/>
        <v/>
      </c>
      <c r="AH257" s="47" t="s">
        <v>0</v>
      </c>
      <c r="AI257" s="143" t="str">
        <f t="shared" si="314"/>
        <v>CRO</v>
      </c>
      <c r="AJ257" s="47"/>
      <c r="AK257" s="52" t="str">
        <f t="shared" si="315"/>
        <v>Antonija</v>
      </c>
      <c r="AL257" s="31" t="str">
        <f t="shared" si="316"/>
        <v>Orlić</v>
      </c>
      <c r="AM257" s="73">
        <f t="shared" si="317"/>
        <v>1269</v>
      </c>
      <c r="AN257" s="73" t="str">
        <f t="shared" si="318"/>
        <v/>
      </c>
      <c r="AO257" s="31" t="str">
        <f t="shared" si="278"/>
        <v>Antonija</v>
      </c>
      <c r="AP257" s="66" t="str">
        <f t="shared" si="279"/>
        <v>Orlić</v>
      </c>
      <c r="AQ257" s="47" t="s">
        <v>0</v>
      </c>
      <c r="AR257" s="82" t="str">
        <f t="shared" si="319"/>
        <v/>
      </c>
      <c r="AS257" s="47" t="s">
        <v>0</v>
      </c>
      <c r="AT257" s="19" t="str">
        <f t="shared" si="320"/>
        <v/>
      </c>
      <c r="AU257" s="47" t="s">
        <v>0</v>
      </c>
      <c r="AV257" s="103"/>
      <c r="AW257" s="105"/>
      <c r="AX257" s="47" t="s">
        <v>0</v>
      </c>
      <c r="AY257" s="259" t="str">
        <f t="shared" si="343"/>
        <v/>
      </c>
      <c r="AZ257" s="47" t="s">
        <v>0</v>
      </c>
      <c r="BA257" s="52" t="str">
        <f t="shared" si="280"/>
        <v/>
      </c>
      <c r="BB257" s="73" t="str">
        <f>IF(AV257&amp;AW257="","",MAX(BB$12:BB256)+1)</f>
        <v/>
      </c>
      <c r="BC257" s="272" t="str">
        <f t="shared" si="281"/>
        <v/>
      </c>
      <c r="BD257" s="53" t="str">
        <f>IF(AND(AM257="NEMA",AN257="NEMA",OR(AV257&amp;AW257="",BC257="NEMA")),MAX(BD$12:BD256)+1,"")</f>
        <v/>
      </c>
      <c r="BE257" s="47" t="s">
        <v>0</v>
      </c>
      <c r="BF257" s="52" t="str">
        <f t="shared" si="321"/>
        <v>Antonija</v>
      </c>
      <c r="BG257" s="66" t="str">
        <f t="shared" si="322"/>
        <v>Orlić</v>
      </c>
      <c r="BH257" s="47" t="s">
        <v>0</v>
      </c>
      <c r="BI257" s="52" t="str">
        <f t="shared" si="282"/>
        <v>BJE</v>
      </c>
      <c r="BJ257" s="31" t="str">
        <f t="shared" si="283"/>
        <v>OK Bjelovar</v>
      </c>
      <c r="BK257" s="73" t="str">
        <f t="shared" si="284"/>
        <v/>
      </c>
      <c r="BL257" s="31" t="str" cm="1">
        <f t="array" ref="BL257">IF(BK257="",""&amp;BJ257,IF(BK257="NEMA",BJ257,INDEX(regKlub_naziv,MATCH(INDEX(regKlub_alias_klubId,BK257),regKlub_id,0))))</f>
        <v>OK Bjelovar</v>
      </c>
      <c r="BM257" s="31" t="str" cm="1">
        <f t="array" ref="BM257">IFERROR(""&amp;INDEX(regNatjecatelj_klub,DV257),"")</f>
        <v>OK Bjelovar</v>
      </c>
      <c r="BN257" s="88" t="str">
        <f t="shared" si="323"/>
        <v/>
      </c>
      <c r="BO257" s="66" t="str">
        <f t="shared" si="324"/>
        <v>OK Bjelovar</v>
      </c>
      <c r="BP257" s="47" t="s">
        <v>0</v>
      </c>
      <c r="BQ257" s="52" t="str">
        <f>IF(X257&lt;&gt;"NEMA","",IF(IFERROR(MATCH(W257,W$12:W256,0),0)&lt;&gt;0,"",W257))</f>
        <v/>
      </c>
      <c r="BR257" s="73" t="str">
        <f t="shared" si="325"/>
        <v/>
      </c>
      <c r="BS257" s="31" t="str">
        <f>IF(OR(BR257="",BR257&lt;&gt;"NEMA"),"",MAX(BS$12:BS256)+1)</f>
        <v/>
      </c>
      <c r="BT257" s="66" t="str">
        <f t="shared" si="326"/>
        <v/>
      </c>
      <c r="BU257" s="47" t="s">
        <v>0</v>
      </c>
      <c r="BV257" s="19" t="str">
        <f t="shared" si="327"/>
        <v/>
      </c>
      <c r="BW257" s="47" t="s">
        <v>0</v>
      </c>
      <c r="BX257" s="82" t="str">
        <f>IF(BK257&lt;&gt;"NEMA","",IF(IFERROR(MATCH(BJ257,BJ$12:BJ256,0),0)&lt;&gt;0,"",BJ257))</f>
        <v/>
      </c>
      <c r="BY257" s="47" t="s">
        <v>0</v>
      </c>
      <c r="BZ257" s="125"/>
      <c r="CA257" s="47" t="s">
        <v>0</v>
      </c>
      <c r="CB257" s="58" t="str">
        <f t="shared" si="328"/>
        <v/>
      </c>
      <c r="CC257" s="31" t="str">
        <f t="shared" si="329"/>
        <v/>
      </c>
      <c r="CD257" s="31" t="str">
        <f>IF(CC257="","",MAX(CD$12:CD256)+1)</f>
        <v/>
      </c>
      <c r="CE257" s="31" t="str">
        <f t="shared" si="285"/>
        <v/>
      </c>
      <c r="CF257" s="31" t="str">
        <f t="shared" si="330"/>
        <v/>
      </c>
      <c r="CG257" s="31" t="str">
        <f>IF(BZ257="","",MAX(CG$12:CG256)+1)</f>
        <v/>
      </c>
      <c r="CH257" s="31" t="str">
        <f t="shared" si="331"/>
        <v/>
      </c>
      <c r="CI257" s="66" t="str">
        <f t="shared" si="332"/>
        <v/>
      </c>
      <c r="CJ257" s="47" t="s">
        <v>0</v>
      </c>
      <c r="CK257" s="73" t="str">
        <f t="shared" si="286"/>
        <v/>
      </c>
      <c r="CL257" s="47"/>
      <c r="CM257" s="19" t="str">
        <f t="shared" si="333"/>
        <v/>
      </c>
      <c r="CN257" s="47" t="s">
        <v>0</v>
      </c>
      <c r="CO257" s="143" t="str">
        <f t="shared" si="334"/>
        <v>OK Bjelovar</v>
      </c>
      <c r="CP257" s="47" t="s">
        <v>0</v>
      </c>
      <c r="CQ257" s="58" t="str">
        <f t="shared" si="350"/>
        <v>68:18</v>
      </c>
      <c r="CR257" s="73" t="str">
        <f t="shared" si="351"/>
        <v>0</v>
      </c>
      <c r="CS257" s="229" t="str">
        <f t="shared" si="287"/>
        <v/>
      </c>
      <c r="CT257" s="230">
        <f t="shared" si="352"/>
        <v>4098</v>
      </c>
      <c r="CU257" s="163">
        <f t="shared" si="288"/>
        <v>1</v>
      </c>
      <c r="CV257" s="47" t="s">
        <v>0</v>
      </c>
      <c r="CW257" s="222" t="str">
        <f t="shared" si="335"/>
        <v xml:space="preserve">
</v>
      </c>
      <c r="CX257" s="223">
        <f t="shared" si="336"/>
        <v>6</v>
      </c>
      <c r="CY257" s="47" t="s">
        <v>0</v>
      </c>
      <c r="CZ257" s="47"/>
      <c r="DA257" s="47"/>
      <c r="DB257" s="47"/>
      <c r="DC257" s="47" t="s">
        <v>0</v>
      </c>
      <c r="DD257" s="53" t="str">
        <f t="shared" si="344"/>
        <v/>
      </c>
      <c r="DE257" t="s">
        <v>0</v>
      </c>
      <c r="DF257" s="128" t="str">
        <f t="shared" si="345"/>
        <v>Ž</v>
      </c>
      <c r="DG257" t="s">
        <v>0</v>
      </c>
      <c r="DH257" s="52" t="str">
        <f t="shared" si="346"/>
        <v/>
      </c>
      <c r="DI257" s="66" t="str">
        <f t="shared" si="347"/>
        <v/>
      </c>
      <c r="DJ257" t="s">
        <v>0</v>
      </c>
      <c r="DK257" s="19" t="str">
        <f t="shared" si="348"/>
        <v/>
      </c>
      <c r="DL257" s="47" t="s">
        <v>0</v>
      </c>
      <c r="DM257" s="19" t="str">
        <f t="shared" si="349"/>
        <v/>
      </c>
      <c r="DN257" s="47" t="s">
        <v>0</v>
      </c>
      <c r="DO257" s="52" t="str">
        <f t="shared" si="289"/>
        <v>Antonija – Orlić – OK Bjelovar – Ž21A</v>
      </c>
      <c r="DP257" s="53">
        <f t="shared" si="290"/>
        <v>16</v>
      </c>
      <c r="DQ257" s="47" t="s">
        <v>0</v>
      </c>
      <c r="DR257" s="52" t="str">
        <f t="shared" si="291"/>
        <v>Antonija – Orlić – OK Bjelovar</v>
      </c>
      <c r="DS257" s="53">
        <f t="shared" si="292"/>
        <v>16</v>
      </c>
      <c r="DT257" s="47" t="s">
        <v>0</v>
      </c>
      <c r="DU257" s="52" t="str">
        <f t="shared" si="293"/>
        <v>Antonija – Orlić</v>
      </c>
      <c r="DV257" s="53">
        <f t="shared" si="294"/>
        <v>16</v>
      </c>
      <c r="DW257" s="47" t="s">
        <v>0</v>
      </c>
      <c r="DX257" s="58">
        <f t="shared" si="337"/>
        <v>16</v>
      </c>
      <c r="DY257" s="53" cm="1">
        <f t="array" ref="DY257">IF(DX257&lt;&gt;"",INDEX(regNatjecatelj_id,DX257,0),IF(BD257&lt;&gt;"",BD257,""))</f>
        <v>1269</v>
      </c>
      <c r="DZ257" s="47" t="s">
        <v>0</v>
      </c>
      <c r="EA257" s="58" t="str">
        <f t="shared" si="295"/>
        <v>imepre</v>
      </c>
      <c r="EB257" s="73" t="str">
        <f t="shared" si="296"/>
        <v>klu</v>
      </c>
      <c r="EC257" s="73" t="str">
        <f t="shared" si="297"/>
        <v>kat</v>
      </c>
      <c r="ED257" s="73" t="str">
        <f t="shared" si="298"/>
        <v/>
      </c>
      <c r="EE257" s="66" t="str">
        <f t="shared" si="299"/>
        <v>imepre-klu-kat</v>
      </c>
      <c r="EF257" s="47" t="s">
        <v>0</v>
      </c>
      <c r="EG257" s="58">
        <f>IF(AL257="","",MAX(EG$12:EG256)+1)</f>
        <v>410</v>
      </c>
      <c r="EH257" s="73">
        <f t="shared" si="300"/>
        <v>39</v>
      </c>
      <c r="EI257" s="73">
        <f t="shared" si="338"/>
        <v>1269</v>
      </c>
      <c r="EJ257" s="73">
        <f t="shared" si="301"/>
        <v>4098</v>
      </c>
      <c r="EK257" s="73">
        <f t="shared" si="302"/>
        <v>1</v>
      </c>
      <c r="EL257" s="73">
        <f t="shared" si="339"/>
        <v>1</v>
      </c>
      <c r="EM257" s="73">
        <f t="shared" si="340"/>
        <v>1</v>
      </c>
      <c r="EN257" s="73" t="str">
        <f t="shared" si="303"/>
        <v>0</v>
      </c>
      <c r="EO257" s="73" t="str">
        <f t="shared" si="304"/>
        <v/>
      </c>
      <c r="EP257" s="73" t="str">
        <f t="shared" si="305"/>
        <v/>
      </c>
      <c r="EQ257" s="53" t="str">
        <f t="shared" si="306"/>
        <v/>
      </c>
      <c r="ER257" s="47" t="s">
        <v>0</v>
      </c>
      <c r="ES257" s="19" t="str">
        <f t="shared" si="341"/>
        <v>INSERT INTO rezultat(id,stazakategorija_id,imeprezime_id,vrijeme_sec,status_id,registracija,uparivanje_id,originalstatus_id,imeprezimealias_id,klubalias_id,kategorijaalias_id) VALUES (410,39,1269,4098,1,1,1,0,Null,Null,Null);</v>
      </c>
      <c r="ET257" s="47" t="s">
        <v>0</v>
      </c>
      <c r="EU257" s="19" t="str">
        <f t="shared" si="342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7" s="47" t="s">
        <v>0</v>
      </c>
      <c r="EW257" s="180" t="str">
        <f t="shared" si="307"/>
        <v xml:space="preserve">
INSERT INTO rezultat(id,stazakategorija_id,imeprezime_id,vrijeme_sec,status_id,registracija,uparivanje_id,originalstatus_id,imeprezimealias_id,klubalias_id,kategorijaalias_id) VALUES (410,39,1269,4098,1,1,1,0,Null,Null,Null);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7" s="47" t="s">
        <v>0</v>
      </c>
    </row>
    <row r="258" spans="1:154" x14ac:dyDescent="0.25">
      <c r="A258" t="s">
        <v>0</v>
      </c>
      <c r="B258" s="52" t="str">
        <f>IF(csv!F248="","",csv!T248)</f>
        <v>Ž21A</v>
      </c>
      <c r="C258" s="31" t="s">
        <v>0</v>
      </c>
      <c r="D258" s="31" t="str">
        <f>IF(csv!F248="","",csv!F248)</f>
        <v>Ines</v>
      </c>
      <c r="E258" s="31" t="str">
        <f>IF(csv!E248="","",csv!E248)</f>
        <v>Kos</v>
      </c>
      <c r="F258" s="31" t="s">
        <v>0</v>
      </c>
      <c r="G258" s="73" t="str">
        <f>IF(csv!M248="","",csv!M248)</f>
        <v>79:04</v>
      </c>
      <c r="H258" s="73" t="str">
        <f>IF(csv!N248="","",csv!N248)</f>
        <v>0</v>
      </c>
      <c r="I258" s="31" t="s">
        <v>0</v>
      </c>
      <c r="J258" s="31" t="str">
        <f>IF(csv!P248="","",csv!P248)</f>
        <v>KAP</v>
      </c>
      <c r="K258" s="31" t="str">
        <f>IF(csv!Q248="","",csv!Q248)</f>
        <v>OK Kapela</v>
      </c>
      <c r="L258" s="31" t="s">
        <v>0</v>
      </c>
      <c r="M258" s="66" t="str">
        <f>IF(csv!R248="","",csv!R248)</f>
        <v>CRO</v>
      </c>
      <c r="N258" s="47" t="s">
        <v>0</v>
      </c>
      <c r="O258" s="246" t="str">
        <f t="shared" si="308"/>
        <v>ok</v>
      </c>
      <c r="P258" s="47"/>
      <c r="Q258" s="52" t="str">
        <f t="shared" si="309"/>
        <v>Ž21A</v>
      </c>
      <c r="R258" s="73">
        <f>IF(Q258="","",IF(COUNTIF(Q$12:Q257,Q258)=0,R257+1,R257))</f>
        <v>17</v>
      </c>
      <c r="S258" s="73">
        <f t="shared" si="310"/>
        <v>102</v>
      </c>
      <c r="T258" s="73">
        <f t="shared" si="273"/>
        <v>14</v>
      </c>
      <c r="U258" s="66" t="str">
        <f t="shared" si="274"/>
        <v>Ž21A</v>
      </c>
      <c r="V258" s="47" t="s">
        <v>0</v>
      </c>
      <c r="W258" s="222" t="str">
        <f t="shared" si="275"/>
        <v>Ž21A</v>
      </c>
      <c r="X258" s="223">
        <f t="shared" si="276"/>
        <v>39</v>
      </c>
      <c r="Y258" s="47" t="s">
        <v>0</v>
      </c>
      <c r="Z258" s="52" t="str">
        <f t="shared" si="311"/>
        <v>CRO</v>
      </c>
      <c r="AA258" s="73">
        <f t="shared" si="277"/>
        <v>1</v>
      </c>
      <c r="AB258" s="31" t="str">
        <f t="shared" si="312"/>
        <v/>
      </c>
      <c r="AC258" s="66" t="str">
        <f>IF(AB258="","",MAX(AC$12:AC257)+1)</f>
        <v/>
      </c>
      <c r="AD258" s="47" t="s">
        <v>0</v>
      </c>
      <c r="AE258" s="125"/>
      <c r="AF258" s="47" t="s">
        <v>0</v>
      </c>
      <c r="AG258" s="19" t="str">
        <f t="shared" si="313"/>
        <v/>
      </c>
      <c r="AH258" s="47" t="s">
        <v>0</v>
      </c>
      <c r="AI258" s="143" t="str">
        <f t="shared" si="314"/>
        <v>CRO</v>
      </c>
      <c r="AJ258" s="47"/>
      <c r="AK258" s="52" t="str">
        <f t="shared" si="315"/>
        <v>Ines</v>
      </c>
      <c r="AL258" s="31" t="str">
        <f t="shared" si="316"/>
        <v>Kos</v>
      </c>
      <c r="AM258" s="73">
        <f t="shared" si="317"/>
        <v>1483</v>
      </c>
      <c r="AN258" s="73" t="str">
        <f t="shared" si="318"/>
        <v/>
      </c>
      <c r="AO258" s="31" t="str">
        <f t="shared" si="278"/>
        <v>Ines</v>
      </c>
      <c r="AP258" s="66" t="str">
        <f t="shared" si="279"/>
        <v>Kos</v>
      </c>
      <c r="AQ258" s="47" t="s">
        <v>0</v>
      </c>
      <c r="AR258" s="82" t="str">
        <f t="shared" si="319"/>
        <v/>
      </c>
      <c r="AS258" s="47" t="s">
        <v>0</v>
      </c>
      <c r="AT258" s="19" t="str">
        <f t="shared" si="320"/>
        <v/>
      </c>
      <c r="AU258" s="47" t="s">
        <v>0</v>
      </c>
      <c r="AV258" s="103"/>
      <c r="AW258" s="105"/>
      <c r="AX258" s="47" t="s">
        <v>0</v>
      </c>
      <c r="AY258" s="259" t="str">
        <f t="shared" si="343"/>
        <v/>
      </c>
      <c r="AZ258" s="47" t="s">
        <v>0</v>
      </c>
      <c r="BA258" s="52" t="str">
        <f t="shared" si="280"/>
        <v/>
      </c>
      <c r="BB258" s="73" t="str">
        <f>IF(AV258&amp;AW258="","",MAX(BB$12:BB257)+1)</f>
        <v/>
      </c>
      <c r="BC258" s="272" t="str">
        <f t="shared" si="281"/>
        <v/>
      </c>
      <c r="BD258" s="53" t="str">
        <f>IF(AND(AM258="NEMA",AN258="NEMA",OR(AV258&amp;AW258="",BC258="NEMA")),MAX(BD$12:BD257)+1,"")</f>
        <v/>
      </c>
      <c r="BE258" s="47" t="s">
        <v>0</v>
      </c>
      <c r="BF258" s="52" t="str">
        <f t="shared" si="321"/>
        <v>Ines</v>
      </c>
      <c r="BG258" s="66" t="str">
        <f t="shared" si="322"/>
        <v>Kos</v>
      </c>
      <c r="BH258" s="47" t="s">
        <v>0</v>
      </c>
      <c r="BI258" s="52" t="str">
        <f t="shared" si="282"/>
        <v>KAP</v>
      </c>
      <c r="BJ258" s="31" t="str">
        <f t="shared" si="283"/>
        <v>OK Kapela</v>
      </c>
      <c r="BK258" s="73" t="str">
        <f t="shared" si="284"/>
        <v/>
      </c>
      <c r="BL258" s="31" t="str" cm="1">
        <f t="array" ref="BL258">IF(BK258="",""&amp;BJ258,IF(BK258="NEMA",BJ258,INDEX(regKlub_naziv,MATCH(INDEX(regKlub_alias_klubId,BK258),regKlub_id,0))))</f>
        <v>OK Kapela</v>
      </c>
      <c r="BM258" s="31" t="str" cm="1">
        <f t="array" ref="BM258">IFERROR(""&amp;INDEX(regNatjecatelj_klub,DV258),"")</f>
        <v>OK Kapela</v>
      </c>
      <c r="BN258" s="88" t="str">
        <f t="shared" si="323"/>
        <v/>
      </c>
      <c r="BO258" s="66" t="str">
        <f t="shared" si="324"/>
        <v>OK Kapela</v>
      </c>
      <c r="BP258" s="47" t="s">
        <v>0</v>
      </c>
      <c r="BQ258" s="52" t="str">
        <f>IF(X258&lt;&gt;"NEMA","",IF(IFERROR(MATCH(W258,W$12:W257,0),0)&lt;&gt;0,"",W258))</f>
        <v/>
      </c>
      <c r="BR258" s="73" t="str">
        <f t="shared" si="325"/>
        <v/>
      </c>
      <c r="BS258" s="31" t="str">
        <f>IF(OR(BR258="",BR258&lt;&gt;"NEMA"),"",MAX(BS$12:BS257)+1)</f>
        <v/>
      </c>
      <c r="BT258" s="66" t="str">
        <f t="shared" si="326"/>
        <v/>
      </c>
      <c r="BU258" s="47" t="s">
        <v>0</v>
      </c>
      <c r="BV258" s="19" t="str">
        <f t="shared" si="327"/>
        <v/>
      </c>
      <c r="BW258" s="47" t="s">
        <v>0</v>
      </c>
      <c r="BX258" s="82" t="str">
        <f>IF(BK258&lt;&gt;"NEMA","",IF(IFERROR(MATCH(BJ258,BJ$12:BJ257,0),0)&lt;&gt;0,"",BJ258))</f>
        <v/>
      </c>
      <c r="BY258" s="47" t="s">
        <v>0</v>
      </c>
      <c r="BZ258" s="125"/>
      <c r="CA258" s="47" t="s">
        <v>0</v>
      </c>
      <c r="CB258" s="58" t="str">
        <f t="shared" si="328"/>
        <v/>
      </c>
      <c r="CC258" s="31" t="str">
        <f t="shared" si="329"/>
        <v/>
      </c>
      <c r="CD258" s="31" t="str">
        <f>IF(CC258="","",MAX(CD$12:CD257)+1)</f>
        <v/>
      </c>
      <c r="CE258" s="31" t="str">
        <f t="shared" si="285"/>
        <v/>
      </c>
      <c r="CF258" s="31" t="str">
        <f t="shared" si="330"/>
        <v/>
      </c>
      <c r="CG258" s="31" t="str">
        <f>IF(BZ258="","",MAX(CG$12:CG257)+1)</f>
        <v/>
      </c>
      <c r="CH258" s="31" t="str">
        <f t="shared" si="331"/>
        <v/>
      </c>
      <c r="CI258" s="66" t="str">
        <f t="shared" si="332"/>
        <v/>
      </c>
      <c r="CJ258" s="47" t="s">
        <v>0</v>
      </c>
      <c r="CK258" s="73" t="str">
        <f t="shared" si="286"/>
        <v/>
      </c>
      <c r="CL258" s="47"/>
      <c r="CM258" s="19" t="str">
        <f t="shared" si="333"/>
        <v/>
      </c>
      <c r="CN258" s="47" t="s">
        <v>0</v>
      </c>
      <c r="CO258" s="143" t="str">
        <f t="shared" si="334"/>
        <v>OK Kapela</v>
      </c>
      <c r="CP258" s="47" t="s">
        <v>0</v>
      </c>
      <c r="CQ258" s="58" t="str">
        <f t="shared" si="350"/>
        <v>79:04</v>
      </c>
      <c r="CR258" s="73" t="str">
        <f t="shared" si="351"/>
        <v>0</v>
      </c>
      <c r="CS258" s="229" t="str">
        <f t="shared" si="287"/>
        <v/>
      </c>
      <c r="CT258" s="230">
        <f t="shared" si="352"/>
        <v>4744</v>
      </c>
      <c r="CU258" s="163">
        <f t="shared" si="288"/>
        <v>1</v>
      </c>
      <c r="CV258" s="47" t="s">
        <v>0</v>
      </c>
      <c r="CW258" s="222" t="str">
        <f t="shared" si="335"/>
        <v xml:space="preserve">
</v>
      </c>
      <c r="CX258" s="223">
        <f t="shared" si="336"/>
        <v>6</v>
      </c>
      <c r="CY258" s="47" t="s">
        <v>0</v>
      </c>
      <c r="CZ258" s="47"/>
      <c r="DA258" s="47"/>
      <c r="DB258" s="47"/>
      <c r="DC258" s="47" t="s">
        <v>0</v>
      </c>
      <c r="DD258" s="53" t="str">
        <f t="shared" si="344"/>
        <v/>
      </c>
      <c r="DE258" t="s">
        <v>0</v>
      </c>
      <c r="DF258" s="128" t="str">
        <f t="shared" si="345"/>
        <v>Ž</v>
      </c>
      <c r="DG258" t="s">
        <v>0</v>
      </c>
      <c r="DH258" s="52" t="str">
        <f t="shared" si="346"/>
        <v/>
      </c>
      <c r="DI258" s="66" t="str">
        <f t="shared" si="347"/>
        <v/>
      </c>
      <c r="DJ258" t="s">
        <v>0</v>
      </c>
      <c r="DK258" s="19" t="str">
        <f t="shared" si="348"/>
        <v/>
      </c>
      <c r="DL258" s="47" t="s">
        <v>0</v>
      </c>
      <c r="DM258" s="19" t="str">
        <f t="shared" si="349"/>
        <v/>
      </c>
      <c r="DN258" s="47" t="s">
        <v>0</v>
      </c>
      <c r="DO258" s="52" t="str">
        <f t="shared" si="289"/>
        <v>Ines – Kos – OK Kapela – Ž21A</v>
      </c>
      <c r="DP258" s="53">
        <f t="shared" si="290"/>
        <v>267</v>
      </c>
      <c r="DQ258" s="47" t="s">
        <v>0</v>
      </c>
      <c r="DR258" s="52" t="str">
        <f t="shared" si="291"/>
        <v>Ines – Kos – OK Kapela</v>
      </c>
      <c r="DS258" s="53">
        <f t="shared" si="292"/>
        <v>267</v>
      </c>
      <c r="DT258" s="47" t="s">
        <v>0</v>
      </c>
      <c r="DU258" s="52" t="str">
        <f t="shared" si="293"/>
        <v>Ines – Kos</v>
      </c>
      <c r="DV258" s="53">
        <f t="shared" si="294"/>
        <v>267</v>
      </c>
      <c r="DW258" s="47" t="s">
        <v>0</v>
      </c>
      <c r="DX258" s="58">
        <f t="shared" si="337"/>
        <v>267</v>
      </c>
      <c r="DY258" s="53" cm="1">
        <f t="array" ref="DY258">IF(DX258&lt;&gt;"",INDEX(regNatjecatelj_id,DX258,0),IF(BD258&lt;&gt;"",BD258,""))</f>
        <v>1483</v>
      </c>
      <c r="DZ258" s="47" t="s">
        <v>0</v>
      </c>
      <c r="EA258" s="58" t="str">
        <f t="shared" si="295"/>
        <v>imepre</v>
      </c>
      <c r="EB258" s="73" t="str">
        <f t="shared" si="296"/>
        <v>klu</v>
      </c>
      <c r="EC258" s="73" t="str">
        <f t="shared" si="297"/>
        <v>kat</v>
      </c>
      <c r="ED258" s="73" t="str">
        <f t="shared" si="298"/>
        <v/>
      </c>
      <c r="EE258" s="66" t="str">
        <f t="shared" si="299"/>
        <v>imepre-klu-kat</v>
      </c>
      <c r="EF258" s="47" t="s">
        <v>0</v>
      </c>
      <c r="EG258" s="58">
        <f>IF(AL258="","",MAX(EG$12:EG257)+1)</f>
        <v>411</v>
      </c>
      <c r="EH258" s="73">
        <f t="shared" si="300"/>
        <v>39</v>
      </c>
      <c r="EI258" s="73">
        <f t="shared" si="338"/>
        <v>1483</v>
      </c>
      <c r="EJ258" s="73">
        <f t="shared" si="301"/>
        <v>4744</v>
      </c>
      <c r="EK258" s="73">
        <f t="shared" si="302"/>
        <v>1</v>
      </c>
      <c r="EL258" s="73">
        <f t="shared" si="339"/>
        <v>1</v>
      </c>
      <c r="EM258" s="73">
        <f t="shared" si="340"/>
        <v>1</v>
      </c>
      <c r="EN258" s="73" t="str">
        <f t="shared" si="303"/>
        <v>0</v>
      </c>
      <c r="EO258" s="73" t="str">
        <f t="shared" si="304"/>
        <v/>
      </c>
      <c r="EP258" s="73" t="str">
        <f t="shared" si="305"/>
        <v/>
      </c>
      <c r="EQ258" s="53" t="str">
        <f t="shared" si="306"/>
        <v/>
      </c>
      <c r="ER258" s="47" t="s">
        <v>0</v>
      </c>
      <c r="ES258" s="19" t="str">
        <f t="shared" si="341"/>
        <v>INSERT INTO rezultat(id,stazakategorija_id,imeprezime_id,vrijeme_sec,status_id,registracija,uparivanje_id,originalstatus_id,imeprezimealias_id,klubalias_id,kategorijaalias_id) VALUES (411,39,1483,4744,1,1,1,0,Null,Null,Null);</v>
      </c>
      <c r="ET258" s="47" t="s">
        <v>0</v>
      </c>
      <c r="EU258" s="19" t="str">
        <f t="shared" si="342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8" s="47" t="s">
        <v>0</v>
      </c>
      <c r="EW258" s="180" t="str">
        <f t="shared" si="307"/>
        <v xml:space="preserve">
INSERT INTO rezultat(id,stazakategorija_id,imeprezime_id,vrijeme_sec,status_id,registracija,uparivanje_id,originalstatus_id,imeprezimealias_id,klubalias_id,kategorijaalias_id) VALUES (411,39,1483,4744,1,1,1,0,Null,Null,Null);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8" s="47" t="s">
        <v>0</v>
      </c>
    </row>
    <row r="259" spans="1:154" x14ac:dyDescent="0.25">
      <c r="A259" t="s">
        <v>0</v>
      </c>
      <c r="B259" s="52" t="str">
        <f>IF(csv!F249="","",csv!T249)</f>
        <v>Ž21A</v>
      </c>
      <c r="C259" s="31" t="s">
        <v>0</v>
      </c>
      <c r="D259" s="31" t="str">
        <f>IF(csv!F249="","",csv!F249)</f>
        <v>Lea Katarina</v>
      </c>
      <c r="E259" s="31" t="str">
        <f>IF(csv!E249="","",csv!E249)</f>
        <v>Gobec</v>
      </c>
      <c r="F259" s="31" t="s">
        <v>0</v>
      </c>
      <c r="G259" s="73" t="str">
        <f>IF(csv!M249="","",csv!M249)</f>
        <v>98:34</v>
      </c>
      <c r="H259" s="73" t="str">
        <f>IF(csv!N249="","",csv!N249)</f>
        <v>0</v>
      </c>
      <c r="I259" s="31" t="s">
        <v>0</v>
      </c>
      <c r="J259" s="31" t="str">
        <f>IF(csv!P249="","",csv!P249)</f>
        <v>Vihor</v>
      </c>
      <c r="K259" s="31" t="str">
        <f>IF(csv!Q249="","",csv!Q249)</f>
        <v>OK Vihor</v>
      </c>
      <c r="L259" s="31" t="s">
        <v>0</v>
      </c>
      <c r="M259" s="66" t="str">
        <f>IF(csv!R249="","",csv!R249)</f>
        <v>CRO</v>
      </c>
      <c r="N259" s="47" t="s">
        <v>0</v>
      </c>
      <c r="O259" s="246" t="str">
        <f t="shared" si="308"/>
        <v>ok</v>
      </c>
      <c r="P259" s="47"/>
      <c r="Q259" s="52" t="str">
        <f t="shared" si="309"/>
        <v>Ž21A</v>
      </c>
      <c r="R259" s="73">
        <f>IF(Q259="","",IF(COUNTIF(Q$12:Q258,Q259)=0,R258+1,R258))</f>
        <v>17</v>
      </c>
      <c r="S259" s="73">
        <f t="shared" si="310"/>
        <v>102</v>
      </c>
      <c r="T259" s="73">
        <f t="shared" si="273"/>
        <v>14</v>
      </c>
      <c r="U259" s="66" t="str">
        <f t="shared" si="274"/>
        <v>Ž21A</v>
      </c>
      <c r="V259" s="47" t="s">
        <v>0</v>
      </c>
      <c r="W259" s="222" t="str">
        <f t="shared" si="275"/>
        <v>Ž21A</v>
      </c>
      <c r="X259" s="223">
        <f t="shared" si="276"/>
        <v>39</v>
      </c>
      <c r="Y259" s="47" t="s">
        <v>0</v>
      </c>
      <c r="Z259" s="52" t="str">
        <f t="shared" si="311"/>
        <v>CRO</v>
      </c>
      <c r="AA259" s="73">
        <f t="shared" si="277"/>
        <v>1</v>
      </c>
      <c r="AB259" s="31" t="str">
        <f t="shared" si="312"/>
        <v/>
      </c>
      <c r="AC259" s="66" t="str">
        <f>IF(AB259="","",MAX(AC$12:AC258)+1)</f>
        <v/>
      </c>
      <c r="AD259" s="47" t="s">
        <v>0</v>
      </c>
      <c r="AE259" s="125"/>
      <c r="AF259" s="47" t="s">
        <v>0</v>
      </c>
      <c r="AG259" s="19" t="str">
        <f t="shared" si="313"/>
        <v/>
      </c>
      <c r="AH259" s="47" t="s">
        <v>0</v>
      </c>
      <c r="AI259" s="143" t="str">
        <f t="shared" si="314"/>
        <v>CRO</v>
      </c>
      <c r="AJ259" s="47"/>
      <c r="AK259" s="52" t="str">
        <f t="shared" si="315"/>
        <v>Lea Katarina</v>
      </c>
      <c r="AL259" s="31" t="str">
        <f t="shared" si="316"/>
        <v>Gobec</v>
      </c>
      <c r="AM259" s="73">
        <f t="shared" si="317"/>
        <v>1203</v>
      </c>
      <c r="AN259" s="73" t="str">
        <f t="shared" si="318"/>
        <v/>
      </c>
      <c r="AO259" s="31" t="str">
        <f t="shared" si="278"/>
        <v>Lea Katarina</v>
      </c>
      <c r="AP259" s="66" t="str">
        <f t="shared" si="279"/>
        <v>Gobec</v>
      </c>
      <c r="AQ259" s="47" t="s">
        <v>0</v>
      </c>
      <c r="AR259" s="82" t="str">
        <f t="shared" si="319"/>
        <v/>
      </c>
      <c r="AS259" s="47" t="s">
        <v>0</v>
      </c>
      <c r="AT259" s="19" t="str">
        <f t="shared" si="320"/>
        <v/>
      </c>
      <c r="AU259" s="47" t="s">
        <v>0</v>
      </c>
      <c r="AV259" s="103"/>
      <c r="AW259" s="105"/>
      <c r="AX259" s="47" t="s">
        <v>0</v>
      </c>
      <c r="AY259" s="259" t="str">
        <f t="shared" si="343"/>
        <v/>
      </c>
      <c r="AZ259" s="47" t="s">
        <v>0</v>
      </c>
      <c r="BA259" s="52" t="str">
        <f t="shared" si="280"/>
        <v/>
      </c>
      <c r="BB259" s="73" t="str">
        <f>IF(AV259&amp;AW259="","",MAX(BB$12:BB258)+1)</f>
        <v/>
      </c>
      <c r="BC259" s="272" t="str">
        <f t="shared" si="281"/>
        <v/>
      </c>
      <c r="BD259" s="53" t="str">
        <f>IF(AND(AM259="NEMA",AN259="NEMA",OR(AV259&amp;AW259="",BC259="NEMA")),MAX(BD$12:BD258)+1,"")</f>
        <v/>
      </c>
      <c r="BE259" s="47" t="s">
        <v>0</v>
      </c>
      <c r="BF259" s="52" t="str">
        <f t="shared" si="321"/>
        <v>Lea Katarina</v>
      </c>
      <c r="BG259" s="66" t="str">
        <f t="shared" si="322"/>
        <v>Gobec</v>
      </c>
      <c r="BH259" s="47" t="s">
        <v>0</v>
      </c>
      <c r="BI259" s="52" t="str">
        <f t="shared" si="282"/>
        <v>Vihor</v>
      </c>
      <c r="BJ259" s="31" t="str">
        <f t="shared" si="283"/>
        <v>OK Vihor</v>
      </c>
      <c r="BK259" s="73" t="str">
        <f t="shared" si="284"/>
        <v/>
      </c>
      <c r="BL259" s="31" t="str" cm="1">
        <f t="array" ref="BL259">IF(BK259="",""&amp;BJ259,IF(BK259="NEMA",BJ259,INDEX(regKlub_naziv,MATCH(INDEX(regKlub_alias_klubId,BK259),regKlub_id,0))))</f>
        <v>OK Vihor</v>
      </c>
      <c r="BM259" s="31" t="str" cm="1">
        <f t="array" ref="BM259">IFERROR(""&amp;INDEX(regNatjecatelj_klub,DV259),"")</f>
        <v>OK Vihor</v>
      </c>
      <c r="BN259" s="88" t="str">
        <f t="shared" si="323"/>
        <v/>
      </c>
      <c r="BO259" s="66" t="str">
        <f t="shared" si="324"/>
        <v>OK Vihor</v>
      </c>
      <c r="BP259" s="47" t="s">
        <v>0</v>
      </c>
      <c r="BQ259" s="52" t="str">
        <f>IF(X259&lt;&gt;"NEMA","",IF(IFERROR(MATCH(W259,W$12:W258,0),0)&lt;&gt;0,"",W259))</f>
        <v/>
      </c>
      <c r="BR259" s="73" t="str">
        <f t="shared" si="325"/>
        <v/>
      </c>
      <c r="BS259" s="31" t="str">
        <f>IF(OR(BR259="",BR259&lt;&gt;"NEMA"),"",MAX(BS$12:BS258)+1)</f>
        <v/>
      </c>
      <c r="BT259" s="66" t="str">
        <f t="shared" si="326"/>
        <v/>
      </c>
      <c r="BU259" s="47" t="s">
        <v>0</v>
      </c>
      <c r="BV259" s="19" t="str">
        <f t="shared" si="327"/>
        <v/>
      </c>
      <c r="BW259" s="47" t="s">
        <v>0</v>
      </c>
      <c r="BX259" s="82" t="str">
        <f>IF(BK259&lt;&gt;"NEMA","",IF(IFERROR(MATCH(BJ259,BJ$12:BJ258,0),0)&lt;&gt;0,"",BJ259))</f>
        <v/>
      </c>
      <c r="BY259" s="47" t="s">
        <v>0</v>
      </c>
      <c r="BZ259" s="125"/>
      <c r="CA259" s="47" t="s">
        <v>0</v>
      </c>
      <c r="CB259" s="58" t="str">
        <f t="shared" si="328"/>
        <v/>
      </c>
      <c r="CC259" s="31" t="str">
        <f t="shared" si="329"/>
        <v/>
      </c>
      <c r="CD259" s="31" t="str">
        <f>IF(CC259="","",MAX(CD$12:CD258)+1)</f>
        <v/>
      </c>
      <c r="CE259" s="31" t="str">
        <f t="shared" si="285"/>
        <v/>
      </c>
      <c r="CF259" s="31" t="str">
        <f t="shared" si="330"/>
        <v/>
      </c>
      <c r="CG259" s="31" t="str">
        <f>IF(BZ259="","",MAX(CG$12:CG258)+1)</f>
        <v/>
      </c>
      <c r="CH259" s="31" t="str">
        <f t="shared" si="331"/>
        <v/>
      </c>
      <c r="CI259" s="66" t="str">
        <f t="shared" si="332"/>
        <v/>
      </c>
      <c r="CJ259" s="47" t="s">
        <v>0</v>
      </c>
      <c r="CK259" s="73" t="str">
        <f t="shared" si="286"/>
        <v/>
      </c>
      <c r="CL259" s="47"/>
      <c r="CM259" s="19" t="str">
        <f t="shared" si="333"/>
        <v/>
      </c>
      <c r="CN259" s="47" t="s">
        <v>0</v>
      </c>
      <c r="CO259" s="143" t="str">
        <f t="shared" si="334"/>
        <v>OK Vihor</v>
      </c>
      <c r="CP259" s="47" t="s">
        <v>0</v>
      </c>
      <c r="CQ259" s="58" t="str">
        <f t="shared" si="350"/>
        <v>98:34</v>
      </c>
      <c r="CR259" s="73" t="str">
        <f t="shared" si="351"/>
        <v>0</v>
      </c>
      <c r="CS259" s="229" t="str">
        <f t="shared" si="287"/>
        <v/>
      </c>
      <c r="CT259" s="230">
        <f t="shared" si="352"/>
        <v>5914</v>
      </c>
      <c r="CU259" s="163">
        <f t="shared" si="288"/>
        <v>1</v>
      </c>
      <c r="CV259" s="47" t="s">
        <v>0</v>
      </c>
      <c r="CW259" s="222" t="str">
        <f t="shared" si="335"/>
        <v xml:space="preserve">
</v>
      </c>
      <c r="CX259" s="223">
        <f t="shared" si="336"/>
        <v>6</v>
      </c>
      <c r="CY259" s="47" t="s">
        <v>0</v>
      </c>
      <c r="CZ259" s="47"/>
      <c r="DA259" s="47"/>
      <c r="DB259" s="47"/>
      <c r="DC259" s="47" t="s">
        <v>0</v>
      </c>
      <c r="DD259" s="53" t="str">
        <f t="shared" si="344"/>
        <v/>
      </c>
      <c r="DE259" t="s">
        <v>0</v>
      </c>
      <c r="DF259" s="128" t="str">
        <f t="shared" si="345"/>
        <v>Ž</v>
      </c>
      <c r="DG259" t="s">
        <v>0</v>
      </c>
      <c r="DH259" s="52" t="str">
        <f t="shared" si="346"/>
        <v/>
      </c>
      <c r="DI259" s="66" t="str">
        <f t="shared" si="347"/>
        <v/>
      </c>
      <c r="DJ259" t="s">
        <v>0</v>
      </c>
      <c r="DK259" s="19" t="str">
        <f t="shared" si="348"/>
        <v/>
      </c>
      <c r="DL259" s="47" t="s">
        <v>0</v>
      </c>
      <c r="DM259" s="19" t="str">
        <f t="shared" si="349"/>
        <v/>
      </c>
      <c r="DN259" s="47" t="s">
        <v>0</v>
      </c>
      <c r="DO259" s="52" t="str">
        <f t="shared" si="289"/>
        <v>Lea Katarina – Gobec – OK Vihor – Ž21A</v>
      </c>
      <c r="DP259" s="53">
        <f t="shared" si="290"/>
        <v>677</v>
      </c>
      <c r="DQ259" s="47" t="s">
        <v>0</v>
      </c>
      <c r="DR259" s="52" t="str">
        <f t="shared" si="291"/>
        <v>Lea Katarina – Gobec – OK Vihor</v>
      </c>
      <c r="DS259" s="53">
        <f t="shared" si="292"/>
        <v>677</v>
      </c>
      <c r="DT259" s="47" t="s">
        <v>0</v>
      </c>
      <c r="DU259" s="52" t="str">
        <f t="shared" si="293"/>
        <v>Lea Katarina – Gobec</v>
      </c>
      <c r="DV259" s="53">
        <f t="shared" si="294"/>
        <v>677</v>
      </c>
      <c r="DW259" s="47" t="s">
        <v>0</v>
      </c>
      <c r="DX259" s="58">
        <f t="shared" si="337"/>
        <v>677</v>
      </c>
      <c r="DY259" s="53" cm="1">
        <f t="array" ref="DY259">IF(DX259&lt;&gt;"",INDEX(regNatjecatelj_id,DX259,0),IF(BD259&lt;&gt;"",BD259,""))</f>
        <v>1203</v>
      </c>
      <c r="DZ259" s="47" t="s">
        <v>0</v>
      </c>
      <c r="EA259" s="58" t="str">
        <f t="shared" si="295"/>
        <v>imepre</v>
      </c>
      <c r="EB259" s="73" t="str">
        <f t="shared" si="296"/>
        <v>klu</v>
      </c>
      <c r="EC259" s="73" t="str">
        <f t="shared" si="297"/>
        <v>kat</v>
      </c>
      <c r="ED259" s="73" t="str">
        <f t="shared" si="298"/>
        <v/>
      </c>
      <c r="EE259" s="66" t="str">
        <f t="shared" si="299"/>
        <v>imepre-klu-kat</v>
      </c>
      <c r="EF259" s="47" t="s">
        <v>0</v>
      </c>
      <c r="EG259" s="58">
        <f>IF(AL259="","",MAX(EG$12:EG258)+1)</f>
        <v>412</v>
      </c>
      <c r="EH259" s="73">
        <f t="shared" si="300"/>
        <v>39</v>
      </c>
      <c r="EI259" s="73">
        <f t="shared" si="338"/>
        <v>1203</v>
      </c>
      <c r="EJ259" s="73">
        <f t="shared" si="301"/>
        <v>5914</v>
      </c>
      <c r="EK259" s="73">
        <f t="shared" si="302"/>
        <v>1</v>
      </c>
      <c r="EL259" s="73">
        <f t="shared" si="339"/>
        <v>1</v>
      </c>
      <c r="EM259" s="73">
        <f t="shared" si="340"/>
        <v>1</v>
      </c>
      <c r="EN259" s="73" t="str">
        <f t="shared" si="303"/>
        <v>0</v>
      </c>
      <c r="EO259" s="73" t="str">
        <f t="shared" si="304"/>
        <v/>
      </c>
      <c r="EP259" s="73" t="str">
        <f t="shared" si="305"/>
        <v/>
      </c>
      <c r="EQ259" s="53" t="str">
        <f t="shared" si="306"/>
        <v/>
      </c>
      <c r="ER259" s="47" t="s">
        <v>0</v>
      </c>
      <c r="ES259" s="19" t="str">
        <f t="shared" si="341"/>
        <v>INSERT INTO rezultat(id,stazakategorija_id,imeprezime_id,vrijeme_sec,status_id,registracija,uparivanje_id,originalstatus_id,imeprezimealias_id,klubalias_id,kategorijaalias_id) VALUES (412,39,1203,5914,1,1,1,0,Null,Null,Null);</v>
      </c>
      <c r="ET259" s="47" t="s">
        <v>0</v>
      </c>
      <c r="EU259" s="19" t="str">
        <f t="shared" si="342"/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9" s="47" t="s">
        <v>0</v>
      </c>
      <c r="EW259" s="180" t="str">
        <f t="shared" si="307"/>
        <v xml:space="preserve">
INSERT INTO rezultat(id,stazakategorija_id,imeprezime_id,vrijeme_sec,status_id,registracija,uparivanje_id,originalstatus_id,imeprezimealias_id,klubalias_id,kategorijaalias_id) VALUES (412,39,1203,5914,1,1,1,0,Null,Null,Null);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9" s="47" t="s">
        <v>0</v>
      </c>
    </row>
    <row r="260" spans="1:154" x14ac:dyDescent="0.25">
      <c r="A260" t="s">
        <v>0</v>
      </c>
      <c r="B260" s="52" t="str">
        <f>IF(csv!F250="","",csv!T250)</f>
        <v>Ž21A</v>
      </c>
      <c r="C260" s="31" t="s">
        <v>0</v>
      </c>
      <c r="D260" s="31" t="str">
        <f>IF(csv!F250="","",csv!F250)</f>
        <v>Ana</v>
      </c>
      <c r="E260" s="31" t="str">
        <f>IF(csv!E250="","",csv!E250)</f>
        <v>Beblek</v>
      </c>
      <c r="F260" s="31" t="s">
        <v>0</v>
      </c>
      <c r="G260" s="73" t="str">
        <f>IF(csv!M250="","",csv!M250)</f>
        <v/>
      </c>
      <c r="H260" s="73" t="str">
        <f>IF(csv!N250="","",csv!N250)</f>
        <v>1</v>
      </c>
      <c r="I260" s="31" t="s">
        <v>0</v>
      </c>
      <c r="J260" s="31" t="str">
        <f>IF(csv!P250="","",csv!P250)</f>
        <v>OK Jelen</v>
      </c>
      <c r="K260" s="31" t="str">
        <f>IF(csv!Q250="","",csv!Q250)</f>
        <v>OK Jelen</v>
      </c>
      <c r="L260" s="31" t="s">
        <v>0</v>
      </c>
      <c r="M260" s="66" t="str">
        <f>IF(csv!R250="","",csv!R250)</f>
        <v>CRO</v>
      </c>
      <c r="N260" s="47" t="s">
        <v>0</v>
      </c>
      <c r="O260" s="246" t="str">
        <f t="shared" si="308"/>
        <v>ok</v>
      </c>
      <c r="P260" s="47"/>
      <c r="Q260" s="52" t="str">
        <f t="shared" si="309"/>
        <v>Ž21A</v>
      </c>
      <c r="R260" s="73">
        <f>IF(Q260="","",IF(COUNTIF(Q$12:Q259,Q260)=0,R259+1,R259))</f>
        <v>17</v>
      </c>
      <c r="S260" s="73">
        <f t="shared" si="310"/>
        <v>102</v>
      </c>
      <c r="T260" s="73">
        <f t="shared" si="273"/>
        <v>14</v>
      </c>
      <c r="U260" s="66" t="str">
        <f t="shared" si="274"/>
        <v>Ž21A</v>
      </c>
      <c r="V260" s="47" t="s">
        <v>0</v>
      </c>
      <c r="W260" s="222" t="str">
        <f t="shared" si="275"/>
        <v>Ž21A</v>
      </c>
      <c r="X260" s="223">
        <f t="shared" si="276"/>
        <v>39</v>
      </c>
      <c r="Y260" s="47" t="s">
        <v>0</v>
      </c>
      <c r="Z260" s="52" t="str">
        <f t="shared" si="311"/>
        <v>CRO</v>
      </c>
      <c r="AA260" s="73">
        <f t="shared" si="277"/>
        <v>1</v>
      </c>
      <c r="AB260" s="31" t="str">
        <f t="shared" si="312"/>
        <v/>
      </c>
      <c r="AC260" s="66" t="str">
        <f>IF(AB260="","",MAX(AC$12:AC259)+1)</f>
        <v/>
      </c>
      <c r="AD260" s="47" t="s">
        <v>0</v>
      </c>
      <c r="AE260" s="125"/>
      <c r="AF260" s="47" t="s">
        <v>0</v>
      </c>
      <c r="AG260" s="19" t="str">
        <f t="shared" si="313"/>
        <v/>
      </c>
      <c r="AH260" s="47" t="s">
        <v>0</v>
      </c>
      <c r="AI260" s="143" t="str">
        <f t="shared" si="314"/>
        <v>CRO</v>
      </c>
      <c r="AJ260" s="47"/>
      <c r="AK260" s="52" t="str">
        <f t="shared" si="315"/>
        <v>Ana</v>
      </c>
      <c r="AL260" s="31" t="str">
        <f t="shared" si="316"/>
        <v>Beblek</v>
      </c>
      <c r="AM260" s="73">
        <f t="shared" si="317"/>
        <v>1472</v>
      </c>
      <c r="AN260" s="73" t="str">
        <f t="shared" si="318"/>
        <v/>
      </c>
      <c r="AO260" s="31" t="str">
        <f t="shared" si="278"/>
        <v>Ana</v>
      </c>
      <c r="AP260" s="66" t="str">
        <f t="shared" si="279"/>
        <v>Beblek</v>
      </c>
      <c r="AQ260" s="47" t="s">
        <v>0</v>
      </c>
      <c r="AR260" s="82" t="str">
        <f t="shared" si="319"/>
        <v/>
      </c>
      <c r="AS260" s="47" t="s">
        <v>0</v>
      </c>
      <c r="AT260" s="19" t="str">
        <f t="shared" si="320"/>
        <v/>
      </c>
      <c r="AU260" s="47" t="s">
        <v>0</v>
      </c>
      <c r="AV260" s="103"/>
      <c r="AW260" s="105"/>
      <c r="AX260" s="47" t="s">
        <v>0</v>
      </c>
      <c r="AY260" s="259" t="str">
        <f t="shared" si="343"/>
        <v/>
      </c>
      <c r="AZ260" s="47" t="s">
        <v>0</v>
      </c>
      <c r="BA260" s="52" t="str">
        <f t="shared" si="280"/>
        <v/>
      </c>
      <c r="BB260" s="73" t="str">
        <f>IF(AV260&amp;AW260="","",MAX(BB$12:BB259)+1)</f>
        <v/>
      </c>
      <c r="BC260" s="272" t="str">
        <f t="shared" si="281"/>
        <v/>
      </c>
      <c r="BD260" s="53" t="str">
        <f>IF(AND(AM260="NEMA",AN260="NEMA",OR(AV260&amp;AW260="",BC260="NEMA")),MAX(BD$12:BD259)+1,"")</f>
        <v/>
      </c>
      <c r="BE260" s="47" t="s">
        <v>0</v>
      </c>
      <c r="BF260" s="52" t="str">
        <f t="shared" si="321"/>
        <v>Ana</v>
      </c>
      <c r="BG260" s="66" t="str">
        <f t="shared" si="322"/>
        <v>Beblek</v>
      </c>
      <c r="BH260" s="47" t="s">
        <v>0</v>
      </c>
      <c r="BI260" s="52" t="str">
        <f t="shared" si="282"/>
        <v>OK Jelen</v>
      </c>
      <c r="BJ260" s="31" t="str">
        <f t="shared" si="283"/>
        <v>OK Jelen</v>
      </c>
      <c r="BK260" s="73" t="str">
        <f t="shared" si="284"/>
        <v/>
      </c>
      <c r="BL260" s="31" t="str" cm="1">
        <f t="array" ref="BL260">IF(BK260="",""&amp;BJ260,IF(BK260="NEMA",BJ260,INDEX(regKlub_naziv,MATCH(INDEX(regKlub_alias_klubId,BK260),regKlub_id,0))))</f>
        <v>OK Jelen</v>
      </c>
      <c r="BM260" s="31" t="str" cm="1">
        <f t="array" ref="BM260">IFERROR(""&amp;INDEX(regNatjecatelj_klub,DV260),"")</f>
        <v>OK Jelen</v>
      </c>
      <c r="BN260" s="88" t="str">
        <f t="shared" si="323"/>
        <v/>
      </c>
      <c r="BO260" s="66" t="str">
        <f t="shared" si="324"/>
        <v>OK Jelen</v>
      </c>
      <c r="BP260" s="47" t="s">
        <v>0</v>
      </c>
      <c r="BQ260" s="52" t="str">
        <f>IF(X260&lt;&gt;"NEMA","",IF(IFERROR(MATCH(W260,W$12:W259,0),0)&lt;&gt;0,"",W260))</f>
        <v/>
      </c>
      <c r="BR260" s="73" t="str">
        <f t="shared" si="325"/>
        <v/>
      </c>
      <c r="BS260" s="31" t="str">
        <f>IF(OR(BR260="",BR260&lt;&gt;"NEMA"),"",MAX(BS$12:BS259)+1)</f>
        <v/>
      </c>
      <c r="BT260" s="66" t="str">
        <f t="shared" si="326"/>
        <v/>
      </c>
      <c r="BU260" s="47" t="s">
        <v>0</v>
      </c>
      <c r="BV260" s="19" t="str">
        <f t="shared" si="327"/>
        <v/>
      </c>
      <c r="BW260" s="47" t="s">
        <v>0</v>
      </c>
      <c r="BX260" s="82" t="str">
        <f>IF(BK260&lt;&gt;"NEMA","",IF(IFERROR(MATCH(BJ260,BJ$12:BJ259,0),0)&lt;&gt;0,"",BJ260))</f>
        <v/>
      </c>
      <c r="BY260" s="47" t="s">
        <v>0</v>
      </c>
      <c r="BZ260" s="125"/>
      <c r="CA260" s="47" t="s">
        <v>0</v>
      </c>
      <c r="CB260" s="58" t="str">
        <f t="shared" si="328"/>
        <v/>
      </c>
      <c r="CC260" s="31" t="str">
        <f t="shared" si="329"/>
        <v/>
      </c>
      <c r="CD260" s="31" t="str">
        <f>IF(CC260="","",MAX(CD$12:CD259)+1)</f>
        <v/>
      </c>
      <c r="CE260" s="31" t="str">
        <f t="shared" si="285"/>
        <v/>
      </c>
      <c r="CF260" s="31" t="str">
        <f t="shared" si="330"/>
        <v/>
      </c>
      <c r="CG260" s="31" t="str">
        <f>IF(BZ260="","",MAX(CG$12:CG259)+1)</f>
        <v/>
      </c>
      <c r="CH260" s="31" t="str">
        <f t="shared" si="331"/>
        <v/>
      </c>
      <c r="CI260" s="66" t="str">
        <f t="shared" si="332"/>
        <v/>
      </c>
      <c r="CJ260" s="47" t="s">
        <v>0</v>
      </c>
      <c r="CK260" s="73" t="str">
        <f t="shared" si="286"/>
        <v/>
      </c>
      <c r="CL260" s="47"/>
      <c r="CM260" s="19" t="str">
        <f t="shared" si="333"/>
        <v/>
      </c>
      <c r="CN260" s="47" t="s">
        <v>0</v>
      </c>
      <c r="CO260" s="143" t="str">
        <f t="shared" si="334"/>
        <v>OK Jelen</v>
      </c>
      <c r="CP260" s="47" t="s">
        <v>0</v>
      </c>
      <c r="CQ260" s="58" t="str">
        <f t="shared" si="350"/>
        <v/>
      </c>
      <c r="CR260" s="73" t="str">
        <f t="shared" si="351"/>
        <v>1</v>
      </c>
      <c r="CS260" s="229" t="str">
        <f t="shared" si="287"/>
        <v/>
      </c>
      <c r="CT260" s="230" t="str">
        <f t="shared" si="352"/>
        <v/>
      </c>
      <c r="CU260" s="163">
        <f t="shared" si="288"/>
        <v>6</v>
      </c>
      <c r="CV260" s="47" t="s">
        <v>0</v>
      </c>
      <c r="CW260" s="222" t="str">
        <f t="shared" si="335"/>
        <v xml:space="preserve">
</v>
      </c>
      <c r="CX260" s="223" t="e">
        <f t="shared" si="336"/>
        <v>#N/A</v>
      </c>
      <c r="CY260" s="47" t="s">
        <v>0</v>
      </c>
      <c r="CZ260" s="47"/>
      <c r="DA260" s="47"/>
      <c r="DB260" s="47"/>
      <c r="DC260" s="47" t="s">
        <v>0</v>
      </c>
      <c r="DD260" s="53" t="str">
        <f t="shared" si="344"/>
        <v/>
      </c>
      <c r="DE260" t="s">
        <v>0</v>
      </c>
      <c r="DF260" s="128" t="str">
        <f t="shared" si="345"/>
        <v>Ž</v>
      </c>
      <c r="DG260" t="s">
        <v>0</v>
      </c>
      <c r="DH260" s="52" t="str">
        <f t="shared" si="346"/>
        <v/>
      </c>
      <c r="DI260" s="66" t="str">
        <f t="shared" si="347"/>
        <v/>
      </c>
      <c r="DJ260" t="s">
        <v>0</v>
      </c>
      <c r="DK260" s="19" t="str">
        <f t="shared" si="348"/>
        <v/>
      </c>
      <c r="DL260" s="47" t="s">
        <v>0</v>
      </c>
      <c r="DM260" s="19" t="str">
        <f t="shared" si="349"/>
        <v/>
      </c>
      <c r="DN260" s="47" t="s">
        <v>0</v>
      </c>
      <c r="DO260" s="52" t="str">
        <f t="shared" si="289"/>
        <v>Ana – Beblek – OK Jelen – Ž21A</v>
      </c>
      <c r="DP260" s="53">
        <f t="shared" si="290"/>
        <v>149</v>
      </c>
      <c r="DQ260" s="47" t="s">
        <v>0</v>
      </c>
      <c r="DR260" s="52" t="str">
        <f t="shared" si="291"/>
        <v>Ana – Beblek – OK Jelen</v>
      </c>
      <c r="DS260" s="53">
        <f t="shared" si="292"/>
        <v>149</v>
      </c>
      <c r="DT260" s="47" t="s">
        <v>0</v>
      </c>
      <c r="DU260" s="52" t="str">
        <f t="shared" si="293"/>
        <v>Ana – Beblek</v>
      </c>
      <c r="DV260" s="53">
        <f t="shared" si="294"/>
        <v>149</v>
      </c>
      <c r="DW260" s="47" t="s">
        <v>0</v>
      </c>
      <c r="DX260" s="58">
        <f t="shared" si="337"/>
        <v>149</v>
      </c>
      <c r="DY260" s="53" cm="1">
        <f t="array" ref="DY260">IF(DX260&lt;&gt;"",INDEX(regNatjecatelj_id,DX260,0),IF(BD260&lt;&gt;"",BD260,""))</f>
        <v>1472</v>
      </c>
      <c r="DZ260" s="47" t="s">
        <v>0</v>
      </c>
      <c r="EA260" s="58" t="str">
        <f t="shared" si="295"/>
        <v>imepre</v>
      </c>
      <c r="EB260" s="73" t="str">
        <f t="shared" si="296"/>
        <v>klu</v>
      </c>
      <c r="EC260" s="73" t="str">
        <f t="shared" si="297"/>
        <v>kat</v>
      </c>
      <c r="ED260" s="73" t="str">
        <f t="shared" si="298"/>
        <v/>
      </c>
      <c r="EE260" s="66" t="str">
        <f t="shared" si="299"/>
        <v>imepre-klu-kat</v>
      </c>
      <c r="EF260" s="47" t="s">
        <v>0</v>
      </c>
      <c r="EG260" s="58">
        <f>IF(AL260="","",MAX(EG$12:EG259)+1)</f>
        <v>413</v>
      </c>
      <c r="EH260" s="73">
        <f t="shared" si="300"/>
        <v>39</v>
      </c>
      <c r="EI260" s="73">
        <f t="shared" si="338"/>
        <v>1472</v>
      </c>
      <c r="EJ260" s="73" t="str">
        <f t="shared" si="301"/>
        <v/>
      </c>
      <c r="EK260" s="73">
        <f t="shared" si="302"/>
        <v>6</v>
      </c>
      <c r="EL260" s="73">
        <f t="shared" si="339"/>
        <v>1</v>
      </c>
      <c r="EM260" s="73">
        <f t="shared" si="340"/>
        <v>1</v>
      </c>
      <c r="EN260" s="73" t="str">
        <f t="shared" si="303"/>
        <v>1</v>
      </c>
      <c r="EO260" s="73" t="str">
        <f t="shared" si="304"/>
        <v/>
      </c>
      <c r="EP260" s="73" t="str">
        <f t="shared" si="305"/>
        <v/>
      </c>
      <c r="EQ260" s="53" t="str">
        <f t="shared" si="306"/>
        <v/>
      </c>
      <c r="ER260" s="47" t="s">
        <v>0</v>
      </c>
      <c r="ES260" s="19" t="str">
        <f t="shared" si="341"/>
        <v>INSERT INTO rezultat(id,stazakategorija_id,imeprezime_id,vrijeme_sec,status_id,registracija,uparivanje_id,originalstatus_id,imeprezimealias_id,klubalias_id,kategorijaalias_id) VALUES (413,39,1472,Null,6,1,1,1,Null,Null,Null);</v>
      </c>
      <c r="ET260" s="47" t="s">
        <v>0</v>
      </c>
      <c r="EU260" s="19" t="str">
        <f t="shared" si="342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0" s="47" t="s">
        <v>0</v>
      </c>
      <c r="EW260" s="180" t="str">
        <f t="shared" si="307"/>
        <v xml:space="preserve">
INSERT INTO rezultat(id,stazakategorija_id,imeprezime_id,vrijeme_sec,status_id,registracija,uparivanje_id,originalstatus_id,imeprezimealias_id,klubalias_id,kategorijaalias_id) VALUES (413,39,1472,Null,6,1,1,1,Null,Null,Null);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0" s="47" t="s">
        <v>0</v>
      </c>
    </row>
    <row r="261" spans="1:154" x14ac:dyDescent="0.25">
      <c r="A261" t="s">
        <v>0</v>
      </c>
      <c r="B261" s="52" t="str">
        <f>IF(csv!F251="","",csv!T251)</f>
        <v>Ž21A</v>
      </c>
      <c r="C261" s="31" t="s">
        <v>0</v>
      </c>
      <c r="D261" s="31" t="str">
        <f>IF(csv!F251="","",csv!F251)</f>
        <v>Vacant</v>
      </c>
      <c r="E261" s="31" t="str">
        <f>IF(csv!E251="","",csv!E251)</f>
        <v/>
      </c>
      <c r="F261" s="31" t="s">
        <v>0</v>
      </c>
      <c r="G261" s="73" t="str">
        <f>IF(csv!M251="","",csv!M251)</f>
        <v/>
      </c>
      <c r="H261" s="73" t="str">
        <f>IF(csv!N251="","",csv!N251)</f>
        <v>0</v>
      </c>
      <c r="I261" s="31" t="s">
        <v>0</v>
      </c>
      <c r="J261" s="31" t="str">
        <f>IF(csv!P251="","",csv!P251)</f>
        <v/>
      </c>
      <c r="K261" s="31" t="str">
        <f>IF(csv!Q251="","",csv!Q251)</f>
        <v/>
      </c>
      <c r="L261" s="31" t="s">
        <v>0</v>
      </c>
      <c r="M261" s="66" t="str">
        <f>IF(csv!R251="","",csv!R251)</f>
        <v/>
      </c>
      <c r="N261" s="47" t="s">
        <v>0</v>
      </c>
      <c r="O261" s="246" t="str">
        <f t="shared" si="308"/>
        <v/>
      </c>
      <c r="P261" s="47"/>
      <c r="Q261" s="52" t="str">
        <f t="shared" si="309"/>
        <v>Ž21A</v>
      </c>
      <c r="R261" s="73">
        <f>IF(Q261="","",IF(COUNTIF(Q$12:Q260,Q261)=0,R260+1,R260))</f>
        <v>17</v>
      </c>
      <c r="S261" s="73">
        <f t="shared" si="310"/>
        <v>102</v>
      </c>
      <c r="T261" s="73">
        <f t="shared" si="273"/>
        <v>14</v>
      </c>
      <c r="U261" s="66" t="str">
        <f t="shared" si="274"/>
        <v>Ž21A</v>
      </c>
      <c r="V261" s="47" t="s">
        <v>0</v>
      </c>
      <c r="W261" s="222" t="str">
        <f t="shared" si="275"/>
        <v/>
      </c>
      <c r="X261" s="223" t="str">
        <f t="shared" si="276"/>
        <v/>
      </c>
      <c r="Y261" s="47" t="s">
        <v>0</v>
      </c>
      <c r="Z261" s="52" t="str">
        <f t="shared" si="311"/>
        <v/>
      </c>
      <c r="AA261" s="73" t="str">
        <f t="shared" si="277"/>
        <v/>
      </c>
      <c r="AB261" s="31" t="str">
        <f t="shared" si="312"/>
        <v/>
      </c>
      <c r="AC261" s="66" t="str">
        <f>IF(AB261="","",MAX(AC$12:AC260)+1)</f>
        <v/>
      </c>
      <c r="AD261" s="47" t="s">
        <v>0</v>
      </c>
      <c r="AE261" s="125"/>
      <c r="AF261" s="47" t="s">
        <v>0</v>
      </c>
      <c r="AG261" s="19" t="str">
        <f t="shared" si="313"/>
        <v/>
      </c>
      <c r="AH261" s="47" t="s">
        <v>0</v>
      </c>
      <c r="AI261" s="143" t="str">
        <f t="shared" si="314"/>
        <v/>
      </c>
      <c r="AJ261" s="47"/>
      <c r="AK261" s="52" t="str">
        <f t="shared" si="315"/>
        <v/>
      </c>
      <c r="AL261" s="31" t="str">
        <f t="shared" si="316"/>
        <v/>
      </c>
      <c r="AM261" s="73" t="str">
        <f t="shared" si="317"/>
        <v/>
      </c>
      <c r="AN261" s="73" t="str">
        <f t="shared" si="318"/>
        <v/>
      </c>
      <c r="AO261" s="31" t="str">
        <f t="shared" si="278"/>
        <v/>
      </c>
      <c r="AP261" s="66" t="str">
        <f t="shared" si="279"/>
        <v/>
      </c>
      <c r="AQ261" s="47" t="s">
        <v>0</v>
      </c>
      <c r="AR261" s="82" t="str">
        <f t="shared" si="319"/>
        <v/>
      </c>
      <c r="AS261" s="47" t="s">
        <v>0</v>
      </c>
      <c r="AT261" s="19" t="str">
        <f t="shared" si="320"/>
        <v/>
      </c>
      <c r="AU261" s="47" t="s">
        <v>0</v>
      </c>
      <c r="AV261" s="103"/>
      <c r="AW261" s="105"/>
      <c r="AX261" s="47" t="s">
        <v>0</v>
      </c>
      <c r="AY261" s="259" t="str">
        <f t="shared" si="343"/>
        <v/>
      </c>
      <c r="AZ261" s="47" t="s">
        <v>0</v>
      </c>
      <c r="BA261" s="52" t="str">
        <f t="shared" si="280"/>
        <v/>
      </c>
      <c r="BB261" s="73" t="str">
        <f>IF(AV261&amp;AW261="","",MAX(BB$12:BB260)+1)</f>
        <v/>
      </c>
      <c r="BC261" s="272" t="str">
        <f t="shared" si="281"/>
        <v/>
      </c>
      <c r="BD261" s="53" t="str">
        <f>IF(AND(AM261="NEMA",AN261="NEMA",OR(AV261&amp;AW261="",BC261="NEMA")),MAX(BD$12:BD260)+1,"")</f>
        <v/>
      </c>
      <c r="BE261" s="47" t="s">
        <v>0</v>
      </c>
      <c r="BF261" s="52" t="str">
        <f t="shared" si="321"/>
        <v/>
      </c>
      <c r="BG261" s="66" t="str">
        <f t="shared" si="322"/>
        <v/>
      </c>
      <c r="BH261" s="47" t="s">
        <v>0</v>
      </c>
      <c r="BI261" s="52" t="str">
        <f t="shared" si="282"/>
        <v/>
      </c>
      <c r="BJ261" s="31" t="str">
        <f t="shared" si="283"/>
        <v/>
      </c>
      <c r="BK261" s="73" t="str">
        <f t="shared" si="284"/>
        <v/>
      </c>
      <c r="BL261" s="31" t="str" cm="1">
        <f t="array" ref="BL261">IF(BK261="",""&amp;BJ261,IF(BK261="NEMA",BJ261,INDEX(regKlub_naziv,MATCH(INDEX(regKlub_alias_klubId,BK261),regKlub_id,0))))</f>
        <v/>
      </c>
      <c r="BM261" s="31" t="str" cm="1">
        <f t="array" ref="BM261">IFERROR(""&amp;INDEX(regNatjecatelj_klub,DV261),"")</f>
        <v/>
      </c>
      <c r="BN261" s="88" t="str">
        <f t="shared" si="323"/>
        <v/>
      </c>
      <c r="BO261" s="66" t="str">
        <f t="shared" si="324"/>
        <v/>
      </c>
      <c r="BP261" s="47" t="s">
        <v>0</v>
      </c>
      <c r="BQ261" s="52" t="str">
        <f>IF(X261&lt;&gt;"NEMA","",IF(IFERROR(MATCH(W261,W$12:W260,0),0)&lt;&gt;0,"",W261))</f>
        <v/>
      </c>
      <c r="BR261" s="73" t="str">
        <f t="shared" si="325"/>
        <v/>
      </c>
      <c r="BS261" s="31" t="str">
        <f>IF(OR(BR261="",BR261&lt;&gt;"NEMA"),"",MAX(BS$12:BS260)+1)</f>
        <v/>
      </c>
      <c r="BT261" s="66" t="str">
        <f t="shared" si="326"/>
        <v/>
      </c>
      <c r="BU261" s="47" t="s">
        <v>0</v>
      </c>
      <c r="BV261" s="19" t="str">
        <f t="shared" si="327"/>
        <v/>
      </c>
      <c r="BW261" s="47" t="s">
        <v>0</v>
      </c>
      <c r="BX261" s="82" t="str">
        <f>IF(BK261&lt;&gt;"NEMA","",IF(IFERROR(MATCH(BJ261,BJ$12:BJ260,0),0)&lt;&gt;0,"",BJ261))</f>
        <v/>
      </c>
      <c r="BY261" s="47" t="s">
        <v>0</v>
      </c>
      <c r="BZ261" s="125"/>
      <c r="CA261" s="47" t="s">
        <v>0</v>
      </c>
      <c r="CB261" s="58" t="str">
        <f t="shared" si="328"/>
        <v/>
      </c>
      <c r="CC261" s="31" t="str">
        <f t="shared" si="329"/>
        <v/>
      </c>
      <c r="CD261" s="31" t="str">
        <f>IF(CC261="","",MAX(CD$12:CD260)+1)</f>
        <v/>
      </c>
      <c r="CE261" s="31" t="str">
        <f t="shared" si="285"/>
        <v/>
      </c>
      <c r="CF261" s="31" t="str">
        <f t="shared" si="330"/>
        <v/>
      </c>
      <c r="CG261" s="31" t="str">
        <f>IF(BZ261="","",MAX(CG$12:CG260)+1)</f>
        <v/>
      </c>
      <c r="CH261" s="31" t="str">
        <f t="shared" si="331"/>
        <v/>
      </c>
      <c r="CI261" s="66" t="str">
        <f t="shared" si="332"/>
        <v/>
      </c>
      <c r="CJ261" s="47" t="s">
        <v>0</v>
      </c>
      <c r="CK261" s="73" t="str">
        <f t="shared" si="286"/>
        <v/>
      </c>
      <c r="CL261" s="47"/>
      <c r="CM261" s="19" t="str">
        <f t="shared" si="333"/>
        <v/>
      </c>
      <c r="CN261" s="47" t="s">
        <v>0</v>
      </c>
      <c r="CO261" s="143" t="str">
        <f t="shared" si="334"/>
        <v/>
      </c>
      <c r="CP261" s="47" t="s">
        <v>0</v>
      </c>
      <c r="CQ261" s="58" t="str">
        <f t="shared" si="350"/>
        <v/>
      </c>
      <c r="CR261" s="73" t="str">
        <f t="shared" si="351"/>
        <v>0</v>
      </c>
      <c r="CS261" s="229" t="str">
        <f t="shared" si="287"/>
        <v/>
      </c>
      <c r="CT261" s="230" t="str">
        <f t="shared" si="352"/>
        <v/>
      </c>
      <c r="CU261" s="163" t="str">
        <f t="shared" si="288"/>
        <v/>
      </c>
      <c r="CV261" s="47" t="s">
        <v>0</v>
      </c>
      <c r="CW261" s="222" t="str">
        <f t="shared" si="335"/>
        <v xml:space="preserve">
</v>
      </c>
      <c r="CX261" s="223" t="str">
        <f t="shared" si="336"/>
        <v/>
      </c>
      <c r="CY261" s="47" t="s">
        <v>0</v>
      </c>
      <c r="CZ261" s="47"/>
      <c r="DA261" s="47"/>
      <c r="DB261" s="47"/>
      <c r="DC261" s="47" t="s">
        <v>0</v>
      </c>
      <c r="DD261" s="53" t="str">
        <f t="shared" si="344"/>
        <v/>
      </c>
      <c r="DE261" t="s">
        <v>0</v>
      </c>
      <c r="DF261" s="128" t="str">
        <f t="shared" si="345"/>
        <v>Ž</v>
      </c>
      <c r="DG261" t="s">
        <v>0</v>
      </c>
      <c r="DH261" s="52" t="str">
        <f t="shared" si="346"/>
        <v/>
      </c>
      <c r="DI261" s="66" t="str">
        <f t="shared" si="347"/>
        <v/>
      </c>
      <c r="DJ261" t="s">
        <v>0</v>
      </c>
      <c r="DK261" s="19" t="str">
        <f t="shared" si="348"/>
        <v/>
      </c>
      <c r="DL261" s="47" t="s">
        <v>0</v>
      </c>
      <c r="DM261" s="19" t="str">
        <f t="shared" si="349"/>
        <v/>
      </c>
      <c r="DN261" s="47" t="s">
        <v>0</v>
      </c>
      <c r="DO261" s="52" t="str">
        <f t="shared" si="289"/>
        <v/>
      </c>
      <c r="DP261" s="53" t="str">
        <f t="shared" si="290"/>
        <v/>
      </c>
      <c r="DQ261" s="47" t="s">
        <v>0</v>
      </c>
      <c r="DR261" s="52" t="str">
        <f t="shared" si="291"/>
        <v/>
      </c>
      <c r="DS261" s="53" t="str">
        <f t="shared" si="292"/>
        <v/>
      </c>
      <c r="DT261" s="47" t="s">
        <v>0</v>
      </c>
      <c r="DU261" s="52" t="str">
        <f t="shared" si="293"/>
        <v/>
      </c>
      <c r="DV261" s="53" t="str">
        <f t="shared" si="294"/>
        <v/>
      </c>
      <c r="DW261" s="47" t="s">
        <v>0</v>
      </c>
      <c r="DX261" s="58" t="str">
        <f t="shared" si="337"/>
        <v/>
      </c>
      <c r="DY261" s="53" t="str" cm="1">
        <f t="array" ref="DY261">IF(DX261&lt;&gt;"",INDEX(regNatjecatelj_id,DX261,0),IF(BD261&lt;&gt;"",BD261,""))</f>
        <v/>
      </c>
      <c r="DZ261" s="47" t="s">
        <v>0</v>
      </c>
      <c r="EA261" s="58" t="str">
        <f t="shared" si="295"/>
        <v/>
      </c>
      <c r="EB261" s="73" t="str">
        <f t="shared" si="296"/>
        <v/>
      </c>
      <c r="EC261" s="73" t="str">
        <f t="shared" si="297"/>
        <v/>
      </c>
      <c r="ED261" s="73" t="str">
        <f t="shared" si="298"/>
        <v/>
      </c>
      <c r="EE261" s="66" t="str">
        <f t="shared" si="299"/>
        <v/>
      </c>
      <c r="EF261" s="47" t="s">
        <v>0</v>
      </c>
      <c r="EG261" s="58" t="str">
        <f>IF(AL261="","",MAX(EG$12:EG260)+1)</f>
        <v/>
      </c>
      <c r="EH261" s="73" t="str">
        <f t="shared" si="300"/>
        <v/>
      </c>
      <c r="EI261" s="73" t="str">
        <f t="shared" si="338"/>
        <v/>
      </c>
      <c r="EJ261" s="73" t="str">
        <f t="shared" si="301"/>
        <v/>
      </c>
      <c r="EK261" s="73" t="str">
        <f t="shared" si="302"/>
        <v/>
      </c>
      <c r="EL261" s="73" t="str">
        <f t="shared" si="339"/>
        <v/>
      </c>
      <c r="EM261" s="73" t="str">
        <f t="shared" si="340"/>
        <v/>
      </c>
      <c r="EN261" s="73" t="str">
        <f t="shared" si="303"/>
        <v/>
      </c>
      <c r="EO261" s="73" t="str">
        <f t="shared" si="304"/>
        <v/>
      </c>
      <c r="EP261" s="73" t="str">
        <f t="shared" si="305"/>
        <v/>
      </c>
      <c r="EQ261" s="53" t="str">
        <f t="shared" si="306"/>
        <v/>
      </c>
      <c r="ER261" s="47" t="s">
        <v>0</v>
      </c>
      <c r="ES261" s="19" t="str">
        <f t="shared" si="341"/>
        <v/>
      </c>
      <c r="ET261" s="47" t="s">
        <v>0</v>
      </c>
      <c r="EU261" s="19" t="str">
        <f t="shared" si="342"/>
        <v/>
      </c>
      <c r="EV261" s="47" t="s">
        <v>0</v>
      </c>
      <c r="EW261" s="180" t="str">
        <f t="shared" si="307"/>
        <v/>
      </c>
      <c r="EX261" s="47" t="s">
        <v>0</v>
      </c>
    </row>
    <row r="262" spans="1:154" x14ac:dyDescent="0.25">
      <c r="A262" t="s">
        <v>0</v>
      </c>
      <c r="B262" s="52" t="str">
        <f>IF(csv!F252="","",csv!T252)</f>
        <v>Ž21A</v>
      </c>
      <c r="C262" s="31" t="s">
        <v>0</v>
      </c>
      <c r="D262" s="31" t="str">
        <f>IF(csv!F252="","",csv!F252)</f>
        <v>Vacant</v>
      </c>
      <c r="E262" s="31" t="str">
        <f>IF(csv!E252="","",csv!E252)</f>
        <v/>
      </c>
      <c r="F262" s="31" t="s">
        <v>0</v>
      </c>
      <c r="G262" s="73" t="str">
        <f>IF(csv!M252="","",csv!M252)</f>
        <v/>
      </c>
      <c r="H262" s="73" t="str">
        <f>IF(csv!N252="","",csv!N252)</f>
        <v>0</v>
      </c>
      <c r="I262" s="31" t="s">
        <v>0</v>
      </c>
      <c r="J262" s="31" t="str">
        <f>IF(csv!P252="","",csv!P252)</f>
        <v/>
      </c>
      <c r="K262" s="31" t="str">
        <f>IF(csv!Q252="","",csv!Q252)</f>
        <v/>
      </c>
      <c r="L262" s="31" t="s">
        <v>0</v>
      </c>
      <c r="M262" s="66" t="str">
        <f>IF(csv!R252="","",csv!R252)</f>
        <v/>
      </c>
      <c r="N262" s="47" t="s">
        <v>0</v>
      </c>
      <c r="O262" s="246" t="str">
        <f t="shared" si="308"/>
        <v/>
      </c>
      <c r="P262" s="47"/>
      <c r="Q262" s="52" t="str">
        <f t="shared" si="309"/>
        <v>Ž21A</v>
      </c>
      <c r="R262" s="73">
        <f>IF(Q262="","",IF(COUNTIF(Q$12:Q261,Q262)=0,R261+1,R261))</f>
        <v>17</v>
      </c>
      <c r="S262" s="73">
        <f t="shared" si="310"/>
        <v>102</v>
      </c>
      <c r="T262" s="73">
        <f t="shared" si="273"/>
        <v>14</v>
      </c>
      <c r="U262" s="66" t="str">
        <f t="shared" si="274"/>
        <v>Ž21A</v>
      </c>
      <c r="V262" s="47" t="s">
        <v>0</v>
      </c>
      <c r="W262" s="222" t="str">
        <f t="shared" si="275"/>
        <v/>
      </c>
      <c r="X262" s="223" t="str">
        <f t="shared" si="276"/>
        <v/>
      </c>
      <c r="Y262" s="47" t="s">
        <v>0</v>
      </c>
      <c r="Z262" s="52" t="str">
        <f t="shared" si="311"/>
        <v/>
      </c>
      <c r="AA262" s="73" t="str">
        <f t="shared" si="277"/>
        <v/>
      </c>
      <c r="AB262" s="31" t="str">
        <f t="shared" si="312"/>
        <v/>
      </c>
      <c r="AC262" s="66" t="str">
        <f>IF(AB262="","",MAX(AC$12:AC261)+1)</f>
        <v/>
      </c>
      <c r="AD262" s="47" t="s">
        <v>0</v>
      </c>
      <c r="AE262" s="125"/>
      <c r="AF262" s="47" t="s">
        <v>0</v>
      </c>
      <c r="AG262" s="19" t="str">
        <f t="shared" si="313"/>
        <v/>
      </c>
      <c r="AH262" s="47" t="s">
        <v>0</v>
      </c>
      <c r="AI262" s="143" t="str">
        <f t="shared" si="314"/>
        <v/>
      </c>
      <c r="AJ262" s="47"/>
      <c r="AK262" s="52" t="str">
        <f t="shared" si="315"/>
        <v/>
      </c>
      <c r="AL262" s="31" t="str">
        <f t="shared" si="316"/>
        <v/>
      </c>
      <c r="AM262" s="73" t="str">
        <f t="shared" si="317"/>
        <v/>
      </c>
      <c r="AN262" s="73" t="str">
        <f t="shared" si="318"/>
        <v/>
      </c>
      <c r="AO262" s="31" t="str">
        <f t="shared" si="278"/>
        <v/>
      </c>
      <c r="AP262" s="66" t="str">
        <f t="shared" si="279"/>
        <v/>
      </c>
      <c r="AQ262" s="47" t="s">
        <v>0</v>
      </c>
      <c r="AR262" s="82" t="str">
        <f t="shared" si="319"/>
        <v/>
      </c>
      <c r="AS262" s="47" t="s">
        <v>0</v>
      </c>
      <c r="AT262" s="19" t="str">
        <f t="shared" si="320"/>
        <v/>
      </c>
      <c r="AU262" s="47" t="s">
        <v>0</v>
      </c>
      <c r="AV262" s="103"/>
      <c r="AW262" s="105"/>
      <c r="AX262" s="47" t="s">
        <v>0</v>
      </c>
      <c r="AY262" s="259" t="str">
        <f t="shared" si="343"/>
        <v/>
      </c>
      <c r="AZ262" s="47" t="s">
        <v>0</v>
      </c>
      <c r="BA262" s="52" t="str">
        <f t="shared" si="280"/>
        <v/>
      </c>
      <c r="BB262" s="73" t="str">
        <f>IF(AV262&amp;AW262="","",MAX(BB$12:BB261)+1)</f>
        <v/>
      </c>
      <c r="BC262" s="272" t="str">
        <f t="shared" si="281"/>
        <v/>
      </c>
      <c r="BD262" s="53" t="str">
        <f>IF(AND(AM262="NEMA",AN262="NEMA",OR(AV262&amp;AW262="",BC262="NEMA")),MAX(BD$12:BD261)+1,"")</f>
        <v/>
      </c>
      <c r="BE262" s="47" t="s">
        <v>0</v>
      </c>
      <c r="BF262" s="52" t="str">
        <f t="shared" si="321"/>
        <v/>
      </c>
      <c r="BG262" s="66" t="str">
        <f t="shared" si="322"/>
        <v/>
      </c>
      <c r="BH262" s="47" t="s">
        <v>0</v>
      </c>
      <c r="BI262" s="52" t="str">
        <f t="shared" si="282"/>
        <v/>
      </c>
      <c r="BJ262" s="31" t="str">
        <f t="shared" si="283"/>
        <v/>
      </c>
      <c r="BK262" s="73" t="str">
        <f t="shared" si="284"/>
        <v/>
      </c>
      <c r="BL262" s="31" t="str" cm="1">
        <f t="array" ref="BL262">IF(BK262="",""&amp;BJ262,IF(BK262="NEMA",BJ262,INDEX(regKlub_naziv,MATCH(INDEX(regKlub_alias_klubId,BK262),regKlub_id,0))))</f>
        <v/>
      </c>
      <c r="BM262" s="31" t="str" cm="1">
        <f t="array" ref="BM262">IFERROR(""&amp;INDEX(regNatjecatelj_klub,DV262),"")</f>
        <v/>
      </c>
      <c r="BN262" s="88" t="str">
        <f t="shared" si="323"/>
        <v/>
      </c>
      <c r="BO262" s="66" t="str">
        <f t="shared" si="324"/>
        <v/>
      </c>
      <c r="BP262" s="47" t="s">
        <v>0</v>
      </c>
      <c r="BQ262" s="52" t="str">
        <f>IF(X262&lt;&gt;"NEMA","",IF(IFERROR(MATCH(W262,W$12:W261,0),0)&lt;&gt;0,"",W262))</f>
        <v/>
      </c>
      <c r="BR262" s="73" t="str">
        <f t="shared" si="325"/>
        <v/>
      </c>
      <c r="BS262" s="31" t="str">
        <f>IF(OR(BR262="",BR262&lt;&gt;"NEMA"),"",MAX(BS$12:BS261)+1)</f>
        <v/>
      </c>
      <c r="BT262" s="66" t="str">
        <f t="shared" si="326"/>
        <v/>
      </c>
      <c r="BU262" s="47" t="s">
        <v>0</v>
      </c>
      <c r="BV262" s="19" t="str">
        <f t="shared" si="327"/>
        <v/>
      </c>
      <c r="BW262" s="47" t="s">
        <v>0</v>
      </c>
      <c r="BX262" s="82" t="str">
        <f>IF(BK262&lt;&gt;"NEMA","",IF(IFERROR(MATCH(BJ262,BJ$12:BJ261,0),0)&lt;&gt;0,"",BJ262))</f>
        <v/>
      </c>
      <c r="BY262" s="47" t="s">
        <v>0</v>
      </c>
      <c r="BZ262" s="125"/>
      <c r="CA262" s="47" t="s">
        <v>0</v>
      </c>
      <c r="CB262" s="58" t="str">
        <f t="shared" si="328"/>
        <v/>
      </c>
      <c r="CC262" s="31" t="str">
        <f t="shared" si="329"/>
        <v/>
      </c>
      <c r="CD262" s="31" t="str">
        <f>IF(CC262="","",MAX(CD$12:CD261)+1)</f>
        <v/>
      </c>
      <c r="CE262" s="31" t="str">
        <f t="shared" si="285"/>
        <v/>
      </c>
      <c r="CF262" s="31" t="str">
        <f t="shared" si="330"/>
        <v/>
      </c>
      <c r="CG262" s="31" t="str">
        <f>IF(BZ262="","",MAX(CG$12:CG261)+1)</f>
        <v/>
      </c>
      <c r="CH262" s="31" t="str">
        <f t="shared" si="331"/>
        <v/>
      </c>
      <c r="CI262" s="66" t="str">
        <f t="shared" si="332"/>
        <v/>
      </c>
      <c r="CJ262" s="47" t="s">
        <v>0</v>
      </c>
      <c r="CK262" s="73" t="str">
        <f t="shared" si="286"/>
        <v/>
      </c>
      <c r="CL262" s="47"/>
      <c r="CM262" s="19" t="str">
        <f t="shared" si="333"/>
        <v/>
      </c>
      <c r="CN262" s="47" t="s">
        <v>0</v>
      </c>
      <c r="CO262" s="143" t="str">
        <f t="shared" si="334"/>
        <v/>
      </c>
      <c r="CP262" s="47" t="s">
        <v>0</v>
      </c>
      <c r="CQ262" s="58" t="str">
        <f t="shared" si="350"/>
        <v/>
      </c>
      <c r="CR262" s="73" t="str">
        <f t="shared" si="351"/>
        <v>0</v>
      </c>
      <c r="CS262" s="229" t="str">
        <f t="shared" si="287"/>
        <v/>
      </c>
      <c r="CT262" s="230" t="str">
        <f t="shared" si="352"/>
        <v/>
      </c>
      <c r="CU262" s="163" t="str">
        <f t="shared" si="288"/>
        <v/>
      </c>
      <c r="CV262" s="47" t="s">
        <v>0</v>
      </c>
      <c r="CW262" s="222" t="str">
        <f t="shared" si="335"/>
        <v xml:space="preserve">
</v>
      </c>
      <c r="CX262" s="223" t="str">
        <f t="shared" si="336"/>
        <v/>
      </c>
      <c r="CY262" s="47" t="s">
        <v>0</v>
      </c>
      <c r="CZ262" s="47"/>
      <c r="DA262" s="47"/>
      <c r="DB262" s="47"/>
      <c r="DC262" s="47" t="s">
        <v>0</v>
      </c>
      <c r="DD262" s="53" t="str">
        <f t="shared" si="344"/>
        <v/>
      </c>
      <c r="DE262" t="s">
        <v>0</v>
      </c>
      <c r="DF262" s="128" t="str">
        <f t="shared" si="345"/>
        <v>Ž</v>
      </c>
      <c r="DG262" t="s">
        <v>0</v>
      </c>
      <c r="DH262" s="52" t="str">
        <f t="shared" si="346"/>
        <v/>
      </c>
      <c r="DI262" s="66" t="str">
        <f t="shared" si="347"/>
        <v/>
      </c>
      <c r="DJ262" t="s">
        <v>0</v>
      </c>
      <c r="DK262" s="19" t="str">
        <f t="shared" si="348"/>
        <v/>
      </c>
      <c r="DL262" s="47" t="s">
        <v>0</v>
      </c>
      <c r="DM262" s="19" t="str">
        <f t="shared" si="349"/>
        <v/>
      </c>
      <c r="DN262" s="47" t="s">
        <v>0</v>
      </c>
      <c r="DO262" s="52" t="str">
        <f t="shared" si="289"/>
        <v/>
      </c>
      <c r="DP262" s="53" t="str">
        <f t="shared" si="290"/>
        <v/>
      </c>
      <c r="DQ262" s="47" t="s">
        <v>0</v>
      </c>
      <c r="DR262" s="52" t="str">
        <f t="shared" si="291"/>
        <v/>
      </c>
      <c r="DS262" s="53" t="str">
        <f t="shared" si="292"/>
        <v/>
      </c>
      <c r="DT262" s="47" t="s">
        <v>0</v>
      </c>
      <c r="DU262" s="52" t="str">
        <f t="shared" si="293"/>
        <v/>
      </c>
      <c r="DV262" s="53" t="str">
        <f t="shared" si="294"/>
        <v/>
      </c>
      <c r="DW262" s="47" t="s">
        <v>0</v>
      </c>
      <c r="DX262" s="58" t="str">
        <f t="shared" si="337"/>
        <v/>
      </c>
      <c r="DY262" s="53" t="str" cm="1">
        <f t="array" ref="DY262">IF(DX262&lt;&gt;"",INDEX(regNatjecatelj_id,DX262,0),IF(BD262&lt;&gt;"",BD262,""))</f>
        <v/>
      </c>
      <c r="DZ262" s="47" t="s">
        <v>0</v>
      </c>
      <c r="EA262" s="58" t="str">
        <f t="shared" si="295"/>
        <v/>
      </c>
      <c r="EB262" s="73" t="str">
        <f t="shared" si="296"/>
        <v/>
      </c>
      <c r="EC262" s="73" t="str">
        <f t="shared" si="297"/>
        <v/>
      </c>
      <c r="ED262" s="73" t="str">
        <f t="shared" si="298"/>
        <v/>
      </c>
      <c r="EE262" s="66" t="str">
        <f t="shared" si="299"/>
        <v/>
      </c>
      <c r="EF262" s="47" t="s">
        <v>0</v>
      </c>
      <c r="EG262" s="58" t="str">
        <f>IF(AL262="","",MAX(EG$12:EG261)+1)</f>
        <v/>
      </c>
      <c r="EH262" s="73" t="str">
        <f t="shared" si="300"/>
        <v/>
      </c>
      <c r="EI262" s="73" t="str">
        <f t="shared" si="338"/>
        <v/>
      </c>
      <c r="EJ262" s="73" t="str">
        <f t="shared" si="301"/>
        <v/>
      </c>
      <c r="EK262" s="73" t="str">
        <f t="shared" si="302"/>
        <v/>
      </c>
      <c r="EL262" s="73" t="str">
        <f t="shared" si="339"/>
        <v/>
      </c>
      <c r="EM262" s="73" t="str">
        <f t="shared" si="340"/>
        <v/>
      </c>
      <c r="EN262" s="73" t="str">
        <f t="shared" si="303"/>
        <v/>
      </c>
      <c r="EO262" s="73" t="str">
        <f t="shared" si="304"/>
        <v/>
      </c>
      <c r="EP262" s="73" t="str">
        <f t="shared" si="305"/>
        <v/>
      </c>
      <c r="EQ262" s="53" t="str">
        <f t="shared" si="306"/>
        <v/>
      </c>
      <c r="ER262" s="47" t="s">
        <v>0</v>
      </c>
      <c r="ES262" s="19" t="str">
        <f t="shared" si="341"/>
        <v/>
      </c>
      <c r="ET262" s="47" t="s">
        <v>0</v>
      </c>
      <c r="EU262" s="19" t="str">
        <f t="shared" si="342"/>
        <v/>
      </c>
      <c r="EV262" s="47" t="s">
        <v>0</v>
      </c>
      <c r="EW262" s="180" t="str">
        <f t="shared" si="307"/>
        <v/>
      </c>
      <c r="EX262" s="47" t="s">
        <v>0</v>
      </c>
    </row>
    <row r="263" spans="1:154" x14ac:dyDescent="0.25">
      <c r="A263" t="s">
        <v>0</v>
      </c>
      <c r="B263" s="52" t="str">
        <f>IF(csv!F253="","",csv!T253)</f>
        <v>Ž21A</v>
      </c>
      <c r="C263" s="31" t="s">
        <v>0</v>
      </c>
      <c r="D263" s="31" t="str">
        <f>IF(csv!F253="","",csv!F253)</f>
        <v>Nevija</v>
      </c>
      <c r="E263" s="31" t="str">
        <f>IF(csv!E253="","",csv!E253)</f>
        <v>Frajzman</v>
      </c>
      <c r="F263" s="31" t="s">
        <v>0</v>
      </c>
      <c r="G263" s="73" t="str">
        <f>IF(csv!M253="","",csv!M253)</f>
        <v/>
      </c>
      <c r="H263" s="73" t="str">
        <f>IF(csv!N253="","",csv!N253)</f>
        <v>1</v>
      </c>
      <c r="I263" s="31" t="s">
        <v>0</v>
      </c>
      <c r="J263" s="31" t="str">
        <f>IF(csv!P253="","",csv!P253)</f>
        <v>OK Jelen</v>
      </c>
      <c r="K263" s="31" t="str">
        <f>IF(csv!Q253="","",csv!Q253)</f>
        <v>OK Jelen</v>
      </c>
      <c r="L263" s="31" t="s">
        <v>0</v>
      </c>
      <c r="M263" s="66" t="str">
        <f>IF(csv!R253="","",csv!R253)</f>
        <v>CRO</v>
      </c>
      <c r="N263" s="47" t="s">
        <v>0</v>
      </c>
      <c r="O263" s="246" t="str">
        <f t="shared" si="308"/>
        <v>ok</v>
      </c>
      <c r="P263" s="47"/>
      <c r="Q263" s="52" t="str">
        <f t="shared" si="309"/>
        <v>Ž21A</v>
      </c>
      <c r="R263" s="73">
        <f>IF(Q263="","",IF(COUNTIF(Q$12:Q262,Q263)=0,R262+1,R262))</f>
        <v>17</v>
      </c>
      <c r="S263" s="73">
        <f t="shared" si="310"/>
        <v>102</v>
      </c>
      <c r="T263" s="73">
        <f t="shared" si="273"/>
        <v>14</v>
      </c>
      <c r="U263" s="66" t="str">
        <f t="shared" si="274"/>
        <v>Ž21A</v>
      </c>
      <c r="V263" s="47" t="s">
        <v>0</v>
      </c>
      <c r="W263" s="222" t="str">
        <f t="shared" si="275"/>
        <v>Ž21A</v>
      </c>
      <c r="X263" s="223">
        <f t="shared" si="276"/>
        <v>39</v>
      </c>
      <c r="Y263" s="47" t="s">
        <v>0</v>
      </c>
      <c r="Z263" s="52" t="str">
        <f t="shared" si="311"/>
        <v>CRO</v>
      </c>
      <c r="AA263" s="73">
        <f t="shared" si="277"/>
        <v>1</v>
      </c>
      <c r="AB263" s="31" t="str">
        <f t="shared" si="312"/>
        <v/>
      </c>
      <c r="AC263" s="66" t="str">
        <f>IF(AB263="","",MAX(AC$12:AC262)+1)</f>
        <v/>
      </c>
      <c r="AD263" s="47" t="s">
        <v>0</v>
      </c>
      <c r="AE263" s="125"/>
      <c r="AF263" s="47" t="s">
        <v>0</v>
      </c>
      <c r="AG263" s="19" t="str">
        <f t="shared" si="313"/>
        <v/>
      </c>
      <c r="AH263" s="47" t="s">
        <v>0</v>
      </c>
      <c r="AI263" s="143" t="str">
        <f t="shared" si="314"/>
        <v>CRO</v>
      </c>
      <c r="AJ263" s="47"/>
      <c r="AK263" s="52" t="str">
        <f t="shared" si="315"/>
        <v>Nevija</v>
      </c>
      <c r="AL263" s="31" t="str">
        <f t="shared" si="316"/>
        <v>Frajzman</v>
      </c>
      <c r="AM263" s="73">
        <f t="shared" si="317"/>
        <v>1181</v>
      </c>
      <c r="AN263" s="73" t="str">
        <f t="shared" si="318"/>
        <v/>
      </c>
      <c r="AO263" s="31" t="str">
        <f t="shared" si="278"/>
        <v>Nevija</v>
      </c>
      <c r="AP263" s="66" t="str">
        <f t="shared" si="279"/>
        <v>Frajzman</v>
      </c>
      <c r="AQ263" s="47" t="s">
        <v>0</v>
      </c>
      <c r="AR263" s="82" t="str">
        <f t="shared" si="319"/>
        <v/>
      </c>
      <c r="AS263" s="47" t="s">
        <v>0</v>
      </c>
      <c r="AT263" s="19" t="str">
        <f t="shared" si="320"/>
        <v/>
      </c>
      <c r="AU263" s="47" t="s">
        <v>0</v>
      </c>
      <c r="AV263" s="103"/>
      <c r="AW263" s="105"/>
      <c r="AX263" s="47" t="s">
        <v>0</v>
      </c>
      <c r="AY263" s="259" t="str">
        <f t="shared" si="343"/>
        <v/>
      </c>
      <c r="AZ263" s="47" t="s">
        <v>0</v>
      </c>
      <c r="BA263" s="52" t="str">
        <f t="shared" si="280"/>
        <v/>
      </c>
      <c r="BB263" s="73" t="str">
        <f>IF(AV263&amp;AW263="","",MAX(BB$12:BB262)+1)</f>
        <v/>
      </c>
      <c r="BC263" s="272" t="str">
        <f t="shared" si="281"/>
        <v/>
      </c>
      <c r="BD263" s="53" t="str">
        <f>IF(AND(AM263="NEMA",AN263="NEMA",OR(AV263&amp;AW263="",BC263="NEMA")),MAX(BD$12:BD262)+1,"")</f>
        <v/>
      </c>
      <c r="BE263" s="47" t="s">
        <v>0</v>
      </c>
      <c r="BF263" s="52" t="str">
        <f t="shared" si="321"/>
        <v>Nevija</v>
      </c>
      <c r="BG263" s="66" t="str">
        <f t="shared" si="322"/>
        <v>Frajzman</v>
      </c>
      <c r="BH263" s="47" t="s">
        <v>0</v>
      </c>
      <c r="BI263" s="52" t="str">
        <f t="shared" si="282"/>
        <v>OK Jelen</v>
      </c>
      <c r="BJ263" s="31" t="str">
        <f t="shared" si="283"/>
        <v>OK Jelen</v>
      </c>
      <c r="BK263" s="73" t="str">
        <f t="shared" si="284"/>
        <v/>
      </c>
      <c r="BL263" s="31" t="str" cm="1">
        <f t="array" ref="BL263">IF(BK263="",""&amp;BJ263,IF(BK263="NEMA",BJ263,INDEX(regKlub_naziv,MATCH(INDEX(regKlub_alias_klubId,BK263),regKlub_id,0))))</f>
        <v>OK Jelen</v>
      </c>
      <c r="BM263" s="31" t="str" cm="1">
        <f t="array" ref="BM263">IFERROR(""&amp;INDEX(regNatjecatelj_klub,DV263),"")</f>
        <v>OK Jelen</v>
      </c>
      <c r="BN263" s="88" t="str">
        <f t="shared" si="323"/>
        <v/>
      </c>
      <c r="BO263" s="66" t="str">
        <f t="shared" si="324"/>
        <v>OK Jelen</v>
      </c>
      <c r="BP263" s="47" t="s">
        <v>0</v>
      </c>
      <c r="BQ263" s="52" t="str">
        <f>IF(X263&lt;&gt;"NEMA","",IF(IFERROR(MATCH(W263,W$12:W262,0),0)&lt;&gt;0,"",W263))</f>
        <v/>
      </c>
      <c r="BR263" s="73" t="str">
        <f t="shared" si="325"/>
        <v/>
      </c>
      <c r="BS263" s="31" t="str">
        <f>IF(OR(BR263="",BR263&lt;&gt;"NEMA"),"",MAX(BS$12:BS262)+1)</f>
        <v/>
      </c>
      <c r="BT263" s="66" t="str">
        <f t="shared" si="326"/>
        <v/>
      </c>
      <c r="BU263" s="47" t="s">
        <v>0</v>
      </c>
      <c r="BV263" s="19" t="str">
        <f t="shared" si="327"/>
        <v/>
      </c>
      <c r="BW263" s="47" t="s">
        <v>0</v>
      </c>
      <c r="BX263" s="82" t="str">
        <f>IF(BK263&lt;&gt;"NEMA","",IF(IFERROR(MATCH(BJ263,BJ$12:BJ262,0),0)&lt;&gt;0,"",BJ263))</f>
        <v/>
      </c>
      <c r="BY263" s="47" t="s">
        <v>0</v>
      </c>
      <c r="BZ263" s="125"/>
      <c r="CA263" s="47" t="s">
        <v>0</v>
      </c>
      <c r="CB263" s="58" t="str">
        <f t="shared" si="328"/>
        <v/>
      </c>
      <c r="CC263" s="31" t="str">
        <f t="shared" si="329"/>
        <v/>
      </c>
      <c r="CD263" s="31" t="str">
        <f>IF(CC263="","",MAX(CD$12:CD262)+1)</f>
        <v/>
      </c>
      <c r="CE263" s="31" t="str">
        <f t="shared" si="285"/>
        <v/>
      </c>
      <c r="CF263" s="31" t="str">
        <f t="shared" si="330"/>
        <v/>
      </c>
      <c r="CG263" s="31" t="str">
        <f>IF(BZ263="","",MAX(CG$12:CG262)+1)</f>
        <v/>
      </c>
      <c r="CH263" s="31" t="str">
        <f t="shared" si="331"/>
        <v/>
      </c>
      <c r="CI263" s="66" t="str">
        <f t="shared" si="332"/>
        <v/>
      </c>
      <c r="CJ263" s="47" t="s">
        <v>0</v>
      </c>
      <c r="CK263" s="73" t="str">
        <f t="shared" si="286"/>
        <v/>
      </c>
      <c r="CL263" s="47"/>
      <c r="CM263" s="19" t="str">
        <f t="shared" si="333"/>
        <v/>
      </c>
      <c r="CN263" s="47" t="s">
        <v>0</v>
      </c>
      <c r="CO263" s="143" t="str">
        <f t="shared" si="334"/>
        <v>OK Jelen</v>
      </c>
      <c r="CP263" s="47" t="s">
        <v>0</v>
      </c>
      <c r="CQ263" s="58" t="str">
        <f t="shared" si="350"/>
        <v/>
      </c>
      <c r="CR263" s="73" t="str">
        <f t="shared" si="351"/>
        <v>1</v>
      </c>
      <c r="CS263" s="229" t="str">
        <f t="shared" si="287"/>
        <v/>
      </c>
      <c r="CT263" s="230" t="str">
        <f t="shared" si="352"/>
        <v/>
      </c>
      <c r="CU263" s="163">
        <f t="shared" si="288"/>
        <v>6</v>
      </c>
      <c r="CV263" s="47" t="s">
        <v>0</v>
      </c>
      <c r="CW263" s="222" t="str">
        <f t="shared" si="335"/>
        <v xml:space="preserve">
</v>
      </c>
      <c r="CX263" s="223" t="e">
        <f t="shared" si="336"/>
        <v>#N/A</v>
      </c>
      <c r="CY263" s="47" t="s">
        <v>0</v>
      </c>
      <c r="CZ263" s="47"/>
      <c r="DA263" s="47"/>
      <c r="DB263" s="47"/>
      <c r="DC263" s="47" t="s">
        <v>0</v>
      </c>
      <c r="DD263" s="53" t="str">
        <f t="shared" si="344"/>
        <v/>
      </c>
      <c r="DE263" t="s">
        <v>0</v>
      </c>
      <c r="DF263" s="128" t="str">
        <f t="shared" si="345"/>
        <v>Ž</v>
      </c>
      <c r="DG263" t="s">
        <v>0</v>
      </c>
      <c r="DH263" s="52" t="str">
        <f t="shared" si="346"/>
        <v/>
      </c>
      <c r="DI263" s="66" t="str">
        <f t="shared" si="347"/>
        <v/>
      </c>
      <c r="DJ263" t="s">
        <v>0</v>
      </c>
      <c r="DK263" s="19" t="str">
        <f t="shared" si="348"/>
        <v/>
      </c>
      <c r="DL263" s="47" t="s">
        <v>0</v>
      </c>
      <c r="DM263" s="19" t="str">
        <f t="shared" si="349"/>
        <v/>
      </c>
      <c r="DN263" s="47" t="s">
        <v>0</v>
      </c>
      <c r="DO263" s="52" t="str">
        <f t="shared" si="289"/>
        <v>Nevija – Frajzman – OK Jelen – Ž21A</v>
      </c>
      <c r="DP263" s="53">
        <f t="shared" si="290"/>
        <v>162</v>
      </c>
      <c r="DQ263" s="47" t="s">
        <v>0</v>
      </c>
      <c r="DR263" s="52" t="str">
        <f t="shared" si="291"/>
        <v>Nevija – Frajzman – OK Jelen</v>
      </c>
      <c r="DS263" s="53">
        <f t="shared" si="292"/>
        <v>162</v>
      </c>
      <c r="DT263" s="47" t="s">
        <v>0</v>
      </c>
      <c r="DU263" s="52" t="str">
        <f t="shared" si="293"/>
        <v>Nevija – Frajzman</v>
      </c>
      <c r="DV263" s="53">
        <f t="shared" si="294"/>
        <v>162</v>
      </c>
      <c r="DW263" s="47" t="s">
        <v>0</v>
      </c>
      <c r="DX263" s="58">
        <f t="shared" si="337"/>
        <v>162</v>
      </c>
      <c r="DY263" s="53" cm="1">
        <f t="array" ref="DY263">IF(DX263&lt;&gt;"",INDEX(regNatjecatelj_id,DX263,0),IF(BD263&lt;&gt;"",BD263,""))</f>
        <v>1181</v>
      </c>
      <c r="DZ263" s="47" t="s">
        <v>0</v>
      </c>
      <c r="EA263" s="58" t="str">
        <f t="shared" si="295"/>
        <v>imepre</v>
      </c>
      <c r="EB263" s="73" t="str">
        <f t="shared" si="296"/>
        <v>klu</v>
      </c>
      <c r="EC263" s="73" t="str">
        <f t="shared" si="297"/>
        <v>kat</v>
      </c>
      <c r="ED263" s="73" t="str">
        <f t="shared" si="298"/>
        <v/>
      </c>
      <c r="EE263" s="66" t="str">
        <f t="shared" si="299"/>
        <v>imepre-klu-kat</v>
      </c>
      <c r="EF263" s="47" t="s">
        <v>0</v>
      </c>
      <c r="EG263" s="58">
        <f>IF(AL263="","",MAX(EG$12:EG262)+1)</f>
        <v>414</v>
      </c>
      <c r="EH263" s="73">
        <f t="shared" si="300"/>
        <v>39</v>
      </c>
      <c r="EI263" s="73">
        <f t="shared" si="338"/>
        <v>1181</v>
      </c>
      <c r="EJ263" s="73" t="str">
        <f t="shared" si="301"/>
        <v/>
      </c>
      <c r="EK263" s="73">
        <f t="shared" si="302"/>
        <v>6</v>
      </c>
      <c r="EL263" s="73">
        <f t="shared" si="339"/>
        <v>1</v>
      </c>
      <c r="EM263" s="73">
        <f t="shared" si="340"/>
        <v>1</v>
      </c>
      <c r="EN263" s="73" t="str">
        <f t="shared" si="303"/>
        <v>1</v>
      </c>
      <c r="EO263" s="73" t="str">
        <f t="shared" si="304"/>
        <v/>
      </c>
      <c r="EP263" s="73" t="str">
        <f t="shared" si="305"/>
        <v/>
      </c>
      <c r="EQ263" s="53" t="str">
        <f t="shared" si="306"/>
        <v/>
      </c>
      <c r="ER263" s="47" t="s">
        <v>0</v>
      </c>
      <c r="ES263" s="19" t="str">
        <f t="shared" si="341"/>
        <v>INSERT INTO rezultat(id,stazakategorija_id,imeprezime_id,vrijeme_sec,status_id,registracija,uparivanje_id,originalstatus_id,imeprezimealias_id,klubalias_id,kategorijaalias_id) VALUES (414,39,1181,Null,6,1,1,1,Null,Null,Null);</v>
      </c>
      <c r="ET263" s="47" t="s">
        <v>0</v>
      </c>
      <c r="EU263" s="19" t="str">
        <f t="shared" si="342"/>
        <v>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3" s="47" t="s">
        <v>0</v>
      </c>
      <c r="EW263" s="180" t="str">
        <f t="shared" si="307"/>
        <v xml:space="preserve">
INSERT INTO rezultat(id,stazakategorija_id,imeprezime_id,vrijeme_sec,status_id,registracija,uparivanje_id,originalstatus_id,imeprezimealias_id,klubalias_id,kategorijaalias_id) VALUES (414,39,1181,Null,6,1,1,1,Null,Null,Null);
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3" s="47" t="s">
        <v>0</v>
      </c>
    </row>
    <row r="264" spans="1:154" x14ac:dyDescent="0.25">
      <c r="A264" t="s">
        <v>0</v>
      </c>
      <c r="B264" s="52" t="str">
        <f>IF(csv!F254="","",csv!T254)</f>
        <v>Ž21B</v>
      </c>
      <c r="C264" s="31" t="s">
        <v>0</v>
      </c>
      <c r="D264" s="31" t="str">
        <f>IF(csv!F254="","",csv!F254)</f>
        <v>Petra</v>
      </c>
      <c r="E264" s="31" t="str">
        <f>IF(csv!E254="","",csv!E254)</f>
        <v>Plevnik</v>
      </c>
      <c r="F264" s="31" t="s">
        <v>0</v>
      </c>
      <c r="G264" s="73" t="str">
        <f>IF(csv!M254="","",csv!M254)</f>
        <v>48:40</v>
      </c>
      <c r="H264" s="73" t="str">
        <f>IF(csv!N254="","",csv!N254)</f>
        <v>0</v>
      </c>
      <c r="I264" s="31" t="s">
        <v>0</v>
      </c>
      <c r="J264" s="31" t="str">
        <f>IF(csv!P254="","",csv!P254)</f>
        <v>BJE</v>
      </c>
      <c r="K264" s="31" t="str">
        <f>IF(csv!Q254="","",csv!Q254)</f>
        <v>OK Bjelovar</v>
      </c>
      <c r="L264" s="31" t="s">
        <v>0</v>
      </c>
      <c r="M264" s="66" t="str">
        <f>IF(csv!R254="","",csv!R254)</f>
        <v>CRO</v>
      </c>
      <c r="N264" s="47" t="s">
        <v>0</v>
      </c>
      <c r="O264" s="246" t="str">
        <f t="shared" si="308"/>
        <v>ok</v>
      </c>
      <c r="P264" s="47"/>
      <c r="Q264" s="52" t="str">
        <f t="shared" si="309"/>
        <v>Ž21B</v>
      </c>
      <c r="R264" s="73">
        <f>IF(Q264="","",IF(COUNTIF(Q$12:Q263,Q264)=0,R263+1,R263))</f>
        <v>18</v>
      </c>
      <c r="S264" s="73">
        <f t="shared" si="310"/>
        <v>118</v>
      </c>
      <c r="T264" s="73">
        <f t="shared" si="273"/>
        <v>27</v>
      </c>
      <c r="U264" s="66" t="str">
        <f t="shared" si="274"/>
        <v>Ž21B – Ž16</v>
      </c>
      <c r="V264" s="47" t="s">
        <v>0</v>
      </c>
      <c r="W264" s="222" t="str">
        <f t="shared" si="275"/>
        <v>Ž21B</v>
      </c>
      <c r="X264" s="223">
        <f t="shared" si="276"/>
        <v>40</v>
      </c>
      <c r="Y264" s="47" t="s">
        <v>0</v>
      </c>
      <c r="Z264" s="52" t="str">
        <f t="shared" si="311"/>
        <v>CRO</v>
      </c>
      <c r="AA264" s="73">
        <f t="shared" si="277"/>
        <v>1</v>
      </c>
      <c r="AB264" s="31" t="str">
        <f t="shared" si="312"/>
        <v/>
      </c>
      <c r="AC264" s="66" t="str">
        <f>IF(AB264="","",MAX(AC$12:AC263)+1)</f>
        <v/>
      </c>
      <c r="AD264" s="47" t="s">
        <v>0</v>
      </c>
      <c r="AE264" s="125"/>
      <c r="AF264" s="47" t="s">
        <v>0</v>
      </c>
      <c r="AG264" s="19" t="str">
        <f t="shared" si="313"/>
        <v/>
      </c>
      <c r="AH264" s="47" t="s">
        <v>0</v>
      </c>
      <c r="AI264" s="143" t="str">
        <f t="shared" si="314"/>
        <v>CRO</v>
      </c>
      <c r="AJ264" s="47"/>
      <c r="AK264" s="52" t="str">
        <f t="shared" si="315"/>
        <v>Petra</v>
      </c>
      <c r="AL264" s="31" t="str">
        <f t="shared" si="316"/>
        <v>Plevnik</v>
      </c>
      <c r="AM264" s="73">
        <f t="shared" si="317"/>
        <v>1140</v>
      </c>
      <c r="AN264" s="73" t="str">
        <f t="shared" si="318"/>
        <v/>
      </c>
      <c r="AO264" s="31" t="str">
        <f t="shared" si="278"/>
        <v>Petra</v>
      </c>
      <c r="AP264" s="66" t="str">
        <f t="shared" si="279"/>
        <v>Plevnik</v>
      </c>
      <c r="AQ264" s="47" t="s">
        <v>0</v>
      </c>
      <c r="AR264" s="82" t="str">
        <f t="shared" si="319"/>
        <v/>
      </c>
      <c r="AS264" s="47" t="s">
        <v>0</v>
      </c>
      <c r="AT264" s="19" t="str">
        <f t="shared" si="320"/>
        <v/>
      </c>
      <c r="AU264" s="47" t="s">
        <v>0</v>
      </c>
      <c r="AV264" s="103"/>
      <c r="AW264" s="105"/>
      <c r="AX264" s="47" t="s">
        <v>0</v>
      </c>
      <c r="AY264" s="259" t="str">
        <f t="shared" si="343"/>
        <v/>
      </c>
      <c r="AZ264" s="47" t="s">
        <v>0</v>
      </c>
      <c r="BA264" s="52" t="str">
        <f t="shared" si="280"/>
        <v/>
      </c>
      <c r="BB264" s="73" t="str">
        <f>IF(AV264&amp;AW264="","",MAX(BB$12:BB263)+1)</f>
        <v/>
      </c>
      <c r="BC264" s="272" t="str">
        <f t="shared" si="281"/>
        <v/>
      </c>
      <c r="BD264" s="53" t="str">
        <f>IF(AND(AM264="NEMA",AN264="NEMA",OR(AV264&amp;AW264="",BC264="NEMA")),MAX(BD$12:BD263)+1,"")</f>
        <v/>
      </c>
      <c r="BE264" s="47" t="s">
        <v>0</v>
      </c>
      <c r="BF264" s="52" t="str">
        <f t="shared" si="321"/>
        <v>Petra</v>
      </c>
      <c r="BG264" s="66" t="str">
        <f t="shared" si="322"/>
        <v>Plevnik</v>
      </c>
      <c r="BH264" s="47" t="s">
        <v>0</v>
      </c>
      <c r="BI264" s="52" t="str">
        <f t="shared" si="282"/>
        <v>BJE</v>
      </c>
      <c r="BJ264" s="31" t="str">
        <f t="shared" si="283"/>
        <v>OK Bjelovar</v>
      </c>
      <c r="BK264" s="73" t="str">
        <f t="shared" si="284"/>
        <v/>
      </c>
      <c r="BL264" s="31" t="str" cm="1">
        <f t="array" ref="BL264">IF(BK264="",""&amp;BJ264,IF(BK264="NEMA",BJ264,INDEX(regKlub_naziv,MATCH(INDEX(regKlub_alias_klubId,BK264),regKlub_id,0))))</f>
        <v>OK Bjelovar</v>
      </c>
      <c r="BM264" s="31" t="str" cm="1">
        <f t="array" ref="BM264">IFERROR(""&amp;INDEX(regNatjecatelj_klub,DV264),"")</f>
        <v>OK Bjelovar</v>
      </c>
      <c r="BN264" s="88" t="str">
        <f t="shared" si="323"/>
        <v/>
      </c>
      <c r="BO264" s="66" t="str">
        <f t="shared" si="324"/>
        <v>OK Bjelovar</v>
      </c>
      <c r="BP264" s="47" t="s">
        <v>0</v>
      </c>
      <c r="BQ264" s="52" t="str">
        <f>IF(X264&lt;&gt;"NEMA","",IF(IFERROR(MATCH(W264,W$12:W263,0),0)&lt;&gt;0,"",W264))</f>
        <v/>
      </c>
      <c r="BR264" s="73" t="str">
        <f t="shared" si="325"/>
        <v/>
      </c>
      <c r="BS264" s="31" t="str">
        <f>IF(OR(BR264="",BR264&lt;&gt;"NEMA"),"",MAX(BS$12:BS263)+1)</f>
        <v/>
      </c>
      <c r="BT264" s="66" t="str">
        <f t="shared" si="326"/>
        <v/>
      </c>
      <c r="BU264" s="47" t="s">
        <v>0</v>
      </c>
      <c r="BV264" s="19" t="str">
        <f t="shared" si="327"/>
        <v/>
      </c>
      <c r="BW264" s="47" t="s">
        <v>0</v>
      </c>
      <c r="BX264" s="82" t="str">
        <f>IF(BK264&lt;&gt;"NEMA","",IF(IFERROR(MATCH(BJ264,BJ$12:BJ263,0),0)&lt;&gt;0,"",BJ264))</f>
        <v/>
      </c>
      <c r="BY264" s="47" t="s">
        <v>0</v>
      </c>
      <c r="BZ264" s="125"/>
      <c r="CA264" s="47" t="s">
        <v>0</v>
      </c>
      <c r="CB264" s="58" t="str">
        <f t="shared" si="328"/>
        <v/>
      </c>
      <c r="CC264" s="31" t="str">
        <f t="shared" si="329"/>
        <v/>
      </c>
      <c r="CD264" s="31" t="str">
        <f>IF(CC264="","",MAX(CD$12:CD263)+1)</f>
        <v/>
      </c>
      <c r="CE264" s="31" t="str">
        <f t="shared" si="285"/>
        <v/>
      </c>
      <c r="CF264" s="31" t="str">
        <f t="shared" si="330"/>
        <v/>
      </c>
      <c r="CG264" s="31" t="str">
        <f>IF(BZ264="","",MAX(CG$12:CG263)+1)</f>
        <v/>
      </c>
      <c r="CH264" s="31" t="str">
        <f t="shared" si="331"/>
        <v/>
      </c>
      <c r="CI264" s="66" t="str">
        <f t="shared" si="332"/>
        <v/>
      </c>
      <c r="CJ264" s="47" t="s">
        <v>0</v>
      </c>
      <c r="CK264" s="73" t="str">
        <f t="shared" si="286"/>
        <v/>
      </c>
      <c r="CL264" s="47"/>
      <c r="CM264" s="19" t="str">
        <f t="shared" si="333"/>
        <v/>
      </c>
      <c r="CN264" s="47" t="s">
        <v>0</v>
      </c>
      <c r="CO264" s="143" t="str">
        <f t="shared" si="334"/>
        <v>OK Bjelovar</v>
      </c>
      <c r="CP264" s="47" t="s">
        <v>0</v>
      </c>
      <c r="CQ264" s="58" t="str">
        <f t="shared" si="350"/>
        <v>48:40</v>
      </c>
      <c r="CR264" s="73" t="str">
        <f t="shared" si="351"/>
        <v>0</v>
      </c>
      <c r="CS264" s="229" t="str">
        <f t="shared" si="287"/>
        <v/>
      </c>
      <c r="CT264" s="230">
        <f t="shared" si="352"/>
        <v>2920</v>
      </c>
      <c r="CU264" s="163">
        <f t="shared" si="288"/>
        <v>1</v>
      </c>
      <c r="CV264" s="47" t="s">
        <v>0</v>
      </c>
      <c r="CW264" s="222" t="str">
        <f t="shared" si="335"/>
        <v xml:space="preserve">
</v>
      </c>
      <c r="CX264" s="223">
        <f t="shared" si="336"/>
        <v>6</v>
      </c>
      <c r="CY264" s="47" t="s">
        <v>0</v>
      </c>
      <c r="CZ264" s="47"/>
      <c r="DA264" s="47"/>
      <c r="DB264" s="47"/>
      <c r="DC264" s="47" t="s">
        <v>0</v>
      </c>
      <c r="DD264" s="53" t="str">
        <f t="shared" si="344"/>
        <v/>
      </c>
      <c r="DE264" t="s">
        <v>0</v>
      </c>
      <c r="DF264" s="128" t="str">
        <f t="shared" si="345"/>
        <v>Ž</v>
      </c>
      <c r="DG264" t="s">
        <v>0</v>
      </c>
      <c r="DH264" s="52" t="str">
        <f t="shared" si="346"/>
        <v/>
      </c>
      <c r="DI264" s="66" t="str">
        <f t="shared" si="347"/>
        <v/>
      </c>
      <c r="DJ264" t="s">
        <v>0</v>
      </c>
      <c r="DK264" s="19" t="str">
        <f t="shared" si="348"/>
        <v/>
      </c>
      <c r="DL264" s="47" t="s">
        <v>0</v>
      </c>
      <c r="DM264" s="19" t="str">
        <f t="shared" si="349"/>
        <v/>
      </c>
      <c r="DN264" s="47" t="s">
        <v>0</v>
      </c>
      <c r="DO264" s="52" t="str">
        <f t="shared" si="289"/>
        <v>Petra – Plevnik – OK Bjelovar – Ž21B</v>
      </c>
      <c r="DP264" s="53">
        <f t="shared" si="290"/>
        <v>20</v>
      </c>
      <c r="DQ264" s="47" t="s">
        <v>0</v>
      </c>
      <c r="DR264" s="52" t="str">
        <f t="shared" si="291"/>
        <v>Petra – Plevnik – OK Bjelovar</v>
      </c>
      <c r="DS264" s="53">
        <f t="shared" si="292"/>
        <v>20</v>
      </c>
      <c r="DT264" s="47" t="s">
        <v>0</v>
      </c>
      <c r="DU264" s="52" t="str">
        <f t="shared" si="293"/>
        <v>Petra – Plevnik</v>
      </c>
      <c r="DV264" s="53">
        <f t="shared" si="294"/>
        <v>20</v>
      </c>
      <c r="DW264" s="47" t="s">
        <v>0</v>
      </c>
      <c r="DX264" s="58">
        <f t="shared" si="337"/>
        <v>20</v>
      </c>
      <c r="DY264" s="53" cm="1">
        <f t="array" ref="DY264">IF(DX264&lt;&gt;"",INDEX(regNatjecatelj_id,DX264,0),IF(BD264&lt;&gt;"",BD264,""))</f>
        <v>1140</v>
      </c>
      <c r="DZ264" s="47" t="s">
        <v>0</v>
      </c>
      <c r="EA264" s="58" t="str">
        <f t="shared" si="295"/>
        <v>imepre</v>
      </c>
      <c r="EB264" s="73" t="str">
        <f t="shared" si="296"/>
        <v>klu</v>
      </c>
      <c r="EC264" s="73" t="str">
        <f t="shared" si="297"/>
        <v>kat</v>
      </c>
      <c r="ED264" s="73" t="str">
        <f t="shared" si="298"/>
        <v/>
      </c>
      <c r="EE264" s="66" t="str">
        <f t="shared" si="299"/>
        <v>imepre-klu-kat</v>
      </c>
      <c r="EF264" s="47" t="s">
        <v>0</v>
      </c>
      <c r="EG264" s="58">
        <f>IF(AL264="","",MAX(EG$12:EG263)+1)</f>
        <v>415</v>
      </c>
      <c r="EH264" s="73">
        <f t="shared" si="300"/>
        <v>40</v>
      </c>
      <c r="EI264" s="73">
        <f t="shared" si="338"/>
        <v>1140</v>
      </c>
      <c r="EJ264" s="73">
        <f t="shared" si="301"/>
        <v>2920</v>
      </c>
      <c r="EK264" s="73">
        <f t="shared" si="302"/>
        <v>1</v>
      </c>
      <c r="EL264" s="73">
        <f t="shared" si="339"/>
        <v>1</v>
      </c>
      <c r="EM264" s="73">
        <f t="shared" si="340"/>
        <v>1</v>
      </c>
      <c r="EN264" s="73" t="str">
        <f t="shared" si="303"/>
        <v>0</v>
      </c>
      <c r="EO264" s="73" t="str">
        <f t="shared" si="304"/>
        <v/>
      </c>
      <c r="EP264" s="73" t="str">
        <f t="shared" si="305"/>
        <v/>
      </c>
      <c r="EQ264" s="53" t="str">
        <f t="shared" si="306"/>
        <v/>
      </c>
      <c r="ER264" s="47" t="s">
        <v>0</v>
      </c>
      <c r="ES264" s="19" t="str">
        <f t="shared" si="341"/>
        <v>INSERT INTO rezultat(id,stazakategorija_id,imeprezime_id,vrijeme_sec,status_id,registracija,uparivanje_id,originalstatus_id,imeprezimealias_id,klubalias_id,kategorijaalias_id) VALUES (415,40,1140,2920,1,1,1,0,Null,Null,Null);</v>
      </c>
      <c r="ET264" s="47" t="s">
        <v>0</v>
      </c>
      <c r="EU264" s="19" t="str">
        <f t="shared" si="342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4" s="47" t="s">
        <v>0</v>
      </c>
      <c r="EW264" s="180" t="str">
        <f t="shared" si="307"/>
        <v xml:space="preserve">
INSERT INTO rezultat(id,stazakategorija_id,imeprezime_id,vrijeme_sec,status_id,registracija,uparivanje_id,originalstatus_id,imeprezimealias_id,klubalias_id,kategorijaalias_id) VALUES (415,40,1140,2920,1,1,1,0,Null,Null,Null);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4" s="47" t="s">
        <v>0</v>
      </c>
    </row>
    <row r="265" spans="1:154" x14ac:dyDescent="0.25">
      <c r="A265" t="s">
        <v>0</v>
      </c>
      <c r="B265" s="52" t="str">
        <f>IF(csv!F255="","",csv!T255)</f>
        <v>Ž21B</v>
      </c>
      <c r="C265" s="31" t="s">
        <v>0</v>
      </c>
      <c r="D265" s="31" t="str">
        <f>IF(csv!F255="","",csv!F255)</f>
        <v>Olga</v>
      </c>
      <c r="E265" s="31" t="str">
        <f>IF(csv!E255="","",csv!E255)</f>
        <v>Pajnić</v>
      </c>
      <c r="F265" s="31" t="s">
        <v>0</v>
      </c>
      <c r="G265" s="73" t="str">
        <f>IF(csv!M255="","",csv!M255)</f>
        <v>61:07</v>
      </c>
      <c r="H265" s="73" t="str">
        <f>IF(csv!N255="","",csv!N255)</f>
        <v>0</v>
      </c>
      <c r="I265" s="31" t="s">
        <v>0</v>
      </c>
      <c r="J265" s="31" t="str">
        <f>IF(csv!P255="","",csv!P255)</f>
        <v>KAP</v>
      </c>
      <c r="K265" s="31" t="str">
        <f>IF(csv!Q255="","",csv!Q255)</f>
        <v>OK Kapela</v>
      </c>
      <c r="L265" s="31" t="s">
        <v>0</v>
      </c>
      <c r="M265" s="66" t="str">
        <f>IF(csv!R255="","",csv!R255)</f>
        <v>CRO</v>
      </c>
      <c r="N265" s="47" t="s">
        <v>0</v>
      </c>
      <c r="O265" s="246" t="str">
        <f t="shared" si="308"/>
        <v>ok</v>
      </c>
      <c r="P265" s="47"/>
      <c r="Q265" s="52" t="str">
        <f t="shared" si="309"/>
        <v>Ž21B</v>
      </c>
      <c r="R265" s="73">
        <f>IF(Q265="","",IF(COUNTIF(Q$12:Q264,Q265)=0,R264+1,R264))</f>
        <v>18</v>
      </c>
      <c r="S265" s="73">
        <f t="shared" si="310"/>
        <v>118</v>
      </c>
      <c r="T265" s="73">
        <f t="shared" si="273"/>
        <v>27</v>
      </c>
      <c r="U265" s="66" t="str">
        <f t="shared" si="274"/>
        <v>Ž21B – Ž16</v>
      </c>
      <c r="V265" s="47" t="s">
        <v>0</v>
      </c>
      <c r="W265" s="222" t="str">
        <f t="shared" si="275"/>
        <v>Ž21B</v>
      </c>
      <c r="X265" s="223">
        <f t="shared" si="276"/>
        <v>40</v>
      </c>
      <c r="Y265" s="47" t="s">
        <v>0</v>
      </c>
      <c r="Z265" s="52" t="str">
        <f t="shared" si="311"/>
        <v>CRO</v>
      </c>
      <c r="AA265" s="73">
        <f t="shared" si="277"/>
        <v>1</v>
      </c>
      <c r="AB265" s="31" t="str">
        <f t="shared" si="312"/>
        <v/>
      </c>
      <c r="AC265" s="66" t="str">
        <f>IF(AB265="","",MAX(AC$12:AC264)+1)</f>
        <v/>
      </c>
      <c r="AD265" s="47" t="s">
        <v>0</v>
      </c>
      <c r="AE265" s="125"/>
      <c r="AF265" s="47" t="s">
        <v>0</v>
      </c>
      <c r="AG265" s="19" t="str">
        <f t="shared" si="313"/>
        <v/>
      </c>
      <c r="AH265" s="47" t="s">
        <v>0</v>
      </c>
      <c r="AI265" s="143" t="str">
        <f t="shared" si="314"/>
        <v>CRO</v>
      </c>
      <c r="AJ265" s="47"/>
      <c r="AK265" s="52" t="str">
        <f t="shared" si="315"/>
        <v>Olga</v>
      </c>
      <c r="AL265" s="31" t="str">
        <f t="shared" si="316"/>
        <v>Pajnić</v>
      </c>
      <c r="AM265" s="73">
        <f t="shared" si="317"/>
        <v>1212</v>
      </c>
      <c r="AN265" s="73" t="str">
        <f t="shared" si="318"/>
        <v/>
      </c>
      <c r="AO265" s="31" t="str">
        <f t="shared" si="278"/>
        <v>Olga</v>
      </c>
      <c r="AP265" s="66" t="str">
        <f t="shared" si="279"/>
        <v>Pajnić</v>
      </c>
      <c r="AQ265" s="47" t="s">
        <v>0</v>
      </c>
      <c r="AR265" s="82" t="str">
        <f t="shared" si="319"/>
        <v/>
      </c>
      <c r="AS265" s="47" t="s">
        <v>0</v>
      </c>
      <c r="AT265" s="19" t="str">
        <f t="shared" si="320"/>
        <v/>
      </c>
      <c r="AU265" s="47" t="s">
        <v>0</v>
      </c>
      <c r="AV265" s="103"/>
      <c r="AW265" s="105"/>
      <c r="AX265" s="47" t="s">
        <v>0</v>
      </c>
      <c r="AY265" s="259" t="str">
        <f t="shared" si="343"/>
        <v/>
      </c>
      <c r="AZ265" s="47" t="s">
        <v>0</v>
      </c>
      <c r="BA265" s="52" t="str">
        <f t="shared" si="280"/>
        <v/>
      </c>
      <c r="BB265" s="73" t="str">
        <f>IF(AV265&amp;AW265="","",MAX(BB$12:BB264)+1)</f>
        <v/>
      </c>
      <c r="BC265" s="272" t="str">
        <f t="shared" si="281"/>
        <v/>
      </c>
      <c r="BD265" s="53" t="str">
        <f>IF(AND(AM265="NEMA",AN265="NEMA",OR(AV265&amp;AW265="",BC265="NEMA")),MAX(BD$12:BD264)+1,"")</f>
        <v/>
      </c>
      <c r="BE265" s="47" t="s">
        <v>0</v>
      </c>
      <c r="BF265" s="52" t="str">
        <f t="shared" si="321"/>
        <v>Olga</v>
      </c>
      <c r="BG265" s="66" t="str">
        <f t="shared" si="322"/>
        <v>Pajnić</v>
      </c>
      <c r="BH265" s="47" t="s">
        <v>0</v>
      </c>
      <c r="BI265" s="52" t="str">
        <f t="shared" si="282"/>
        <v>KAP</v>
      </c>
      <c r="BJ265" s="31" t="str">
        <f t="shared" si="283"/>
        <v>OK Kapela</v>
      </c>
      <c r="BK265" s="73" t="str">
        <f t="shared" si="284"/>
        <v/>
      </c>
      <c r="BL265" s="31" t="str" cm="1">
        <f t="array" ref="BL265">IF(BK265="",""&amp;BJ265,IF(BK265="NEMA",BJ265,INDEX(regKlub_naziv,MATCH(INDEX(regKlub_alias_klubId,BK265),regKlub_id,0))))</f>
        <v>OK Kapela</v>
      </c>
      <c r="BM265" s="31" t="str" cm="1">
        <f t="array" ref="BM265">IFERROR(""&amp;INDEX(regNatjecatelj_klub,DV265),"")</f>
        <v>OK Kapela</v>
      </c>
      <c r="BN265" s="88" t="str">
        <f t="shared" si="323"/>
        <v/>
      </c>
      <c r="BO265" s="66" t="str">
        <f t="shared" si="324"/>
        <v>OK Kapela</v>
      </c>
      <c r="BP265" s="47" t="s">
        <v>0</v>
      </c>
      <c r="BQ265" s="52" t="str">
        <f>IF(X265&lt;&gt;"NEMA","",IF(IFERROR(MATCH(W265,W$12:W264,0),0)&lt;&gt;0,"",W265))</f>
        <v/>
      </c>
      <c r="BR265" s="73" t="str">
        <f t="shared" si="325"/>
        <v/>
      </c>
      <c r="BS265" s="31" t="str">
        <f>IF(OR(BR265="",BR265&lt;&gt;"NEMA"),"",MAX(BS$12:BS264)+1)</f>
        <v/>
      </c>
      <c r="BT265" s="66" t="str">
        <f t="shared" si="326"/>
        <v/>
      </c>
      <c r="BU265" s="47" t="s">
        <v>0</v>
      </c>
      <c r="BV265" s="19" t="str">
        <f t="shared" si="327"/>
        <v/>
      </c>
      <c r="BW265" s="47" t="s">
        <v>0</v>
      </c>
      <c r="BX265" s="82" t="str">
        <f>IF(BK265&lt;&gt;"NEMA","",IF(IFERROR(MATCH(BJ265,BJ$12:BJ264,0),0)&lt;&gt;0,"",BJ265))</f>
        <v/>
      </c>
      <c r="BY265" s="47" t="s">
        <v>0</v>
      </c>
      <c r="BZ265" s="125"/>
      <c r="CA265" s="47" t="s">
        <v>0</v>
      </c>
      <c r="CB265" s="58" t="str">
        <f t="shared" si="328"/>
        <v/>
      </c>
      <c r="CC265" s="31" t="str">
        <f t="shared" si="329"/>
        <v/>
      </c>
      <c r="CD265" s="31" t="str">
        <f>IF(CC265="","",MAX(CD$12:CD264)+1)</f>
        <v/>
      </c>
      <c r="CE265" s="31" t="str">
        <f t="shared" si="285"/>
        <v/>
      </c>
      <c r="CF265" s="31" t="str">
        <f t="shared" si="330"/>
        <v/>
      </c>
      <c r="CG265" s="31" t="str">
        <f>IF(BZ265="","",MAX(CG$12:CG264)+1)</f>
        <v/>
      </c>
      <c r="CH265" s="31" t="str">
        <f t="shared" si="331"/>
        <v/>
      </c>
      <c r="CI265" s="66" t="str">
        <f t="shared" si="332"/>
        <v/>
      </c>
      <c r="CJ265" s="47" t="s">
        <v>0</v>
      </c>
      <c r="CK265" s="73" t="str">
        <f t="shared" si="286"/>
        <v/>
      </c>
      <c r="CL265" s="47"/>
      <c r="CM265" s="19" t="str">
        <f t="shared" si="333"/>
        <v/>
      </c>
      <c r="CN265" s="47" t="s">
        <v>0</v>
      </c>
      <c r="CO265" s="143" t="str">
        <f t="shared" si="334"/>
        <v>OK Kapela</v>
      </c>
      <c r="CP265" s="47" t="s">
        <v>0</v>
      </c>
      <c r="CQ265" s="58" t="str">
        <f t="shared" si="350"/>
        <v>61:07</v>
      </c>
      <c r="CR265" s="73" t="str">
        <f t="shared" si="351"/>
        <v>0</v>
      </c>
      <c r="CS265" s="229" t="str">
        <f t="shared" si="287"/>
        <v/>
      </c>
      <c r="CT265" s="230">
        <f t="shared" si="352"/>
        <v>3667</v>
      </c>
      <c r="CU265" s="163">
        <f t="shared" si="288"/>
        <v>1</v>
      </c>
      <c r="CV265" s="47" t="s">
        <v>0</v>
      </c>
      <c r="CW265" s="222" t="str">
        <f t="shared" si="335"/>
        <v xml:space="preserve">
</v>
      </c>
      <c r="CX265" s="223">
        <f t="shared" si="336"/>
        <v>6</v>
      </c>
      <c r="CY265" s="47" t="s">
        <v>0</v>
      </c>
      <c r="CZ265" s="47"/>
      <c r="DA265" s="47"/>
      <c r="DB265" s="47"/>
      <c r="DC265" s="47" t="s">
        <v>0</v>
      </c>
      <c r="DD265" s="53" t="str">
        <f t="shared" si="344"/>
        <v/>
      </c>
      <c r="DE265" t="s">
        <v>0</v>
      </c>
      <c r="DF265" s="128" t="str">
        <f t="shared" si="345"/>
        <v>Ž</v>
      </c>
      <c r="DG265" t="s">
        <v>0</v>
      </c>
      <c r="DH265" s="52" t="str">
        <f t="shared" si="346"/>
        <v/>
      </c>
      <c r="DI265" s="66" t="str">
        <f t="shared" si="347"/>
        <v/>
      </c>
      <c r="DJ265" t="s">
        <v>0</v>
      </c>
      <c r="DK265" s="19" t="str">
        <f t="shared" si="348"/>
        <v/>
      </c>
      <c r="DL265" s="47" t="s">
        <v>0</v>
      </c>
      <c r="DM265" s="19" t="str">
        <f t="shared" si="349"/>
        <v/>
      </c>
      <c r="DN265" s="47" t="s">
        <v>0</v>
      </c>
      <c r="DO265" s="52" t="str">
        <f t="shared" si="289"/>
        <v>Olga – Pajnić – OK Kapela – Ž21B</v>
      </c>
      <c r="DP265" s="53">
        <f t="shared" si="290"/>
        <v>291</v>
      </c>
      <c r="DQ265" s="47" t="s">
        <v>0</v>
      </c>
      <c r="DR265" s="52" t="str">
        <f t="shared" si="291"/>
        <v>Olga – Pajnić – OK Kapela</v>
      </c>
      <c r="DS265" s="53">
        <f t="shared" si="292"/>
        <v>291</v>
      </c>
      <c r="DT265" s="47" t="s">
        <v>0</v>
      </c>
      <c r="DU265" s="52" t="str">
        <f t="shared" si="293"/>
        <v>Olga – Pajnić</v>
      </c>
      <c r="DV265" s="53">
        <f t="shared" si="294"/>
        <v>291</v>
      </c>
      <c r="DW265" s="47" t="s">
        <v>0</v>
      </c>
      <c r="DX265" s="58">
        <f t="shared" si="337"/>
        <v>291</v>
      </c>
      <c r="DY265" s="53" cm="1">
        <f t="array" ref="DY265">IF(DX265&lt;&gt;"",INDEX(regNatjecatelj_id,DX265,0),IF(BD265&lt;&gt;"",BD265,""))</f>
        <v>1212</v>
      </c>
      <c r="DZ265" s="47" t="s">
        <v>0</v>
      </c>
      <c r="EA265" s="58" t="str">
        <f t="shared" si="295"/>
        <v>imepre</v>
      </c>
      <c r="EB265" s="73" t="str">
        <f t="shared" si="296"/>
        <v>klu</v>
      </c>
      <c r="EC265" s="73" t="str">
        <f t="shared" si="297"/>
        <v>kat</v>
      </c>
      <c r="ED265" s="73" t="str">
        <f t="shared" si="298"/>
        <v/>
      </c>
      <c r="EE265" s="66" t="str">
        <f t="shared" si="299"/>
        <v>imepre-klu-kat</v>
      </c>
      <c r="EF265" s="47" t="s">
        <v>0</v>
      </c>
      <c r="EG265" s="58">
        <f>IF(AL265="","",MAX(EG$12:EG264)+1)</f>
        <v>416</v>
      </c>
      <c r="EH265" s="73">
        <f t="shared" si="300"/>
        <v>40</v>
      </c>
      <c r="EI265" s="73">
        <f t="shared" si="338"/>
        <v>1212</v>
      </c>
      <c r="EJ265" s="73">
        <f t="shared" si="301"/>
        <v>3667</v>
      </c>
      <c r="EK265" s="73">
        <f t="shared" si="302"/>
        <v>1</v>
      </c>
      <c r="EL265" s="73">
        <f t="shared" si="339"/>
        <v>1</v>
      </c>
      <c r="EM265" s="73">
        <f t="shared" si="340"/>
        <v>1</v>
      </c>
      <c r="EN265" s="73" t="str">
        <f t="shared" si="303"/>
        <v>0</v>
      </c>
      <c r="EO265" s="73" t="str">
        <f t="shared" si="304"/>
        <v/>
      </c>
      <c r="EP265" s="73" t="str">
        <f t="shared" si="305"/>
        <v/>
      </c>
      <c r="EQ265" s="53" t="str">
        <f t="shared" si="306"/>
        <v/>
      </c>
      <c r="ER265" s="47" t="s">
        <v>0</v>
      </c>
      <c r="ES265" s="19" t="str">
        <f t="shared" si="341"/>
        <v>INSERT INTO rezultat(id,stazakategorija_id,imeprezime_id,vrijeme_sec,status_id,registracija,uparivanje_id,originalstatus_id,imeprezimealias_id,klubalias_id,kategorijaalias_id) VALUES (416,40,1212,3667,1,1,1,0,Null,Null,Null);</v>
      </c>
      <c r="ET265" s="47" t="s">
        <v>0</v>
      </c>
      <c r="EU265" s="19" t="str">
        <f t="shared" si="342"/>
        <v>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5" s="47" t="s">
        <v>0</v>
      </c>
      <c r="EW265" s="180" t="str">
        <f t="shared" si="307"/>
        <v xml:space="preserve">
INSERT INTO rezultat(id,stazakategorija_id,imeprezime_id,vrijeme_sec,status_id,registracija,uparivanje_id,originalstatus_id,imeprezimealias_id,klubalias_id,kategorijaalias_id) VALUES (416,40,1212,3667,1,1,1,0,Null,Null,Null);
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5" s="47" t="s">
        <v>0</v>
      </c>
    </row>
    <row r="266" spans="1:154" x14ac:dyDescent="0.25">
      <c r="A266" t="s">
        <v>0</v>
      </c>
      <c r="B266" s="52" t="str">
        <f>IF(csv!F256="","",csv!T256)</f>
        <v>Ž21B</v>
      </c>
      <c r="C266" s="31" t="s">
        <v>0</v>
      </c>
      <c r="D266" s="31" t="str">
        <f>IF(csv!F256="","",csv!F256)</f>
        <v>Ines</v>
      </c>
      <c r="E266" s="31" t="str">
        <f>IF(csv!E256="","",csv!E256)</f>
        <v>Mance</v>
      </c>
      <c r="F266" s="31" t="s">
        <v>0</v>
      </c>
      <c r="G266" s="73" t="str">
        <f>IF(csv!M256="","",csv!M256)</f>
        <v>63:56</v>
      </c>
      <c r="H266" s="73" t="str">
        <f>IF(csv!N256="","",csv!N256)</f>
        <v>0</v>
      </c>
      <c r="I266" s="31" t="s">
        <v>0</v>
      </c>
      <c r="J266" s="31" t="str">
        <f>IF(csv!P256="","",csv!P256)</f>
        <v>Vihor</v>
      </c>
      <c r="K266" s="31" t="str">
        <f>IF(csv!Q256="","",csv!Q256)</f>
        <v>OK Vihor</v>
      </c>
      <c r="L266" s="31" t="s">
        <v>0</v>
      </c>
      <c r="M266" s="66" t="str">
        <f>IF(csv!R256="","",csv!R256)</f>
        <v>CRO</v>
      </c>
      <c r="N266" s="47" t="s">
        <v>0</v>
      </c>
      <c r="O266" s="246" t="str">
        <f t="shared" si="308"/>
        <v>ok</v>
      </c>
      <c r="P266" s="47"/>
      <c r="Q266" s="52" t="str">
        <f t="shared" si="309"/>
        <v>Ž21B</v>
      </c>
      <c r="R266" s="73">
        <f>IF(Q266="","",IF(COUNTIF(Q$12:Q265,Q266)=0,R265+1,R265))</f>
        <v>18</v>
      </c>
      <c r="S266" s="73">
        <f t="shared" si="310"/>
        <v>118</v>
      </c>
      <c r="T266" s="73">
        <f t="shared" si="273"/>
        <v>27</v>
      </c>
      <c r="U266" s="66" t="str">
        <f t="shared" si="274"/>
        <v>Ž21B – Ž16</v>
      </c>
      <c r="V266" s="47" t="s">
        <v>0</v>
      </c>
      <c r="W266" s="222" t="str">
        <f t="shared" si="275"/>
        <v>Ž21B</v>
      </c>
      <c r="X266" s="223">
        <f t="shared" si="276"/>
        <v>40</v>
      </c>
      <c r="Y266" s="47" t="s">
        <v>0</v>
      </c>
      <c r="Z266" s="52" t="str">
        <f t="shared" si="311"/>
        <v>CRO</v>
      </c>
      <c r="AA266" s="73">
        <f t="shared" si="277"/>
        <v>1</v>
      </c>
      <c r="AB266" s="31" t="str">
        <f t="shared" si="312"/>
        <v/>
      </c>
      <c r="AC266" s="66" t="str">
        <f>IF(AB266="","",MAX(AC$12:AC265)+1)</f>
        <v/>
      </c>
      <c r="AD266" s="47" t="s">
        <v>0</v>
      </c>
      <c r="AE266" s="125"/>
      <c r="AF266" s="47" t="s">
        <v>0</v>
      </c>
      <c r="AG266" s="19" t="str">
        <f t="shared" si="313"/>
        <v/>
      </c>
      <c r="AH266" s="47" t="s">
        <v>0</v>
      </c>
      <c r="AI266" s="143" t="str">
        <f t="shared" si="314"/>
        <v>CRO</v>
      </c>
      <c r="AJ266" s="47"/>
      <c r="AK266" s="52" t="str">
        <f t="shared" si="315"/>
        <v>Ines</v>
      </c>
      <c r="AL266" s="31" t="str">
        <f t="shared" si="316"/>
        <v>Mance</v>
      </c>
      <c r="AM266" s="73">
        <f t="shared" si="317"/>
        <v>1353</v>
      </c>
      <c r="AN266" s="73" t="str">
        <f t="shared" si="318"/>
        <v/>
      </c>
      <c r="AO266" s="31" t="str">
        <f t="shared" si="278"/>
        <v>Ines</v>
      </c>
      <c r="AP266" s="66" t="str">
        <f t="shared" si="279"/>
        <v>Mance</v>
      </c>
      <c r="AQ266" s="47" t="s">
        <v>0</v>
      </c>
      <c r="AR266" s="82" t="str">
        <f t="shared" si="319"/>
        <v/>
      </c>
      <c r="AS266" s="47" t="s">
        <v>0</v>
      </c>
      <c r="AT266" s="19" t="str">
        <f t="shared" si="320"/>
        <v/>
      </c>
      <c r="AU266" s="47" t="s">
        <v>0</v>
      </c>
      <c r="AV266" s="103"/>
      <c r="AW266" s="105"/>
      <c r="AX266" s="47" t="s">
        <v>0</v>
      </c>
      <c r="AY266" s="259" t="str">
        <f t="shared" si="343"/>
        <v/>
      </c>
      <c r="AZ266" s="47" t="s">
        <v>0</v>
      </c>
      <c r="BA266" s="52" t="str">
        <f t="shared" si="280"/>
        <v/>
      </c>
      <c r="BB266" s="73" t="str">
        <f>IF(AV266&amp;AW266="","",MAX(BB$12:BB265)+1)</f>
        <v/>
      </c>
      <c r="BC266" s="272" t="str">
        <f t="shared" si="281"/>
        <v/>
      </c>
      <c r="BD266" s="53" t="str">
        <f>IF(AND(AM266="NEMA",AN266="NEMA",OR(AV266&amp;AW266="",BC266="NEMA")),MAX(BD$12:BD265)+1,"")</f>
        <v/>
      </c>
      <c r="BE266" s="47" t="s">
        <v>0</v>
      </c>
      <c r="BF266" s="52" t="str">
        <f t="shared" si="321"/>
        <v>Ines</v>
      </c>
      <c r="BG266" s="66" t="str">
        <f t="shared" si="322"/>
        <v>Mance</v>
      </c>
      <c r="BH266" s="47" t="s">
        <v>0</v>
      </c>
      <c r="BI266" s="52" t="str">
        <f t="shared" si="282"/>
        <v>Vihor</v>
      </c>
      <c r="BJ266" s="31" t="str">
        <f t="shared" si="283"/>
        <v>OK Vihor</v>
      </c>
      <c r="BK266" s="73" t="str">
        <f t="shared" si="284"/>
        <v/>
      </c>
      <c r="BL266" s="31" t="str" cm="1">
        <f t="array" ref="BL266">IF(BK266="",""&amp;BJ266,IF(BK266="NEMA",BJ266,INDEX(regKlub_naziv,MATCH(INDEX(regKlub_alias_klubId,BK266),regKlub_id,0))))</f>
        <v>OK Vihor</v>
      </c>
      <c r="BM266" s="31" t="str" cm="1">
        <f t="array" ref="BM266">IFERROR(""&amp;INDEX(regNatjecatelj_klub,DV266),"")</f>
        <v>OK Vihor</v>
      </c>
      <c r="BN266" s="88" t="str">
        <f t="shared" si="323"/>
        <v/>
      </c>
      <c r="BO266" s="66" t="str">
        <f t="shared" si="324"/>
        <v>OK Vihor</v>
      </c>
      <c r="BP266" s="47" t="s">
        <v>0</v>
      </c>
      <c r="BQ266" s="52" t="str">
        <f>IF(X266&lt;&gt;"NEMA","",IF(IFERROR(MATCH(W266,W$12:W265,0),0)&lt;&gt;0,"",W266))</f>
        <v/>
      </c>
      <c r="BR266" s="73" t="str">
        <f t="shared" si="325"/>
        <v/>
      </c>
      <c r="BS266" s="31" t="str">
        <f>IF(OR(BR266="",BR266&lt;&gt;"NEMA"),"",MAX(BS$12:BS265)+1)</f>
        <v/>
      </c>
      <c r="BT266" s="66" t="str">
        <f t="shared" si="326"/>
        <v/>
      </c>
      <c r="BU266" s="47" t="s">
        <v>0</v>
      </c>
      <c r="BV266" s="19" t="str">
        <f t="shared" si="327"/>
        <v/>
      </c>
      <c r="BW266" s="47" t="s">
        <v>0</v>
      </c>
      <c r="BX266" s="82" t="str">
        <f>IF(BK266&lt;&gt;"NEMA","",IF(IFERROR(MATCH(BJ266,BJ$12:BJ265,0),0)&lt;&gt;0,"",BJ266))</f>
        <v/>
      </c>
      <c r="BY266" s="47" t="s">
        <v>0</v>
      </c>
      <c r="BZ266" s="125"/>
      <c r="CA266" s="47" t="s">
        <v>0</v>
      </c>
      <c r="CB266" s="58" t="str">
        <f t="shared" si="328"/>
        <v/>
      </c>
      <c r="CC266" s="31" t="str">
        <f t="shared" si="329"/>
        <v/>
      </c>
      <c r="CD266" s="31" t="str">
        <f>IF(CC266="","",MAX(CD$12:CD265)+1)</f>
        <v/>
      </c>
      <c r="CE266" s="31" t="str">
        <f t="shared" si="285"/>
        <v/>
      </c>
      <c r="CF266" s="31" t="str">
        <f t="shared" si="330"/>
        <v/>
      </c>
      <c r="CG266" s="31" t="str">
        <f>IF(BZ266="","",MAX(CG$12:CG265)+1)</f>
        <v/>
      </c>
      <c r="CH266" s="31" t="str">
        <f t="shared" si="331"/>
        <v/>
      </c>
      <c r="CI266" s="66" t="str">
        <f t="shared" si="332"/>
        <v/>
      </c>
      <c r="CJ266" s="47" t="s">
        <v>0</v>
      </c>
      <c r="CK266" s="73" t="str">
        <f t="shared" si="286"/>
        <v/>
      </c>
      <c r="CL266" s="47"/>
      <c r="CM266" s="19" t="str">
        <f t="shared" si="333"/>
        <v/>
      </c>
      <c r="CN266" s="47" t="s">
        <v>0</v>
      </c>
      <c r="CO266" s="143" t="str">
        <f t="shared" si="334"/>
        <v>OK Vihor</v>
      </c>
      <c r="CP266" s="47" t="s">
        <v>0</v>
      </c>
      <c r="CQ266" s="58" t="str">
        <f t="shared" si="350"/>
        <v>63:56</v>
      </c>
      <c r="CR266" s="73" t="str">
        <f t="shared" si="351"/>
        <v>0</v>
      </c>
      <c r="CS266" s="229" t="str">
        <f t="shared" si="287"/>
        <v/>
      </c>
      <c r="CT266" s="230">
        <f t="shared" si="352"/>
        <v>3836</v>
      </c>
      <c r="CU266" s="163">
        <f t="shared" si="288"/>
        <v>1</v>
      </c>
      <c r="CV266" s="47" t="s">
        <v>0</v>
      </c>
      <c r="CW266" s="222" t="str">
        <f t="shared" si="335"/>
        <v xml:space="preserve">
</v>
      </c>
      <c r="CX266" s="223">
        <f t="shared" si="336"/>
        <v>6</v>
      </c>
      <c r="CY266" s="47" t="s">
        <v>0</v>
      </c>
      <c r="CZ266" s="47"/>
      <c r="DA266" s="47"/>
      <c r="DB266" s="47"/>
      <c r="DC266" s="47" t="s">
        <v>0</v>
      </c>
      <c r="DD266" s="53" t="str">
        <f t="shared" si="344"/>
        <v/>
      </c>
      <c r="DE266" t="s">
        <v>0</v>
      </c>
      <c r="DF266" s="128" t="str">
        <f t="shared" si="345"/>
        <v>Ž</v>
      </c>
      <c r="DG266" t="s">
        <v>0</v>
      </c>
      <c r="DH266" s="52" t="str">
        <f t="shared" si="346"/>
        <v/>
      </c>
      <c r="DI266" s="66" t="str">
        <f t="shared" si="347"/>
        <v/>
      </c>
      <c r="DJ266" t="s">
        <v>0</v>
      </c>
      <c r="DK266" s="19" t="str">
        <f t="shared" si="348"/>
        <v/>
      </c>
      <c r="DL266" s="47" t="s">
        <v>0</v>
      </c>
      <c r="DM266" s="19" t="str">
        <f t="shared" si="349"/>
        <v/>
      </c>
      <c r="DN266" s="47" t="s">
        <v>0</v>
      </c>
      <c r="DO266" s="52" t="str">
        <f t="shared" si="289"/>
        <v>Ines – Mance – OK Vihor – Ž21B</v>
      </c>
      <c r="DP266" s="53">
        <f t="shared" si="290"/>
        <v>783</v>
      </c>
      <c r="DQ266" s="47" t="s">
        <v>0</v>
      </c>
      <c r="DR266" s="52" t="str">
        <f t="shared" si="291"/>
        <v>Ines – Mance – OK Vihor</v>
      </c>
      <c r="DS266" s="53">
        <f t="shared" si="292"/>
        <v>783</v>
      </c>
      <c r="DT266" s="47" t="s">
        <v>0</v>
      </c>
      <c r="DU266" s="52" t="str">
        <f t="shared" si="293"/>
        <v>Ines – Mance</v>
      </c>
      <c r="DV266" s="53">
        <f t="shared" si="294"/>
        <v>783</v>
      </c>
      <c r="DW266" s="47" t="s">
        <v>0</v>
      </c>
      <c r="DX266" s="58">
        <f t="shared" si="337"/>
        <v>783</v>
      </c>
      <c r="DY266" s="53" cm="1">
        <f t="array" ref="DY266">IF(DX266&lt;&gt;"",INDEX(regNatjecatelj_id,DX266,0),IF(BD266&lt;&gt;"",BD266,""))</f>
        <v>1353</v>
      </c>
      <c r="DZ266" s="47" t="s">
        <v>0</v>
      </c>
      <c r="EA266" s="58" t="str">
        <f t="shared" si="295"/>
        <v>imepre</v>
      </c>
      <c r="EB266" s="73" t="str">
        <f t="shared" si="296"/>
        <v>klu</v>
      </c>
      <c r="EC266" s="73" t="str">
        <f t="shared" si="297"/>
        <v>kat</v>
      </c>
      <c r="ED266" s="73" t="str">
        <f t="shared" si="298"/>
        <v/>
      </c>
      <c r="EE266" s="66" t="str">
        <f t="shared" si="299"/>
        <v>imepre-klu-kat</v>
      </c>
      <c r="EF266" s="47" t="s">
        <v>0</v>
      </c>
      <c r="EG266" s="58">
        <f>IF(AL266="","",MAX(EG$12:EG265)+1)</f>
        <v>417</v>
      </c>
      <c r="EH266" s="73">
        <f t="shared" si="300"/>
        <v>40</v>
      </c>
      <c r="EI266" s="73">
        <f t="shared" si="338"/>
        <v>1353</v>
      </c>
      <c r="EJ266" s="73">
        <f t="shared" si="301"/>
        <v>3836</v>
      </c>
      <c r="EK266" s="73">
        <f t="shared" si="302"/>
        <v>1</v>
      </c>
      <c r="EL266" s="73">
        <f t="shared" si="339"/>
        <v>1</v>
      </c>
      <c r="EM266" s="73">
        <f t="shared" si="340"/>
        <v>1</v>
      </c>
      <c r="EN266" s="73" t="str">
        <f t="shared" si="303"/>
        <v>0</v>
      </c>
      <c r="EO266" s="73" t="str">
        <f t="shared" si="304"/>
        <v/>
      </c>
      <c r="EP266" s="73" t="str">
        <f t="shared" si="305"/>
        <v/>
      </c>
      <c r="EQ266" s="53" t="str">
        <f t="shared" si="306"/>
        <v/>
      </c>
      <c r="ER266" s="47" t="s">
        <v>0</v>
      </c>
      <c r="ES266" s="19" t="str">
        <f t="shared" si="341"/>
        <v>INSERT INTO rezultat(id,stazakategorija_id,imeprezime_id,vrijeme_sec,status_id,registracija,uparivanje_id,originalstatus_id,imeprezimealias_id,klubalias_id,kategorijaalias_id) VALUES (417,40,1353,3836,1,1,1,0,Null,Null,Null);</v>
      </c>
      <c r="ET266" s="47" t="s">
        <v>0</v>
      </c>
      <c r="EU266" s="19" t="str">
        <f t="shared" si="342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6" s="47" t="s">
        <v>0</v>
      </c>
      <c r="EW266" s="180" t="str">
        <f t="shared" si="307"/>
        <v xml:space="preserve">
INSERT INTO rezultat(id,stazakategorija_id,imeprezime_id,vrijeme_sec,status_id,registracija,uparivanje_id,originalstatus_id,imeprezimealias_id,klubalias_id,kategorijaalias_id) VALUES (417,40,1353,3836,1,1,1,0,Null,Null,Null);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6" s="47" t="s">
        <v>0</v>
      </c>
    </row>
    <row r="267" spans="1:154" x14ac:dyDescent="0.25">
      <c r="A267" t="s">
        <v>0</v>
      </c>
      <c r="B267" s="52" t="str">
        <f>IF(csv!F257="","",csv!T257)</f>
        <v>Ž21B</v>
      </c>
      <c r="C267" s="31" t="s">
        <v>0</v>
      </c>
      <c r="D267" s="31" t="str">
        <f>IF(csv!F257="","",csv!F257)</f>
        <v>Lana</v>
      </c>
      <c r="E267" s="31" t="str">
        <f>IF(csv!E257="","",csv!E257)</f>
        <v>Gerjević</v>
      </c>
      <c r="F267" s="31" t="s">
        <v>0</v>
      </c>
      <c r="G267" s="73" t="str">
        <f>IF(csv!M257="","",csv!M257)</f>
        <v>64:18</v>
      </c>
      <c r="H267" s="73" t="str">
        <f>IF(csv!N257="","",csv!N257)</f>
        <v>0</v>
      </c>
      <c r="I267" s="31" t="s">
        <v>0</v>
      </c>
      <c r="J267" s="31" t="str">
        <f>IF(csv!P257="","",csv!P257)</f>
        <v>KAP</v>
      </c>
      <c r="K267" s="31" t="str">
        <f>IF(csv!Q257="","",csv!Q257)</f>
        <v>OK Kapela</v>
      </c>
      <c r="L267" s="31" t="s">
        <v>0</v>
      </c>
      <c r="M267" s="66" t="str">
        <f>IF(csv!R257="","",csv!R257)</f>
        <v>CRO</v>
      </c>
      <c r="N267" s="47" t="s">
        <v>0</v>
      </c>
      <c r="O267" s="246" t="str">
        <f t="shared" si="308"/>
        <v>ok</v>
      </c>
      <c r="P267" s="47"/>
      <c r="Q267" s="52" t="str">
        <f t="shared" si="309"/>
        <v>Ž21B</v>
      </c>
      <c r="R267" s="73">
        <f>IF(Q267="","",IF(COUNTIF(Q$12:Q266,Q267)=0,R266+1,R266))</f>
        <v>18</v>
      </c>
      <c r="S267" s="73">
        <f t="shared" si="310"/>
        <v>118</v>
      </c>
      <c r="T267" s="73">
        <f t="shared" si="273"/>
        <v>27</v>
      </c>
      <c r="U267" s="66" t="str">
        <f t="shared" si="274"/>
        <v>Ž21B – Ž16</v>
      </c>
      <c r="V267" s="47" t="s">
        <v>0</v>
      </c>
      <c r="W267" s="222" t="str">
        <f t="shared" si="275"/>
        <v>Ž21B</v>
      </c>
      <c r="X267" s="223">
        <f t="shared" si="276"/>
        <v>40</v>
      </c>
      <c r="Y267" s="47" t="s">
        <v>0</v>
      </c>
      <c r="Z267" s="52" t="str">
        <f t="shared" si="311"/>
        <v>CRO</v>
      </c>
      <c r="AA267" s="73">
        <f t="shared" si="277"/>
        <v>1</v>
      </c>
      <c r="AB267" s="31" t="str">
        <f t="shared" si="312"/>
        <v/>
      </c>
      <c r="AC267" s="66" t="str">
        <f>IF(AB267="","",MAX(AC$12:AC266)+1)</f>
        <v/>
      </c>
      <c r="AD267" s="47" t="s">
        <v>0</v>
      </c>
      <c r="AE267" s="125"/>
      <c r="AF267" s="47" t="s">
        <v>0</v>
      </c>
      <c r="AG267" s="19" t="str">
        <f t="shared" si="313"/>
        <v/>
      </c>
      <c r="AH267" s="47" t="s">
        <v>0</v>
      </c>
      <c r="AI267" s="143" t="str">
        <f t="shared" si="314"/>
        <v>CRO</v>
      </c>
      <c r="AJ267" s="47"/>
      <c r="AK267" s="52" t="str">
        <f t="shared" si="315"/>
        <v>Lana</v>
      </c>
      <c r="AL267" s="31" t="str">
        <f t="shared" si="316"/>
        <v>Gerjević</v>
      </c>
      <c r="AM267" s="73">
        <f t="shared" si="317"/>
        <v>1261</v>
      </c>
      <c r="AN267" s="73" t="str">
        <f t="shared" si="318"/>
        <v/>
      </c>
      <c r="AO267" s="31" t="str">
        <f t="shared" si="278"/>
        <v>Lana</v>
      </c>
      <c r="AP267" s="66" t="str">
        <f t="shared" si="279"/>
        <v>Gerjević</v>
      </c>
      <c r="AQ267" s="47" t="s">
        <v>0</v>
      </c>
      <c r="AR267" s="82" t="str">
        <f t="shared" si="319"/>
        <v/>
      </c>
      <c r="AS267" s="47" t="s">
        <v>0</v>
      </c>
      <c r="AT267" s="19" t="str">
        <f t="shared" si="320"/>
        <v/>
      </c>
      <c r="AU267" s="47" t="s">
        <v>0</v>
      </c>
      <c r="AV267" s="103"/>
      <c r="AW267" s="105"/>
      <c r="AX267" s="47" t="s">
        <v>0</v>
      </c>
      <c r="AY267" s="259" t="str">
        <f t="shared" si="343"/>
        <v/>
      </c>
      <c r="AZ267" s="47" t="s">
        <v>0</v>
      </c>
      <c r="BA267" s="52" t="str">
        <f t="shared" si="280"/>
        <v/>
      </c>
      <c r="BB267" s="73" t="str">
        <f>IF(AV267&amp;AW267="","",MAX(BB$12:BB266)+1)</f>
        <v/>
      </c>
      <c r="BC267" s="272" t="str">
        <f t="shared" si="281"/>
        <v/>
      </c>
      <c r="BD267" s="53" t="str">
        <f>IF(AND(AM267="NEMA",AN267="NEMA",OR(AV267&amp;AW267="",BC267="NEMA")),MAX(BD$12:BD266)+1,"")</f>
        <v/>
      </c>
      <c r="BE267" s="47" t="s">
        <v>0</v>
      </c>
      <c r="BF267" s="52" t="str">
        <f t="shared" si="321"/>
        <v>Lana</v>
      </c>
      <c r="BG267" s="66" t="str">
        <f t="shared" si="322"/>
        <v>Gerjević</v>
      </c>
      <c r="BH267" s="47" t="s">
        <v>0</v>
      </c>
      <c r="BI267" s="52" t="str">
        <f t="shared" si="282"/>
        <v>KAP</v>
      </c>
      <c r="BJ267" s="31" t="str">
        <f t="shared" si="283"/>
        <v>OK Kapela</v>
      </c>
      <c r="BK267" s="73" t="str">
        <f t="shared" si="284"/>
        <v/>
      </c>
      <c r="BL267" s="31" t="str" cm="1">
        <f t="array" ref="BL267">IF(BK267="",""&amp;BJ267,IF(BK267="NEMA",BJ267,INDEX(regKlub_naziv,MATCH(INDEX(regKlub_alias_klubId,BK267),regKlub_id,0))))</f>
        <v>OK Kapela</v>
      </c>
      <c r="BM267" s="31" t="str" cm="1">
        <f t="array" ref="BM267">IFERROR(""&amp;INDEX(regNatjecatelj_klub,DV267),"")</f>
        <v>OK Kapela</v>
      </c>
      <c r="BN267" s="88" t="str">
        <f t="shared" si="323"/>
        <v/>
      </c>
      <c r="BO267" s="66" t="str">
        <f t="shared" si="324"/>
        <v>OK Kapela</v>
      </c>
      <c r="BP267" s="47" t="s">
        <v>0</v>
      </c>
      <c r="BQ267" s="52" t="str">
        <f>IF(X267&lt;&gt;"NEMA","",IF(IFERROR(MATCH(W267,W$12:W266,0),0)&lt;&gt;0,"",W267))</f>
        <v/>
      </c>
      <c r="BR267" s="73" t="str">
        <f t="shared" si="325"/>
        <v/>
      </c>
      <c r="BS267" s="31" t="str">
        <f>IF(OR(BR267="",BR267&lt;&gt;"NEMA"),"",MAX(BS$12:BS266)+1)</f>
        <v/>
      </c>
      <c r="BT267" s="66" t="str">
        <f t="shared" si="326"/>
        <v/>
      </c>
      <c r="BU267" s="47" t="s">
        <v>0</v>
      </c>
      <c r="BV267" s="19" t="str">
        <f t="shared" si="327"/>
        <v/>
      </c>
      <c r="BW267" s="47" t="s">
        <v>0</v>
      </c>
      <c r="BX267" s="82" t="str">
        <f>IF(BK267&lt;&gt;"NEMA","",IF(IFERROR(MATCH(BJ267,BJ$12:BJ266,0),0)&lt;&gt;0,"",BJ267))</f>
        <v/>
      </c>
      <c r="BY267" s="47" t="s">
        <v>0</v>
      </c>
      <c r="BZ267" s="125"/>
      <c r="CA267" s="47" t="s">
        <v>0</v>
      </c>
      <c r="CB267" s="58" t="str">
        <f t="shared" si="328"/>
        <v/>
      </c>
      <c r="CC267" s="31" t="str">
        <f t="shared" si="329"/>
        <v/>
      </c>
      <c r="CD267" s="31" t="str">
        <f>IF(CC267="","",MAX(CD$12:CD266)+1)</f>
        <v/>
      </c>
      <c r="CE267" s="31" t="str">
        <f t="shared" si="285"/>
        <v/>
      </c>
      <c r="CF267" s="31" t="str">
        <f t="shared" si="330"/>
        <v/>
      </c>
      <c r="CG267" s="31" t="str">
        <f>IF(BZ267="","",MAX(CG$12:CG266)+1)</f>
        <v/>
      </c>
      <c r="CH267" s="31" t="str">
        <f t="shared" si="331"/>
        <v/>
      </c>
      <c r="CI267" s="66" t="str">
        <f t="shared" si="332"/>
        <v/>
      </c>
      <c r="CJ267" s="47" t="s">
        <v>0</v>
      </c>
      <c r="CK267" s="73" t="str">
        <f t="shared" si="286"/>
        <v/>
      </c>
      <c r="CL267" s="47"/>
      <c r="CM267" s="19" t="str">
        <f t="shared" si="333"/>
        <v/>
      </c>
      <c r="CN267" s="47" t="s">
        <v>0</v>
      </c>
      <c r="CO267" s="143" t="str">
        <f t="shared" si="334"/>
        <v>OK Kapela</v>
      </c>
      <c r="CP267" s="47" t="s">
        <v>0</v>
      </c>
      <c r="CQ267" s="58" t="str">
        <f t="shared" si="350"/>
        <v>64:18</v>
      </c>
      <c r="CR267" s="73" t="str">
        <f t="shared" si="351"/>
        <v>0</v>
      </c>
      <c r="CS267" s="229" t="str">
        <f t="shared" si="287"/>
        <v/>
      </c>
      <c r="CT267" s="230">
        <f t="shared" si="352"/>
        <v>3858</v>
      </c>
      <c r="CU267" s="163">
        <f t="shared" si="288"/>
        <v>1</v>
      </c>
      <c r="CV267" s="47" t="s">
        <v>0</v>
      </c>
      <c r="CW267" s="222" t="str">
        <f t="shared" si="335"/>
        <v xml:space="preserve">
</v>
      </c>
      <c r="CX267" s="223">
        <f t="shared" si="336"/>
        <v>6</v>
      </c>
      <c r="CY267" s="47" t="s">
        <v>0</v>
      </c>
      <c r="CZ267" s="47"/>
      <c r="DA267" s="47"/>
      <c r="DB267" s="47"/>
      <c r="DC267" s="47" t="s">
        <v>0</v>
      </c>
      <c r="DD267" s="53" t="str">
        <f t="shared" si="344"/>
        <v/>
      </c>
      <c r="DE267" t="s">
        <v>0</v>
      </c>
      <c r="DF267" s="128" t="str">
        <f t="shared" si="345"/>
        <v>Ž</v>
      </c>
      <c r="DG267" t="s">
        <v>0</v>
      </c>
      <c r="DH267" s="52" t="str">
        <f t="shared" si="346"/>
        <v/>
      </c>
      <c r="DI267" s="66" t="str">
        <f t="shared" si="347"/>
        <v/>
      </c>
      <c r="DJ267" t="s">
        <v>0</v>
      </c>
      <c r="DK267" s="19" t="str">
        <f t="shared" si="348"/>
        <v/>
      </c>
      <c r="DL267" s="47" t="s">
        <v>0</v>
      </c>
      <c r="DM267" s="19" t="str">
        <f t="shared" si="349"/>
        <v/>
      </c>
      <c r="DN267" s="47" t="s">
        <v>0</v>
      </c>
      <c r="DO267" s="52" t="str">
        <f t="shared" si="289"/>
        <v>Lana – Gerjević – OK Kapela – Ž21B</v>
      </c>
      <c r="DP267" s="53">
        <f t="shared" si="290"/>
        <v>242</v>
      </c>
      <c r="DQ267" s="47" t="s">
        <v>0</v>
      </c>
      <c r="DR267" s="52" t="str">
        <f t="shared" si="291"/>
        <v>Lana – Gerjević – OK Kapela</v>
      </c>
      <c r="DS267" s="53">
        <f t="shared" si="292"/>
        <v>242</v>
      </c>
      <c r="DT267" s="47" t="s">
        <v>0</v>
      </c>
      <c r="DU267" s="52" t="str">
        <f t="shared" si="293"/>
        <v>Lana – Gerjević</v>
      </c>
      <c r="DV267" s="53">
        <f t="shared" si="294"/>
        <v>242</v>
      </c>
      <c r="DW267" s="47" t="s">
        <v>0</v>
      </c>
      <c r="DX267" s="58">
        <f t="shared" si="337"/>
        <v>242</v>
      </c>
      <c r="DY267" s="53" cm="1">
        <f t="array" ref="DY267">IF(DX267&lt;&gt;"",INDEX(regNatjecatelj_id,DX267,0),IF(BD267&lt;&gt;"",BD267,""))</f>
        <v>1261</v>
      </c>
      <c r="DZ267" s="47" t="s">
        <v>0</v>
      </c>
      <c r="EA267" s="58" t="str">
        <f t="shared" si="295"/>
        <v>imepre</v>
      </c>
      <c r="EB267" s="73" t="str">
        <f t="shared" si="296"/>
        <v>klu</v>
      </c>
      <c r="EC267" s="73" t="str">
        <f t="shared" si="297"/>
        <v>kat</v>
      </c>
      <c r="ED267" s="73" t="str">
        <f t="shared" si="298"/>
        <v/>
      </c>
      <c r="EE267" s="66" t="str">
        <f t="shared" si="299"/>
        <v>imepre-klu-kat</v>
      </c>
      <c r="EF267" s="47" t="s">
        <v>0</v>
      </c>
      <c r="EG267" s="58">
        <f>IF(AL267="","",MAX(EG$12:EG266)+1)</f>
        <v>418</v>
      </c>
      <c r="EH267" s="73">
        <f t="shared" si="300"/>
        <v>40</v>
      </c>
      <c r="EI267" s="73">
        <f t="shared" si="338"/>
        <v>1261</v>
      </c>
      <c r="EJ267" s="73">
        <f t="shared" si="301"/>
        <v>3858</v>
      </c>
      <c r="EK267" s="73">
        <f t="shared" si="302"/>
        <v>1</v>
      </c>
      <c r="EL267" s="73">
        <f t="shared" si="339"/>
        <v>1</v>
      </c>
      <c r="EM267" s="73">
        <f t="shared" si="340"/>
        <v>1</v>
      </c>
      <c r="EN267" s="73" t="str">
        <f t="shared" si="303"/>
        <v>0</v>
      </c>
      <c r="EO267" s="73" t="str">
        <f t="shared" si="304"/>
        <v/>
      </c>
      <c r="EP267" s="73" t="str">
        <f t="shared" si="305"/>
        <v/>
      </c>
      <c r="EQ267" s="53" t="str">
        <f t="shared" si="306"/>
        <v/>
      </c>
      <c r="ER267" s="47" t="s">
        <v>0</v>
      </c>
      <c r="ES267" s="19" t="str">
        <f t="shared" si="341"/>
        <v>INSERT INTO rezultat(id,stazakategorija_id,imeprezime_id,vrijeme_sec,status_id,registracija,uparivanje_id,originalstatus_id,imeprezimealias_id,klubalias_id,kategorijaalias_id) VALUES (418,40,1261,3858,1,1,1,0,Null,Null,Null);</v>
      </c>
      <c r="ET267" s="47" t="s">
        <v>0</v>
      </c>
      <c r="EU267" s="19" t="str">
        <f t="shared" si="342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7" s="47" t="s">
        <v>0</v>
      </c>
      <c r="EW267" s="180" t="str">
        <f t="shared" si="307"/>
        <v xml:space="preserve">
INSERT INTO rezultat(id,stazakategorija_id,imeprezime_id,vrijeme_sec,status_id,registracija,uparivanje_id,originalstatus_id,imeprezimealias_id,klubalias_id,kategorijaalias_id) VALUES (418,40,1261,3858,1,1,1,0,Null,Null,Null);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7" s="47" t="s">
        <v>0</v>
      </c>
    </row>
    <row r="268" spans="1:154" x14ac:dyDescent="0.25">
      <c r="A268" t="s">
        <v>0</v>
      </c>
      <c r="B268" s="52" t="str">
        <f>IF(csv!F258="","",csv!T258)</f>
        <v>Ž21B</v>
      </c>
      <c r="C268" s="31" t="s">
        <v>0</v>
      </c>
      <c r="D268" s="31" t="str">
        <f>IF(csv!F258="","",csv!F258)</f>
        <v>Ana-Marija</v>
      </c>
      <c r="E268" s="31" t="str">
        <f>IF(csv!E258="","",csv!E258)</f>
        <v>Pavić</v>
      </c>
      <c r="F268" s="31" t="s">
        <v>0</v>
      </c>
      <c r="G268" s="73" t="str">
        <f>IF(csv!M258="","",csv!M258)</f>
        <v>65:59</v>
      </c>
      <c r="H268" s="73" t="str">
        <f>IF(csv!N258="","",csv!N258)</f>
        <v>0</v>
      </c>
      <c r="I268" s="31" t="s">
        <v>0</v>
      </c>
      <c r="J268" s="31" t="str">
        <f>IF(csv!P258="","",csv!P258)</f>
        <v>Vihor</v>
      </c>
      <c r="K268" s="31" t="str">
        <f>IF(csv!Q258="","",csv!Q258)</f>
        <v>OK Vihor</v>
      </c>
      <c r="L268" s="31" t="s">
        <v>0</v>
      </c>
      <c r="M268" s="66" t="str">
        <f>IF(csv!R258="","",csv!R258)</f>
        <v>CRO</v>
      </c>
      <c r="N268" s="47" t="s">
        <v>0</v>
      </c>
      <c r="O268" s="246" t="str">
        <f t="shared" si="308"/>
        <v>ok</v>
      </c>
      <c r="P268" s="47"/>
      <c r="Q268" s="52" t="str">
        <f t="shared" si="309"/>
        <v>Ž21B</v>
      </c>
      <c r="R268" s="73">
        <f>IF(Q268="","",IF(COUNTIF(Q$12:Q267,Q268)=0,R267+1,R267))</f>
        <v>18</v>
      </c>
      <c r="S268" s="73">
        <f t="shared" si="310"/>
        <v>118</v>
      </c>
      <c r="T268" s="73">
        <f t="shared" si="273"/>
        <v>27</v>
      </c>
      <c r="U268" s="66" t="str">
        <f t="shared" si="274"/>
        <v>Ž21B – Ž16</v>
      </c>
      <c r="V268" s="47" t="s">
        <v>0</v>
      </c>
      <c r="W268" s="222" t="str">
        <f t="shared" si="275"/>
        <v>Ž21B</v>
      </c>
      <c r="X268" s="223">
        <f t="shared" si="276"/>
        <v>40</v>
      </c>
      <c r="Y268" s="47" t="s">
        <v>0</v>
      </c>
      <c r="Z268" s="52" t="str">
        <f t="shared" si="311"/>
        <v>CRO</v>
      </c>
      <c r="AA268" s="73">
        <f t="shared" si="277"/>
        <v>1</v>
      </c>
      <c r="AB268" s="31" t="str">
        <f t="shared" si="312"/>
        <v/>
      </c>
      <c r="AC268" s="66" t="str">
        <f>IF(AB268="","",MAX(AC$12:AC267)+1)</f>
        <v/>
      </c>
      <c r="AD268" s="47" t="s">
        <v>0</v>
      </c>
      <c r="AE268" s="125"/>
      <c r="AF268" s="47" t="s">
        <v>0</v>
      </c>
      <c r="AG268" s="19" t="str">
        <f t="shared" si="313"/>
        <v/>
      </c>
      <c r="AH268" s="47" t="s">
        <v>0</v>
      </c>
      <c r="AI268" s="143" t="str">
        <f t="shared" si="314"/>
        <v>CRO</v>
      </c>
      <c r="AJ268" s="47"/>
      <c r="AK268" s="52" t="str">
        <f t="shared" si="315"/>
        <v>Ana-Marija</v>
      </c>
      <c r="AL268" s="31" t="str">
        <f t="shared" si="316"/>
        <v>Pavić</v>
      </c>
      <c r="AM268" s="73">
        <f t="shared" si="317"/>
        <v>1189</v>
      </c>
      <c r="AN268" s="73" t="str">
        <f t="shared" si="318"/>
        <v/>
      </c>
      <c r="AO268" s="31" t="str">
        <f t="shared" si="278"/>
        <v>Ana-Marija</v>
      </c>
      <c r="AP268" s="66" t="str">
        <f t="shared" si="279"/>
        <v>Pavić</v>
      </c>
      <c r="AQ268" s="47" t="s">
        <v>0</v>
      </c>
      <c r="AR268" s="82" t="str">
        <f t="shared" si="319"/>
        <v/>
      </c>
      <c r="AS268" s="47" t="s">
        <v>0</v>
      </c>
      <c r="AT268" s="19" t="str">
        <f t="shared" si="320"/>
        <v/>
      </c>
      <c r="AU268" s="47" t="s">
        <v>0</v>
      </c>
      <c r="AV268" s="103"/>
      <c r="AW268" s="105"/>
      <c r="AX268" s="47" t="s">
        <v>0</v>
      </c>
      <c r="AY268" s="259" t="str">
        <f t="shared" si="343"/>
        <v/>
      </c>
      <c r="AZ268" s="47" t="s">
        <v>0</v>
      </c>
      <c r="BA268" s="52" t="str">
        <f t="shared" si="280"/>
        <v/>
      </c>
      <c r="BB268" s="73" t="str">
        <f>IF(AV268&amp;AW268="","",MAX(BB$12:BB267)+1)</f>
        <v/>
      </c>
      <c r="BC268" s="272" t="str">
        <f t="shared" si="281"/>
        <v/>
      </c>
      <c r="BD268" s="53" t="str">
        <f>IF(AND(AM268="NEMA",AN268="NEMA",OR(AV268&amp;AW268="",BC268="NEMA")),MAX(BD$12:BD267)+1,"")</f>
        <v/>
      </c>
      <c r="BE268" s="47" t="s">
        <v>0</v>
      </c>
      <c r="BF268" s="52" t="str">
        <f t="shared" si="321"/>
        <v>Ana-Marija</v>
      </c>
      <c r="BG268" s="66" t="str">
        <f t="shared" si="322"/>
        <v>Pavić</v>
      </c>
      <c r="BH268" s="47" t="s">
        <v>0</v>
      </c>
      <c r="BI268" s="52" t="str">
        <f t="shared" si="282"/>
        <v>Vihor</v>
      </c>
      <c r="BJ268" s="31" t="str">
        <f t="shared" si="283"/>
        <v>OK Vihor</v>
      </c>
      <c r="BK268" s="73" t="str">
        <f t="shared" si="284"/>
        <v/>
      </c>
      <c r="BL268" s="31" t="str" cm="1">
        <f t="array" ref="BL268">IF(BK268="",""&amp;BJ268,IF(BK268="NEMA",BJ268,INDEX(regKlub_naziv,MATCH(INDEX(regKlub_alias_klubId,BK268),regKlub_id,0))))</f>
        <v>OK Vihor</v>
      </c>
      <c r="BM268" s="31" t="str" cm="1">
        <f t="array" ref="BM268">IFERROR(""&amp;INDEX(regNatjecatelj_klub,DV268),"")</f>
        <v>OK Vihor</v>
      </c>
      <c r="BN268" s="88" t="str">
        <f t="shared" si="323"/>
        <v/>
      </c>
      <c r="BO268" s="66" t="str">
        <f t="shared" si="324"/>
        <v>OK Vihor</v>
      </c>
      <c r="BP268" s="47" t="s">
        <v>0</v>
      </c>
      <c r="BQ268" s="52" t="str">
        <f>IF(X268&lt;&gt;"NEMA","",IF(IFERROR(MATCH(W268,W$12:W267,0),0)&lt;&gt;0,"",W268))</f>
        <v/>
      </c>
      <c r="BR268" s="73" t="str">
        <f t="shared" si="325"/>
        <v/>
      </c>
      <c r="BS268" s="31" t="str">
        <f>IF(OR(BR268="",BR268&lt;&gt;"NEMA"),"",MAX(BS$12:BS267)+1)</f>
        <v/>
      </c>
      <c r="BT268" s="66" t="str">
        <f t="shared" si="326"/>
        <v/>
      </c>
      <c r="BU268" s="47" t="s">
        <v>0</v>
      </c>
      <c r="BV268" s="19" t="str">
        <f t="shared" si="327"/>
        <v/>
      </c>
      <c r="BW268" s="47" t="s">
        <v>0</v>
      </c>
      <c r="BX268" s="82" t="str">
        <f>IF(BK268&lt;&gt;"NEMA","",IF(IFERROR(MATCH(BJ268,BJ$12:BJ267,0),0)&lt;&gt;0,"",BJ268))</f>
        <v/>
      </c>
      <c r="BY268" s="47" t="s">
        <v>0</v>
      </c>
      <c r="BZ268" s="125"/>
      <c r="CA268" s="47" t="s">
        <v>0</v>
      </c>
      <c r="CB268" s="58" t="str">
        <f t="shared" si="328"/>
        <v/>
      </c>
      <c r="CC268" s="31" t="str">
        <f t="shared" si="329"/>
        <v/>
      </c>
      <c r="CD268" s="31" t="str">
        <f>IF(CC268="","",MAX(CD$12:CD267)+1)</f>
        <v/>
      </c>
      <c r="CE268" s="31" t="str">
        <f t="shared" si="285"/>
        <v/>
      </c>
      <c r="CF268" s="31" t="str">
        <f t="shared" si="330"/>
        <v/>
      </c>
      <c r="CG268" s="31" t="str">
        <f>IF(BZ268="","",MAX(CG$12:CG267)+1)</f>
        <v/>
      </c>
      <c r="CH268" s="31" t="str">
        <f t="shared" si="331"/>
        <v/>
      </c>
      <c r="CI268" s="66" t="str">
        <f t="shared" si="332"/>
        <v/>
      </c>
      <c r="CJ268" s="47" t="s">
        <v>0</v>
      </c>
      <c r="CK268" s="73" t="str">
        <f t="shared" si="286"/>
        <v/>
      </c>
      <c r="CL268" s="47"/>
      <c r="CM268" s="19" t="str">
        <f t="shared" si="333"/>
        <v/>
      </c>
      <c r="CN268" s="47" t="s">
        <v>0</v>
      </c>
      <c r="CO268" s="143" t="str">
        <f t="shared" si="334"/>
        <v>OK Vihor</v>
      </c>
      <c r="CP268" s="47" t="s">
        <v>0</v>
      </c>
      <c r="CQ268" s="58" t="str">
        <f t="shared" si="350"/>
        <v>65:59</v>
      </c>
      <c r="CR268" s="73" t="str">
        <f t="shared" si="351"/>
        <v>0</v>
      </c>
      <c r="CS268" s="229" t="str">
        <f t="shared" si="287"/>
        <v/>
      </c>
      <c r="CT268" s="230">
        <f t="shared" si="352"/>
        <v>3959</v>
      </c>
      <c r="CU268" s="163">
        <f t="shared" si="288"/>
        <v>1</v>
      </c>
      <c r="CV268" s="47" t="s">
        <v>0</v>
      </c>
      <c r="CW268" s="222" t="str">
        <f t="shared" si="335"/>
        <v xml:space="preserve">
</v>
      </c>
      <c r="CX268" s="223">
        <f t="shared" si="336"/>
        <v>6</v>
      </c>
      <c r="CY268" s="47" t="s">
        <v>0</v>
      </c>
      <c r="CZ268" s="47"/>
      <c r="DA268" s="47"/>
      <c r="DB268" s="47"/>
      <c r="DC268" s="47" t="s">
        <v>0</v>
      </c>
      <c r="DD268" s="53" t="str">
        <f t="shared" si="344"/>
        <v/>
      </c>
      <c r="DE268" t="s">
        <v>0</v>
      </c>
      <c r="DF268" s="128" t="str">
        <f t="shared" si="345"/>
        <v>Ž</v>
      </c>
      <c r="DG268" t="s">
        <v>0</v>
      </c>
      <c r="DH268" s="52" t="str">
        <f t="shared" si="346"/>
        <v/>
      </c>
      <c r="DI268" s="66" t="str">
        <f t="shared" si="347"/>
        <v/>
      </c>
      <c r="DJ268" t="s">
        <v>0</v>
      </c>
      <c r="DK268" s="19" t="str">
        <f t="shared" si="348"/>
        <v/>
      </c>
      <c r="DL268" s="47" t="s">
        <v>0</v>
      </c>
      <c r="DM268" s="19" t="str">
        <f t="shared" si="349"/>
        <v/>
      </c>
      <c r="DN268" s="47" t="s">
        <v>0</v>
      </c>
      <c r="DO268" s="52" t="str">
        <f t="shared" si="289"/>
        <v>Ana-Marija – Pavić – OK Vihor – Ž21B</v>
      </c>
      <c r="DP268" s="53">
        <f t="shared" si="290"/>
        <v>837</v>
      </c>
      <c r="DQ268" s="47" t="s">
        <v>0</v>
      </c>
      <c r="DR268" s="52" t="str">
        <f t="shared" si="291"/>
        <v>Ana-Marija – Pavić – OK Vihor</v>
      </c>
      <c r="DS268" s="53">
        <f t="shared" si="292"/>
        <v>837</v>
      </c>
      <c r="DT268" s="47" t="s">
        <v>0</v>
      </c>
      <c r="DU268" s="52" t="str">
        <f t="shared" si="293"/>
        <v>Ana-Marija – Pavić</v>
      </c>
      <c r="DV268" s="53">
        <f t="shared" si="294"/>
        <v>837</v>
      </c>
      <c r="DW268" s="47" t="s">
        <v>0</v>
      </c>
      <c r="DX268" s="58">
        <f t="shared" si="337"/>
        <v>837</v>
      </c>
      <c r="DY268" s="53" cm="1">
        <f t="array" ref="DY268">IF(DX268&lt;&gt;"",INDEX(regNatjecatelj_id,DX268,0),IF(BD268&lt;&gt;"",BD268,""))</f>
        <v>1189</v>
      </c>
      <c r="DZ268" s="47" t="s">
        <v>0</v>
      </c>
      <c r="EA268" s="58" t="str">
        <f t="shared" si="295"/>
        <v>imepre</v>
      </c>
      <c r="EB268" s="73" t="str">
        <f t="shared" si="296"/>
        <v>klu</v>
      </c>
      <c r="EC268" s="73" t="str">
        <f t="shared" si="297"/>
        <v>kat</v>
      </c>
      <c r="ED268" s="73" t="str">
        <f t="shared" si="298"/>
        <v/>
      </c>
      <c r="EE268" s="66" t="str">
        <f t="shared" si="299"/>
        <v>imepre-klu-kat</v>
      </c>
      <c r="EF268" s="47" t="s">
        <v>0</v>
      </c>
      <c r="EG268" s="58">
        <f>IF(AL268="","",MAX(EG$12:EG267)+1)</f>
        <v>419</v>
      </c>
      <c r="EH268" s="73">
        <f t="shared" si="300"/>
        <v>40</v>
      </c>
      <c r="EI268" s="73">
        <f t="shared" si="338"/>
        <v>1189</v>
      </c>
      <c r="EJ268" s="73">
        <f t="shared" si="301"/>
        <v>3959</v>
      </c>
      <c r="EK268" s="73">
        <f t="shared" si="302"/>
        <v>1</v>
      </c>
      <c r="EL268" s="73">
        <f t="shared" si="339"/>
        <v>1</v>
      </c>
      <c r="EM268" s="73">
        <f t="shared" si="340"/>
        <v>1</v>
      </c>
      <c r="EN268" s="73" t="str">
        <f t="shared" si="303"/>
        <v>0</v>
      </c>
      <c r="EO268" s="73" t="str">
        <f t="shared" si="304"/>
        <v/>
      </c>
      <c r="EP268" s="73" t="str">
        <f t="shared" si="305"/>
        <v/>
      </c>
      <c r="EQ268" s="53" t="str">
        <f t="shared" si="306"/>
        <v/>
      </c>
      <c r="ER268" s="47" t="s">
        <v>0</v>
      </c>
      <c r="ES268" s="19" t="str">
        <f t="shared" si="341"/>
        <v>INSERT INTO rezultat(id,stazakategorija_id,imeprezime_id,vrijeme_sec,status_id,registracija,uparivanje_id,originalstatus_id,imeprezimealias_id,klubalias_id,kategorijaalias_id) VALUES (419,40,1189,3959,1,1,1,0,Null,Null,Null);</v>
      </c>
      <c r="ET268" s="47" t="s">
        <v>0</v>
      </c>
      <c r="EU268" s="19" t="str">
        <f t="shared" si="342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8" s="47" t="s">
        <v>0</v>
      </c>
      <c r="EW268" s="180" t="str">
        <f t="shared" si="307"/>
        <v xml:space="preserve">
INSERT INTO rezultat(id,stazakategorija_id,imeprezime_id,vrijeme_sec,status_id,registracija,uparivanje_id,originalstatus_id,imeprezimealias_id,klubalias_id,kategorijaalias_id) VALUES (419,40,1189,3959,1,1,1,0,Null,Null,Null);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8" s="47" t="s">
        <v>0</v>
      </c>
    </row>
    <row r="269" spans="1:154" x14ac:dyDescent="0.25">
      <c r="A269" t="s">
        <v>0</v>
      </c>
      <c r="B269" s="52" t="str">
        <f>IF(csv!F259="","",csv!T259)</f>
        <v>Ž21B</v>
      </c>
      <c r="C269" s="31" t="s">
        <v>0</v>
      </c>
      <c r="D269" s="31" t="str">
        <f>IF(csv!F259="","",csv!F259)</f>
        <v>Višnja</v>
      </c>
      <c r="E269" s="31" t="str">
        <f>IF(csv!E259="","",csv!E259)</f>
        <v>Dukić</v>
      </c>
      <c r="F269" s="31" t="s">
        <v>0</v>
      </c>
      <c r="G269" s="73" t="str">
        <f>IF(csv!M259="","",csv!M259)</f>
        <v>67:21</v>
      </c>
      <c r="H269" s="73" t="str">
        <f>IF(csv!N259="","",csv!N259)</f>
        <v>0</v>
      </c>
      <c r="I269" s="31" t="s">
        <v>0</v>
      </c>
      <c r="J269" s="31" t="str">
        <f>IF(csv!P259="","",csv!P259)</f>
        <v>KAP</v>
      </c>
      <c r="K269" s="31" t="str">
        <f>IF(csv!Q259="","",csv!Q259)</f>
        <v>OK Kapela</v>
      </c>
      <c r="L269" s="31" t="s">
        <v>0</v>
      </c>
      <c r="M269" s="66" t="str">
        <f>IF(csv!R259="","",csv!R259)</f>
        <v>CRO</v>
      </c>
      <c r="N269" s="47" t="s">
        <v>0</v>
      </c>
      <c r="O269" s="246" t="str">
        <f t="shared" si="308"/>
        <v>ok</v>
      </c>
      <c r="P269" s="47"/>
      <c r="Q269" s="52" t="str">
        <f t="shared" si="309"/>
        <v>Ž21B</v>
      </c>
      <c r="R269" s="73">
        <f>IF(Q269="","",IF(COUNTIF(Q$12:Q268,Q269)=0,R268+1,R268))</f>
        <v>18</v>
      </c>
      <c r="S269" s="73">
        <f t="shared" si="310"/>
        <v>118</v>
      </c>
      <c r="T269" s="73">
        <f t="shared" ref="T269:T332" si="353">IF(Q269="","",IFERROR(INDEX(natStaza_id,MATCH(Q269,natStaza_kategorija,0)),""))</f>
        <v>27</v>
      </c>
      <c r="U269" s="66" t="str">
        <f t="shared" ref="U269:U332" si="354">IF(T269="","",INDEX(natStaza_naziv,MATCH(T269,natStaza_id,0)))</f>
        <v>Ž21B – Ž16</v>
      </c>
      <c r="V269" s="47" t="s">
        <v>0</v>
      </c>
      <c r="W269" s="222" t="str">
        <f t="shared" ref="W269:W332" si="355">IF(O269="","",INDEX(regKategorija_oznaka,MATCH(S269,regKategorija_id,0)))</f>
        <v>Ž21B</v>
      </c>
      <c r="X269" s="223">
        <f t="shared" ref="X269:X332" si="356">IF(W269="","",INDEX(natKategorija_stazaKatId,MATCH(S269,natKategorija_katRegId,0)))</f>
        <v>40</v>
      </c>
      <c r="Y269" s="47" t="s">
        <v>0</v>
      </c>
      <c r="Z269" s="52" t="str">
        <f t="shared" si="311"/>
        <v>CRO</v>
      </c>
      <c r="AA269" s="73">
        <f t="shared" ref="AA269:AA332" si="357">IF(Z269="","",IFERROR(INDEX(regDrzava_id,MATCH(Z269,regDrzava_oznaka,0)),"NEMA"))</f>
        <v>1</v>
      </c>
      <c r="AB269" s="31" t="str">
        <f t="shared" si="312"/>
        <v/>
      </c>
      <c r="AC269" s="66" t="str">
        <f>IF(AB269="","",MAX(AC$12:AC268)+1)</f>
        <v/>
      </c>
      <c r="AD269" s="47" t="s">
        <v>0</v>
      </c>
      <c r="AE269" s="125"/>
      <c r="AF269" s="47" t="s">
        <v>0</v>
      </c>
      <c r="AG269" s="19" t="str">
        <f t="shared" si="313"/>
        <v/>
      </c>
      <c r="AH269" s="47" t="s">
        <v>0</v>
      </c>
      <c r="AI269" s="143" t="str">
        <f t="shared" si="314"/>
        <v>CRO</v>
      </c>
      <c r="AJ269" s="47"/>
      <c r="AK269" s="52" t="str">
        <f t="shared" si="315"/>
        <v>Višnja</v>
      </c>
      <c r="AL269" s="31" t="str">
        <f t="shared" si="316"/>
        <v>Dukić</v>
      </c>
      <c r="AM269" s="73">
        <f t="shared" si="317"/>
        <v>1059</v>
      </c>
      <c r="AN269" s="73" t="str">
        <f t="shared" si="318"/>
        <v/>
      </c>
      <c r="AO269" s="31" t="str">
        <f t="shared" ref="AO269:AO332" si="358">IF(O269="","",IF(OR(AN269="",AN269="NEMA"),AK269,INDEX(regNatjecatelj_ime,MATCH(AN269,regNatjecatelj_id,0))))</f>
        <v>Višnja</v>
      </c>
      <c r="AP269" s="66" t="str">
        <f t="shared" ref="AP269:AP332" si="359">IF(O269="","",IF(OR(AN269="",AN269="NEMA"),AL269,INDEX(regNatjecatelj_prezime,MATCH(AN269,regNatjecatelj_id,0))))</f>
        <v>Dukić</v>
      </c>
      <c r="AQ269" s="47" t="s">
        <v>0</v>
      </c>
      <c r="AR269" s="82" t="str">
        <f t="shared" si="319"/>
        <v/>
      </c>
      <c r="AS269" s="47" t="s">
        <v>0</v>
      </c>
      <c r="AT269" s="19" t="str">
        <f t="shared" si="320"/>
        <v/>
      </c>
      <c r="AU269" s="47" t="s">
        <v>0</v>
      </c>
      <c r="AV269" s="103"/>
      <c r="AW269" s="105"/>
      <c r="AX269" s="47" t="s">
        <v>0</v>
      </c>
      <c r="AY269" s="259" t="str">
        <f t="shared" si="343"/>
        <v/>
      </c>
      <c r="AZ269" s="47" t="s">
        <v>0</v>
      </c>
      <c r="BA269" s="52" t="str">
        <f t="shared" ref="BA269:BA327" si="360">IF(AV269&amp;AW269="","",AR269)</f>
        <v/>
      </c>
      <c r="BB269" s="73" t="str">
        <f>IF(AV269&amp;AW269="","",MAX(BB$12:BB268)+1)</f>
        <v/>
      </c>
      <c r="BC269" s="272" t="str">
        <f t="shared" ref="BC269:BC332" si="361">IF(AV269&amp;AW269="","",IFERROR(INDEX(regNatjecatelj_id,MATCH(AV269&amp;" – "&amp;AW269,regNatjecatelj_imePrezime,0)),"NEMA"))</f>
        <v/>
      </c>
      <c r="BD269" s="53" t="str">
        <f>IF(AND(AM269="NEMA",AN269="NEMA",OR(AV269&amp;AW269="",BC269="NEMA")),MAX(BD$12:BD268)+1,"")</f>
        <v/>
      </c>
      <c r="BE269" s="47" t="s">
        <v>0</v>
      </c>
      <c r="BF269" s="52" t="str">
        <f t="shared" si="321"/>
        <v>Višnja</v>
      </c>
      <c r="BG269" s="66" t="str">
        <f t="shared" si="322"/>
        <v>Dukić</v>
      </c>
      <c r="BH269" s="47" t="s">
        <v>0</v>
      </c>
      <c r="BI269" s="52" t="str">
        <f t="shared" ref="BI269:BI332" si="362">IF(O269="","",J269)</f>
        <v>KAP</v>
      </c>
      <c r="BJ269" s="31" t="str">
        <f t="shared" ref="BJ269:BJ332" si="363">IF(O269="","",K269)</f>
        <v>OK Kapela</v>
      </c>
      <c r="BK269" s="73" t="str">
        <f t="shared" ref="BK269:BK332" si="364">IF(BJ269="","",IF(IFERROR(MATCH(BJ269,regKlub_naziv,0),"")&lt;&gt;"","",IFERROR(MATCH(BJ269,regKlub_alias_alias,0),"NEMA")))</f>
        <v/>
      </c>
      <c r="BL269" s="31" t="str" cm="1">
        <f t="array" ref="BL269">IF(BK269="",""&amp;BJ269,IF(BK269="NEMA",BJ269,INDEX(regKlub_naziv,MATCH(INDEX(regKlub_alias_klubId,BK269),regKlub_id,0))))</f>
        <v>OK Kapela</v>
      </c>
      <c r="BM269" s="31" t="str" cm="1">
        <f t="array" ref="BM269">IFERROR(""&amp;INDEX(regNatjecatelj_klub,DV269),"")</f>
        <v>OK Kapela</v>
      </c>
      <c r="BN269" s="88" t="str">
        <f t="shared" si="323"/>
        <v/>
      </c>
      <c r="BO269" s="66" t="str">
        <f t="shared" si="324"/>
        <v>OK Kapela</v>
      </c>
      <c r="BP269" s="47" t="s">
        <v>0</v>
      </c>
      <c r="BQ269" s="52" t="str">
        <f>IF(X269&lt;&gt;"NEMA","",IF(IFERROR(MATCH(W269,W$12:W268,0),0)&lt;&gt;0,"",W269))</f>
        <v/>
      </c>
      <c r="BR269" s="73" t="str">
        <f t="shared" si="325"/>
        <v/>
      </c>
      <c r="BS269" s="31" t="str">
        <f>IF(OR(BR269="",BR269&lt;&gt;"NEMA"),"",MAX(BS$12:BS268)+1)</f>
        <v/>
      </c>
      <c r="BT269" s="66" t="str">
        <f t="shared" si="326"/>
        <v/>
      </c>
      <c r="BU269" s="47" t="s">
        <v>0</v>
      </c>
      <c r="BV269" s="19" t="str">
        <f t="shared" si="327"/>
        <v/>
      </c>
      <c r="BW269" s="47" t="s">
        <v>0</v>
      </c>
      <c r="BX269" s="82" t="str">
        <f>IF(BK269&lt;&gt;"NEMA","",IF(IFERROR(MATCH(BJ269,BJ$12:BJ268,0),0)&lt;&gt;0,"",BJ269))</f>
        <v/>
      </c>
      <c r="BY269" s="47" t="s">
        <v>0</v>
      </c>
      <c r="BZ269" s="125"/>
      <c r="CA269" s="47" t="s">
        <v>0</v>
      </c>
      <c r="CB269" s="58" t="str">
        <f t="shared" si="328"/>
        <v/>
      </c>
      <c r="CC269" s="31" t="str">
        <f t="shared" si="329"/>
        <v/>
      </c>
      <c r="CD269" s="31" t="str">
        <f>IF(CC269="","",MAX(CD$12:CD268)+1)</f>
        <v/>
      </c>
      <c r="CE269" s="31" t="str">
        <f t="shared" ref="CE269:CE332" si="365">IF(CC269="","",IF(AA269="","",IF(AA269="NEMA",AC269,AA269)))</f>
        <v/>
      </c>
      <c r="CF269" s="31" t="str">
        <f t="shared" si="330"/>
        <v/>
      </c>
      <c r="CG269" s="31" t="str">
        <f>IF(BZ269="","",MAX(CG$12:CG268)+1)</f>
        <v/>
      </c>
      <c r="CH269" s="31" t="str">
        <f t="shared" si="331"/>
        <v/>
      </c>
      <c r="CI269" s="66" t="str">
        <f t="shared" si="332"/>
        <v/>
      </c>
      <c r="CJ269" s="47" t="s">
        <v>0</v>
      </c>
      <c r="CK269" s="73" t="str">
        <f t="shared" ref="CK269:CK332" si="366">IF(BK269="","",IF(BK269&lt;&gt;"NEMA","",IFERROR(INDEX(nat_klubAliasId,MATCH(BJ269,nat_noviKluboviAliasi,0)),"")))</f>
        <v/>
      </c>
      <c r="CL269" s="47"/>
      <c r="CM269" s="19" t="str">
        <f t="shared" si="333"/>
        <v/>
      </c>
      <c r="CN269" s="47" t="s">
        <v>0</v>
      </c>
      <c r="CO269" s="143" t="str">
        <f t="shared" si="334"/>
        <v>OK Kapela</v>
      </c>
      <c r="CP269" s="47" t="s">
        <v>0</v>
      </c>
      <c r="CQ269" s="58" t="str">
        <f t="shared" si="350"/>
        <v>67:21</v>
      </c>
      <c r="CR269" s="73" t="str">
        <f t="shared" si="351"/>
        <v>0</v>
      </c>
      <c r="CS269" s="229" t="str">
        <f t="shared" ref="CS269:CS332" si="367">IF(CQ269="",IF(OR(AL269="",CR269&lt;&gt;"0"),"","GREŠKA"),IF(AND(65535&gt;=VALUE(LEFT(CQ269,SEARCH(":",CQ269)-1))*60+VALUE(RIGHT(CQ269,2)),OR(CR269="0",CR269="1",CR269="2",CR269="3",CR269="4")),"","GREŠKA"))</f>
        <v/>
      </c>
      <c r="CT269" s="230">
        <f t="shared" si="352"/>
        <v>4041</v>
      </c>
      <c r="CU269" s="163">
        <f t="shared" ref="CU269:CU332" si="368">IF(DU269="","",IF(AND(CR269="0",N(CT269)&gt;data_max_minuta*60),2,INDEX(regStatusRezultat_id,MATCH(VALUE(CR269),regStatusRezultat_oEvent,0))))</f>
        <v>1</v>
      </c>
      <c r="CV269" s="47" t="s">
        <v>0</v>
      </c>
      <c r="CW269" s="222" t="str">
        <f t="shared" si="335"/>
        <v xml:space="preserve">
</v>
      </c>
      <c r="CX269" s="223">
        <f t="shared" si="336"/>
        <v>6</v>
      </c>
      <c r="CY269" s="47" t="s">
        <v>0</v>
      </c>
      <c r="CZ269" s="47"/>
      <c r="DA269" s="47"/>
      <c r="DB269" s="47"/>
      <c r="DC269" s="47" t="s">
        <v>0</v>
      </c>
      <c r="DD269" s="53" t="str">
        <f t="shared" si="344"/>
        <v/>
      </c>
      <c r="DE269" t="s">
        <v>0</v>
      </c>
      <c r="DF269" s="128" t="str">
        <f t="shared" si="345"/>
        <v>Ž</v>
      </c>
      <c r="DG269" t="s">
        <v>0</v>
      </c>
      <c r="DH269" s="52" t="str">
        <f t="shared" si="346"/>
        <v/>
      </c>
      <c r="DI269" s="66" t="str">
        <f t="shared" si="347"/>
        <v/>
      </c>
      <c r="DJ269" t="s">
        <v>0</v>
      </c>
      <c r="DK269" s="19" t="str">
        <f t="shared" si="348"/>
        <v/>
      </c>
      <c r="DL269" s="47" t="s">
        <v>0</v>
      </c>
      <c r="DM269" s="19" t="str">
        <f t="shared" si="349"/>
        <v/>
      </c>
      <c r="DN269" s="47" t="s">
        <v>0</v>
      </c>
      <c r="DO269" s="52" t="str">
        <f t="shared" ref="DO269:DO332" si="369">IF(AL269="","",DR269 &amp; IF(Q269="",""," – " &amp; Q269))</f>
        <v>Višnja – Dukić – OK Kapela – Ž21B</v>
      </c>
      <c r="DP269" s="53">
        <f t="shared" ref="DP269:DP332" si="370">IF(DO269="","",IFERROR(MATCH(DO269,regNatjecatelj_imePrezimeKlubKategorija,0),"NEMA"))</f>
        <v>232</v>
      </c>
      <c r="DQ269" s="47" t="s">
        <v>0</v>
      </c>
      <c r="DR269" s="52" t="str">
        <f t="shared" ref="DR269:DR332" si="371">IF(AL269="","",DU269 &amp; IF(CO269="",""," – " &amp; CO269))</f>
        <v>Višnja – Dukić – OK Kapela</v>
      </c>
      <c r="DS269" s="53">
        <f t="shared" ref="DS269:DS332" si="372">IF(DR269="","",IFERROR(MATCH(DR269,regNatjecatelj_imePrezimeKlub,0),"NEMA"))</f>
        <v>232</v>
      </c>
      <c r="DT269" s="47" t="s">
        <v>0</v>
      </c>
      <c r="DU269" s="52" t="str">
        <f t="shared" ref="DU269:DU332" si="373">IF(BG269="","",BF269&amp;" – "&amp;BG269)</f>
        <v>Višnja – Dukić</v>
      </c>
      <c r="DV269" s="53">
        <f t="shared" ref="DV269:DV332" si="374">IF(DU269="","",IFERROR(MATCH(DU269,regNatjecatelj_imePrezime,0),"NEMA"))</f>
        <v>232</v>
      </c>
      <c r="DW269" s="47" t="s">
        <v>0</v>
      </c>
      <c r="DX269" s="58">
        <f t="shared" si="337"/>
        <v>232</v>
      </c>
      <c r="DY269" s="53" cm="1">
        <f t="array" ref="DY269">IF(DX269&lt;&gt;"",INDEX(regNatjecatelj_id,DX269,0),IF(BD269&lt;&gt;"",BD269,""))</f>
        <v>1059</v>
      </c>
      <c r="DZ269" s="47" t="s">
        <v>0</v>
      </c>
      <c r="EA269" s="58" t="str">
        <f t="shared" ref="EA269:EA332" si="375">IF(AL269="","",IF(BD269&lt;&gt;"","novo",IF(AN269="","imepre","imepre(ali)")))</f>
        <v>imepre</v>
      </c>
      <c r="EB269" s="73" t="str">
        <f t="shared" ref="EB269:EB332" si="376">IF(AL269="","",IF(BJ269="",IF(IFERROR(INDEX(regNatjecatelj_klub,MATCH(DY269,regNatjecatelj_id,0)),"NEMA")="","klu",""),IF(OR(AND(BK269&lt;&gt;"",BK269&lt;&gt;"NEMA"),CH269&lt;&gt;""),"klu(ali)",IF(AND(BM269&lt;&gt;"",BM269&lt;&gt;BL269),"(raz-klu)","klu"))))</f>
        <v>klu</v>
      </c>
      <c r="EC269" s="73" t="str">
        <f t="shared" ref="EC269:EC332" si="377">IF(AL269="","","kat"&amp;IF(AND(W269&lt;&gt;Q269,Q269&lt;&gt;"Open"),"(ali)",""))</f>
        <v>kat</v>
      </c>
      <c r="ED269" s="73" t="str">
        <f t="shared" ref="ED269:ED332" si="378">IF(OR(CS269&lt;&gt;"",CU269=2),"ot","")</f>
        <v/>
      </c>
      <c r="EE269" s="66" t="str">
        <f t="shared" ref="EE269:EE332" si="379">IF(AL269="","",EA269&amp;IF(EA269="novo","","-"&amp;EB269&amp;"-"&amp;EC269)&amp;IF(ED269="","","-"&amp;ED269))</f>
        <v>imepre-klu-kat</v>
      </c>
      <c r="EF269" s="47" t="s">
        <v>0</v>
      </c>
      <c r="EG269" s="58">
        <f>IF(AL269="","",MAX(EG$12:EG268)+1)</f>
        <v>420</v>
      </c>
      <c r="EH269" s="73">
        <f t="shared" ref="EH269:EH332" si="380">IF(AO269="","",X269)</f>
        <v>40</v>
      </c>
      <c r="EI269" s="73">
        <f t="shared" si="338"/>
        <v>1059</v>
      </c>
      <c r="EJ269" s="73">
        <f t="shared" ref="EJ269:EJ332" si="381">IF(CT269="","",CT269)</f>
        <v>4041</v>
      </c>
      <c r="EK269" s="73">
        <f t="shared" ref="EK269:EK332" si="382">IF(CU269="","",IF(AND(EJ269="",CU269=1),6,CU269))</f>
        <v>1</v>
      </c>
      <c r="EL269" s="73">
        <f t="shared" si="339"/>
        <v>1</v>
      </c>
      <c r="EM269" s="73">
        <f t="shared" si="340"/>
        <v>1</v>
      </c>
      <c r="EN269" s="73" t="str">
        <f t="shared" ref="EN269:EN332" si="383">IF(CU269="","",CR269)</f>
        <v>0</v>
      </c>
      <c r="EO269" s="73" t="str">
        <f t="shared" ref="EO269:EO332" si="384">IF(OR(AN269="",AN269="NEMA"),BB269,AN269)</f>
        <v/>
      </c>
      <c r="EP269" s="73" t="str">
        <f t="shared" ref="EP269:EP332" si="385">IF(AND(BK269&lt;&gt;"",BK269&lt;&gt;"NEMA"),BK269,IF(CK269&lt;&gt;"",CK269,IF(AND(BR269&lt;&gt;"",BR269&lt;&gt;"NEMA"),BR269,IF(BS269&lt;&gt;"",BS269,""))))</f>
        <v/>
      </c>
      <c r="EQ269" s="53" t="str">
        <f t="shared" ref="EQ269:EQ332" si="386">IF(INDEX(natKategorija_alias_Id,MATCH(S269,natKategorija_katRegId,0))="","",INDEX(natKategorija_alias_Id,MATCH(S269,natKategorija_katRegId,0)))</f>
        <v/>
      </c>
      <c r="ER269" s="47" t="s">
        <v>0</v>
      </c>
      <c r="ES269" s="19" t="str">
        <f t="shared" si="341"/>
        <v>INSERT INTO rezultat(id,stazakategorija_id,imeprezime_id,vrijeme_sec,status_id,registracija,uparivanje_id,originalstatus_id,imeprezimealias_id,klubalias_id,kategorijaalias_id) VALUES (420,40,1059,4041,1,1,1,0,Null,Null,Null);</v>
      </c>
      <c r="ET269" s="47" t="s">
        <v>0</v>
      </c>
      <c r="EU269" s="19" t="str">
        <f t="shared" si="342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9" s="47" t="s">
        <v>0</v>
      </c>
      <c r="EW269" s="180" t="str">
        <f t="shared" ref="EW269:EW332" si="387">AG269&amp;IF(BV269="","","
")&amp;BV269&amp;IF(CM269="","","
")&amp;CM269&amp;IF(DK269="","","
")&amp;DK269&amp;IF(DM269="","","
")&amp;DM269&amp;IF(ES269="","","
")&amp;ES269&amp;IF(EU269="","","
")&amp;EU269</f>
        <v xml:space="preserve">
INSERT INTO rezultat(id,stazakategorija_id,imeprezime_id,vrijeme_sec,status_id,registracija,uparivanje_id,originalstatus_id,imeprezimealias_id,klubalias_id,kategorijaalias_id) VALUES (420,40,1059,4041,1,1,1,0,Null,Null,Null);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9" s="47" t="s">
        <v>0</v>
      </c>
    </row>
    <row r="270" spans="1:154" x14ac:dyDescent="0.25">
      <c r="A270" t="s">
        <v>0</v>
      </c>
      <c r="B270" s="52" t="str">
        <f>IF(csv!F260="","",csv!T260)</f>
        <v>Ž21B</v>
      </c>
      <c r="C270" s="31" t="s">
        <v>0</v>
      </c>
      <c r="D270" s="31" t="str">
        <f>IF(csv!F260="","",csv!F260)</f>
        <v>Suzana</v>
      </c>
      <c r="E270" s="31" t="str">
        <f>IF(csv!E260="","",csv!E260)</f>
        <v>Stanić</v>
      </c>
      <c r="F270" s="31" t="s">
        <v>0</v>
      </c>
      <c r="G270" s="73" t="str">
        <f>IF(csv!M260="","",csv!M260)</f>
        <v>76:26</v>
      </c>
      <c r="H270" s="73" t="str">
        <f>IF(csv!N260="","",csv!N260)</f>
        <v>0</v>
      </c>
      <c r="I270" s="31" t="s">
        <v>0</v>
      </c>
      <c r="J270" s="31" t="str">
        <f>IF(csv!P260="","",csv!P260)</f>
        <v>KAP</v>
      </c>
      <c r="K270" s="31" t="str">
        <f>IF(csv!Q260="","",csv!Q260)</f>
        <v>OK Kapela</v>
      </c>
      <c r="L270" s="31" t="s">
        <v>0</v>
      </c>
      <c r="M270" s="66" t="str">
        <f>IF(csv!R260="","",csv!R260)</f>
        <v>CRO</v>
      </c>
      <c r="N270" s="47" t="s">
        <v>0</v>
      </c>
      <c r="O270" s="246" t="str">
        <f t="shared" ref="O270:O333" si="388">IF(E270="","","ok")</f>
        <v>ok</v>
      </c>
      <c r="P270" s="47"/>
      <c r="Q270" s="52" t="str">
        <f t="shared" ref="Q270:Q333" si="389">IF(B270="","",B270)</f>
        <v>Ž21B</v>
      </c>
      <c r="R270" s="73">
        <f>IF(Q270="","",IF(COUNTIF(Q$12:Q269,Q270)=0,R269+1,R269))</f>
        <v>18</v>
      </c>
      <c r="S270" s="73">
        <f t="shared" ref="S270:S333" si="390">IF(Q270="","",IFERROR(INDEX(regKategorija_id,MATCH(Q270,regKategorija_oznaka,0)),IFERROR(INDEX(regKategorija_alias_id,MATCH(Q270,regKategorija_alias_oznaka,0)),INDEX(natKategorija_katRegId,MATCH(Q270,natKategorija_kategorija,0)))))</f>
        <v>118</v>
      </c>
      <c r="T270" s="73">
        <f t="shared" si="353"/>
        <v>27</v>
      </c>
      <c r="U270" s="66" t="str">
        <f t="shared" si="354"/>
        <v>Ž21B – Ž16</v>
      </c>
      <c r="V270" s="47" t="s">
        <v>0</v>
      </c>
      <c r="W270" s="222" t="str">
        <f t="shared" si="355"/>
        <v>Ž21B</v>
      </c>
      <c r="X270" s="223">
        <f t="shared" si="356"/>
        <v>40</v>
      </c>
      <c r="Y270" s="47" t="s">
        <v>0</v>
      </c>
      <c r="Z270" s="52" t="str">
        <f t="shared" ref="Z270:Z333" si="391">IF(O270="","",M270)</f>
        <v>CRO</v>
      </c>
      <c r="AA270" s="73">
        <f t="shared" si="357"/>
        <v>1</v>
      </c>
      <c r="AB270" s="31" t="str">
        <f t="shared" ref="AB270:AB333" si="392">IF(OR(AA270="",AA270&lt;&gt;"NEMA"),"",Z270)</f>
        <v/>
      </c>
      <c r="AC270" s="66" t="str">
        <f>IF(AB270="","",MAX(AC$12:AC269)+1)</f>
        <v/>
      </c>
      <c r="AD270" s="47" t="s">
        <v>0</v>
      </c>
      <c r="AE270" s="125"/>
      <c r="AF270" s="47" t="s">
        <v>0</v>
      </c>
      <c r="AG270" s="19" t="str">
        <f t="shared" ref="AG270:AG333" si="393">IF(AB270="","","INSERT INTO drzava(id,naziv,oznaka) VALUES ("&amp;AC270&amp;",'"&amp;AE270&amp;"','"&amp;UPPER(LEFT(AB270,1))&amp;LOWER(RIGHT(AB270,2))&amp;"');")</f>
        <v/>
      </c>
      <c r="AH270" s="47" t="s">
        <v>0</v>
      </c>
      <c r="AI270" s="143" t="str">
        <f t="shared" ref="AI270:AI333" si="394">IF(AA270="","",IF(AA270="NEMA",AB270,Z270))</f>
        <v>CRO</v>
      </c>
      <c r="AJ270" s="47"/>
      <c r="AK270" s="52" t="str">
        <f t="shared" ref="AK270:AK333" si="395">IF(O270="","",D270)</f>
        <v>Suzana</v>
      </c>
      <c r="AL270" s="31" t="str">
        <f t="shared" ref="AL270:AL333" si="396">IF(O270="","",E270)</f>
        <v>Stanić</v>
      </c>
      <c r="AM270" s="73">
        <f t="shared" ref="AM270:AM333" si="397">IF(AL270="","",IFERROR(INDEX(regNatjecatelj_id,MATCH(AK270&amp;" – "&amp;AL270,regNatjecatelj_imePrezime,0)),"NEMA"))</f>
        <v>1032</v>
      </c>
      <c r="AN270" s="73" t="str">
        <f t="shared" ref="AN270:AN333" si="398">IF(AM270&lt;&gt;"NEMA","",IFERROR(INDEX(regNatjecatelj_alias_natjecateljId,MATCH(AK270&amp;" "&amp;AL270,regNatjecatelj_alias_alias,0)),"NEMA"))</f>
        <v/>
      </c>
      <c r="AO270" s="31" t="str">
        <f t="shared" si="358"/>
        <v>Suzana</v>
      </c>
      <c r="AP270" s="66" t="str">
        <f t="shared" si="359"/>
        <v>Stanić</v>
      </c>
      <c r="AQ270" s="47" t="s">
        <v>0</v>
      </c>
      <c r="AR270" s="82" t="str">
        <f t="shared" ref="AR270:AR333" si="399">IF(OR(O270="",AN270&lt;&gt;"NEMA"),"",AK270&amp;" "&amp;AL270)</f>
        <v/>
      </c>
      <c r="AS270" s="47" t="s">
        <v>0</v>
      </c>
      <c r="AT270" s="19" t="str">
        <f t="shared" ref="AT270:AT333" si="400">IF(OR(AM270&lt;&gt;"NEMA",AN270&lt;&gt;"NEMA"),"","SELECT '"&amp;AO270&amp;" – "&amp;AP270&amp;"', ime, prezime FROM imeprezime WHERE ime LIKE '%"&amp;MID(AO270,2,LEN(AO270)-2)&amp;"%' Or prezime LIKE '%"&amp;MID(AP270,2,LEN(AP270)-2)&amp;"%' Or ime LIKE '%"&amp;MID(AP270,2,LEN(AP270)-2)&amp;"%' Or prezime LIKE '%"&amp;MID(AO270,2,LEN(AO270)-2)&amp;"%' ORDER BY ime, prezime;")</f>
        <v/>
      </c>
      <c r="AU270" s="47" t="s">
        <v>0</v>
      </c>
      <c r="AV270" s="103"/>
      <c r="AW270" s="105"/>
      <c r="AX270" s="47" t="s">
        <v>0</v>
      </c>
      <c r="AY270" s="259" t="str">
        <f t="shared" si="343"/>
        <v/>
      </c>
      <c r="AZ270" s="47" t="s">
        <v>0</v>
      </c>
      <c r="BA270" s="52" t="str">
        <f t="shared" si="360"/>
        <v/>
      </c>
      <c r="BB270" s="73" t="str">
        <f>IF(AV270&amp;AW270="","",MAX(BB$12:BB269)+1)</f>
        <v/>
      </c>
      <c r="BC270" s="272" t="str">
        <f t="shared" si="361"/>
        <v/>
      </c>
      <c r="BD270" s="53" t="str">
        <f>IF(AND(AM270="NEMA",AN270="NEMA",OR(AV270&amp;AW270="",BC270="NEMA")),MAX(BD$12:BD269)+1,"")</f>
        <v/>
      </c>
      <c r="BE270" s="47" t="s">
        <v>0</v>
      </c>
      <c r="BF270" s="52" t="str">
        <f t="shared" ref="BF270:BF333" si="401">IF(AL270="","",IF(BC270="",AO270,IF(BC270="NEMA",AV270,INDEX(regNatjecatelj_ime,MATCH(BC270,regNatjecatelj_id,0)))))</f>
        <v>Suzana</v>
      </c>
      <c r="BG270" s="66" t="str">
        <f t="shared" ref="BG270:BG333" si="402">IF(AL270="","",IF(BC270="",AP270,IF(BC270="NEMA",AW270,INDEX(regNatjecatelj_prezime,MATCH(BC270,regNatjecatelj_id,0)))))</f>
        <v>Stanić</v>
      </c>
      <c r="BH270" s="47" t="s">
        <v>0</v>
      </c>
      <c r="BI270" s="52" t="str">
        <f t="shared" si="362"/>
        <v>KAP</v>
      </c>
      <c r="BJ270" s="31" t="str">
        <f t="shared" si="363"/>
        <v>OK Kapela</v>
      </c>
      <c r="BK270" s="73" t="str">
        <f t="shared" si="364"/>
        <v/>
      </c>
      <c r="BL270" s="31" t="str" cm="1">
        <f t="array" ref="BL270">IF(BK270="",""&amp;BJ270,IF(BK270="NEMA",BJ270,INDEX(regKlub_naziv,MATCH(INDEX(regKlub_alias_klubId,BK270),regKlub_id,0))))</f>
        <v>OK Kapela</v>
      </c>
      <c r="BM270" s="31" t="str" cm="1">
        <f t="array" ref="BM270">IFERROR(""&amp;INDEX(regNatjecatelj_klub,DV270),"")</f>
        <v>OK Kapela</v>
      </c>
      <c r="BN270" s="88" t="str">
        <f t="shared" ref="BN270:BN333" si="403">IF(BL270=BM270,"",IF(BM270="","",1))</f>
        <v/>
      </c>
      <c r="BO270" s="66" t="str">
        <f t="shared" ref="BO270:BO333" si="404">IF(AND(BM270&lt;&gt;"",BM270&lt;&gt;BL270),BM270,""&amp;BL270)</f>
        <v>OK Kapela</v>
      </c>
      <c r="BP270" s="47" t="s">
        <v>0</v>
      </c>
      <c r="BQ270" s="52" t="str">
        <f>IF(X270&lt;&gt;"NEMA","",IF(IFERROR(MATCH(W270,W$12:W269,0),0)&lt;&gt;0,"",W270))</f>
        <v/>
      </c>
      <c r="BR270" s="73" t="str">
        <f t="shared" ref="BR270:BR333" si="405">IF(BQ270="","",IFERROR(INDEX(regKlub_alias_id,MATCH(BQ270,regKlub_alias_alias,0)),"NEMA"))</f>
        <v/>
      </c>
      <c r="BS270" s="31" t="str">
        <f>IF(OR(BR270="",BR270&lt;&gt;"NEMA"),"",MAX(BS$12:BS269)+1)</f>
        <v/>
      </c>
      <c r="BT270" s="66" t="str">
        <f t="shared" ref="BT270:BT333" si="406">IF(OR(BR270="",BR270&lt;&gt;"NEMA"),"",INDEX(regKlub_id,MATCH(BQ270,regKlub_naziv,0)))</f>
        <v/>
      </c>
      <c r="BU270" s="47" t="s">
        <v>0</v>
      </c>
      <c r="BV270" s="19" t="str">
        <f t="shared" ref="BV270:BV333" si="407">IF(OR(BR270="",BR270&lt;&gt;"NEMA"),"","INSERT INTO klub_alias(id,alias,klub_id) VALUES ("&amp;BS270&amp;",'"&amp;BQ270&amp;"',"&amp;BT270&amp;");")</f>
        <v/>
      </c>
      <c r="BW270" s="47" t="s">
        <v>0</v>
      </c>
      <c r="BX270" s="82" t="str">
        <f>IF(BK270&lt;&gt;"NEMA","",IF(IFERROR(MATCH(BJ270,BJ$12:BJ269,0),0)&lt;&gt;0,"",BJ270))</f>
        <v/>
      </c>
      <c r="BY270" s="47" t="s">
        <v>0</v>
      </c>
      <c r="BZ270" s="125"/>
      <c r="CA270" s="47" t="s">
        <v>0</v>
      </c>
      <c r="CB270" s="58" t="str">
        <f t="shared" ref="CB270:CB333" si="408">IF(BZ270="","",IFERROR(INDEX(regKlub_id,MATCH(BZ270,regKlub_naziv,0)),"NEMA"))</f>
        <v/>
      </c>
      <c r="CC270" s="31" t="str">
        <f t="shared" ref="CC270:CC333" si="409">IF(BX270="","",IF(BZ270="",BX270,""))</f>
        <v/>
      </c>
      <c r="CD270" s="31" t="str">
        <f>IF(CC270="","",MAX(CD$12:CD269)+1)</f>
        <v/>
      </c>
      <c r="CE270" s="31" t="str">
        <f t="shared" si="365"/>
        <v/>
      </c>
      <c r="CF270" s="31" t="str">
        <f t="shared" ref="CF270:CF333" si="410">IF(CC270="","","INSERT INTO klub(id,naziv,drzava_id,aktivan) VALUES ("&amp;CD270&amp;",'"&amp;CC270&amp;"',"&amp;CE270&amp;",1);")</f>
        <v/>
      </c>
      <c r="CG270" s="31" t="str">
        <f>IF(BZ270="","",MAX(CG$12:CG269)+1)</f>
        <v/>
      </c>
      <c r="CH270" s="31" t="str">
        <f t="shared" ref="CH270:CH333" si="411">IF(BZ270="","",IF(CD270="",INDEX(regKlub_id,MATCH(BZ270,regKlub_naziv,0)),CD270))</f>
        <v/>
      </c>
      <c r="CI270" s="66" t="str">
        <f t="shared" ref="CI270:CI333" si="412">IF(BZ270="","","INSERT INTO klub_alias(id,alias,klub_id) VALUES ("&amp;CG270&amp;",'"&amp;BX270&amp;"',"&amp;CH270&amp;");")</f>
        <v/>
      </c>
      <c r="CJ270" s="47" t="s">
        <v>0</v>
      </c>
      <c r="CK270" s="73" t="str">
        <f t="shared" si="366"/>
        <v/>
      </c>
      <c r="CL270" s="47"/>
      <c r="CM270" s="19" t="str">
        <f t="shared" ref="CM270:CM333" si="413">""&amp;CF270&amp;IF(AND(CF270&lt;&gt;"",CI270&lt;&gt;""),"
","")&amp;CI270</f>
        <v/>
      </c>
      <c r="CN270" s="47" t="s">
        <v>0</v>
      </c>
      <c r="CO270" s="143" t="str">
        <f t="shared" ref="CO270:CO333" si="414">IF(BO270="","",IF(BZ270="",IF(IFERROR(MATCH(BO270,nat_noviKluboviAliasi,0),0)&gt;0,INDEX(nat_kluboviAliasi,MATCH(BO270,nat_noviKluboviAliasi,0)),BO270),BZ270))</f>
        <v>OK Kapela</v>
      </c>
      <c r="CP270" s="47" t="s">
        <v>0</v>
      </c>
      <c r="CQ270" s="58" t="str">
        <f t="shared" si="350"/>
        <v>76:26</v>
      </c>
      <c r="CR270" s="73" t="str">
        <f t="shared" si="351"/>
        <v>0</v>
      </c>
      <c r="CS270" s="229" t="str">
        <f t="shared" si="367"/>
        <v/>
      </c>
      <c r="CT270" s="230">
        <f t="shared" si="352"/>
        <v>4586</v>
      </c>
      <c r="CU270" s="163">
        <f t="shared" si="368"/>
        <v>1</v>
      </c>
      <c r="CV270" s="47" t="s">
        <v>0</v>
      </c>
      <c r="CW270" s="222" t="str">
        <f t="shared" ref="CW270:CW333" si="415">IF(CS270&lt;&gt;"GREŠKA","",AK270&amp;" "&amp;AL270&amp;" – Molim u OEventu provjeriti i ispraviti rezultat – vrijeme ("&amp;IF(CQ270="","nije upisano",CQ270)&amp;") i classifier ("&amp;CR270&amp;").")&amp;IF(OR(CS270&lt;&gt;"GREŠKA",CU270&lt;&gt;5),"
","")&amp;IF(CU270&lt;&gt;5,"",AK270&amp;" "&amp;AL270&amp;" – Molim u provjeriti je li natjecatelj zaista diskvalificiran. Ako je koje je obrazloženje, ako nije molim u OEventu ispraviti rezultat")</f>
        <v xml:space="preserve">
</v>
      </c>
      <c r="CX270" s="223">
        <f t="shared" ref="CX270:CX333" si="416">IF(DX270="","",IF(AND(CU270="0",N(CW270)&gt;data_max_minuta*60),2,INDEX(regStatusRezultat_id,MATCH(VALUE(CU270),regStatusRezultat_oEvent,0))))</f>
        <v>6</v>
      </c>
      <c r="CY270" s="47" t="s">
        <v>0</v>
      </c>
      <c r="CZ270" s="47"/>
      <c r="DA270" s="47"/>
      <c r="DB270" s="47"/>
      <c r="DC270" s="47" t="s">
        <v>0</v>
      </c>
      <c r="DD270" s="53" t="str">
        <f t="shared" si="344"/>
        <v/>
      </c>
      <c r="DE270" t="s">
        <v>0</v>
      </c>
      <c r="DF270" s="128" t="str">
        <f t="shared" si="345"/>
        <v>Ž</v>
      </c>
      <c r="DG270" t="s">
        <v>0</v>
      </c>
      <c r="DH270" s="52" t="str">
        <f t="shared" si="346"/>
        <v/>
      </c>
      <c r="DI270" s="66" t="str">
        <f t="shared" si="347"/>
        <v/>
      </c>
      <c r="DJ270" t="s">
        <v>0</v>
      </c>
      <c r="DK270" s="19" t="str">
        <f t="shared" si="348"/>
        <v/>
      </c>
      <c r="DL270" s="47" t="s">
        <v>0</v>
      </c>
      <c r="DM270" s="19" t="str">
        <f t="shared" si="349"/>
        <v/>
      </c>
      <c r="DN270" s="47" t="s">
        <v>0</v>
      </c>
      <c r="DO270" s="52" t="str">
        <f t="shared" si="369"/>
        <v>Suzana – Stanić – OK Kapela – Ž21B</v>
      </c>
      <c r="DP270" s="53">
        <f t="shared" si="370"/>
        <v>314</v>
      </c>
      <c r="DQ270" s="47" t="s">
        <v>0</v>
      </c>
      <c r="DR270" s="52" t="str">
        <f t="shared" si="371"/>
        <v>Suzana – Stanić – OK Kapela</v>
      </c>
      <c r="DS270" s="53">
        <f t="shared" si="372"/>
        <v>314</v>
      </c>
      <c r="DT270" s="47" t="s">
        <v>0</v>
      </c>
      <c r="DU270" s="52" t="str">
        <f t="shared" si="373"/>
        <v>Suzana – Stanić</v>
      </c>
      <c r="DV270" s="53">
        <f t="shared" si="374"/>
        <v>314</v>
      </c>
      <c r="DW270" s="47" t="s">
        <v>0</v>
      </c>
      <c r="DX270" s="58">
        <f t="shared" ref="DX270:DX333" si="417">IF(DP270="","",IF(DP270&lt;&gt;"NEMA",DP270,IF(DS270&lt;&gt;"NEMA",DS270,IF(DV270&lt;&gt;"NEMA",DV270,""))))</f>
        <v>314</v>
      </c>
      <c r="DY270" s="53" cm="1">
        <f t="array" ref="DY270">IF(DX270&lt;&gt;"",INDEX(regNatjecatelj_id,DX270,0),IF(BD270&lt;&gt;"",BD270,""))</f>
        <v>1032</v>
      </c>
      <c r="DZ270" s="47" t="s">
        <v>0</v>
      </c>
      <c r="EA270" s="58" t="str">
        <f t="shared" si="375"/>
        <v>imepre</v>
      </c>
      <c r="EB270" s="73" t="str">
        <f t="shared" si="376"/>
        <v>klu</v>
      </c>
      <c r="EC270" s="73" t="str">
        <f t="shared" si="377"/>
        <v>kat</v>
      </c>
      <c r="ED270" s="73" t="str">
        <f t="shared" si="378"/>
        <v/>
      </c>
      <c r="EE270" s="66" t="str">
        <f t="shared" si="379"/>
        <v>imepre-klu-kat</v>
      </c>
      <c r="EF270" s="47" t="s">
        <v>0</v>
      </c>
      <c r="EG270" s="58">
        <f>IF(AL270="","",MAX(EG$12:EG269)+1)</f>
        <v>421</v>
      </c>
      <c r="EH270" s="73">
        <f t="shared" si="380"/>
        <v>40</v>
      </c>
      <c r="EI270" s="73">
        <f t="shared" ref="EI270:EI333" si="418">IF(DY270="","",DY270)</f>
        <v>1032</v>
      </c>
      <c r="EJ270" s="73">
        <f t="shared" si="381"/>
        <v>4586</v>
      </c>
      <c r="EK270" s="73">
        <f t="shared" si="382"/>
        <v>1</v>
      </c>
      <c r="EL270" s="73">
        <f t="shared" ref="EL270:EL333" si="419">IF(DU270="","",IF(data_trka_je_rangirana=0,0,IF(OR(DP270="",DP270="NEMA"),0,1)))</f>
        <v>1</v>
      </c>
      <c r="EM270" s="73">
        <f t="shared" ref="EM270:EM333" si="420">IF(EG270="","",INDEX(regUparivanje_id,MATCH(EE270,regUparivanje_oznaka,0)))</f>
        <v>1</v>
      </c>
      <c r="EN270" s="73" t="str">
        <f t="shared" si="383"/>
        <v>0</v>
      </c>
      <c r="EO270" s="73" t="str">
        <f t="shared" si="384"/>
        <v/>
      </c>
      <c r="EP270" s="73" t="str">
        <f t="shared" si="385"/>
        <v/>
      </c>
      <c r="EQ270" s="53" t="str">
        <f t="shared" si="386"/>
        <v/>
      </c>
      <c r="ER270" s="47" t="s">
        <v>0</v>
      </c>
      <c r="ES270" s="19" t="str">
        <f t="shared" ref="ES270:ES333" si="421">IF(EH270="","","INSERT INTO rezultat(id,stazakategorija_id,imeprezime_id,vrijeme_sec,status_id,registracija,uparivanje_id,originalstatus_id,imeprezimealias_id,klubalias_id,kategorijaalias_id) VALUES ("&amp;EG270&amp;","&amp;EH270&amp;","&amp;EI270&amp;","&amp;IF(EJ270="","Null",EJ270)&amp;","&amp;EK270&amp;","&amp;EL270&amp;","&amp;EM270&amp;","&amp;EN270&amp;","&amp;IF(EO270="","Null",EO270)&amp;","&amp;IF(EP270="","Null",EP270)&amp;","&amp;IF(EQ270="","Null",EQ270)&amp;");")</f>
        <v>INSERT INTO rezultat(id,stazakategorija_id,imeprezime_id,vrijeme_sec,status_id,registracija,uparivanje_id,originalstatus_id,imeprezimealias_id,klubalias_id,kategorijaalias_id) VALUES (421,40,1032,4586,1,1,1,0,Null,Null,Null);</v>
      </c>
      <c r="ET270" s="47" t="s">
        <v>0</v>
      </c>
      <c r="EU270" s="19" t="str">
        <f t="shared" ref="EU270:EU333" si="422">IF(EH270="","",IF(EL270=1,"UPDATE
	registar
SET
	potvrda = 1
WHERE
	imeprezime_id="&amp;EI270&amp;"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"&amp;EH270&amp;")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0" s="47" t="s">
        <v>0</v>
      </c>
      <c r="EW270" s="180" t="str">
        <f t="shared" si="387"/>
        <v xml:space="preserve">
INSERT INTO rezultat(id,stazakategorija_id,imeprezime_id,vrijeme_sec,status_id,registracija,uparivanje_id,originalstatus_id,imeprezimealias_id,klubalias_id,kategorijaalias_id) VALUES (421,40,1032,4586,1,1,1,0,Null,Null,Null);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0" s="47" t="s">
        <v>0</v>
      </c>
    </row>
    <row r="271" spans="1:154" x14ac:dyDescent="0.25">
      <c r="A271" t="s">
        <v>0</v>
      </c>
      <c r="B271" s="52" t="str">
        <f>IF(csv!F261="","",csv!T261)</f>
        <v>Ž21B</v>
      </c>
      <c r="C271" s="31" t="s">
        <v>0</v>
      </c>
      <c r="D271" s="31" t="str">
        <f>IF(csv!F261="","",csv!F261)</f>
        <v>Lovorka</v>
      </c>
      <c r="E271" s="31" t="str">
        <f>IF(csv!E261="","",csv!E261)</f>
        <v>Čaja</v>
      </c>
      <c r="F271" s="31" t="s">
        <v>0</v>
      </c>
      <c r="G271" s="73" t="str">
        <f>IF(csv!M261="","",csv!M261)</f>
        <v>82:10</v>
      </c>
      <c r="H271" s="73" t="str">
        <f>IF(csv!N261="","",csv!N261)</f>
        <v>0</v>
      </c>
      <c r="I271" s="31" t="s">
        <v>0</v>
      </c>
      <c r="J271" s="31" t="str">
        <f>IF(csv!P261="","",csv!P261)</f>
        <v>Vihor</v>
      </c>
      <c r="K271" s="31" t="str">
        <f>IF(csv!Q261="","",csv!Q261)</f>
        <v>OK Vihor</v>
      </c>
      <c r="L271" s="31" t="s">
        <v>0</v>
      </c>
      <c r="M271" s="66" t="str">
        <f>IF(csv!R261="","",csv!R261)</f>
        <v>CRO</v>
      </c>
      <c r="N271" s="47" t="s">
        <v>0</v>
      </c>
      <c r="O271" s="246" t="str">
        <f t="shared" si="388"/>
        <v>ok</v>
      </c>
      <c r="P271" s="47"/>
      <c r="Q271" s="52" t="str">
        <f t="shared" si="389"/>
        <v>Ž21B</v>
      </c>
      <c r="R271" s="73">
        <f>IF(Q271="","",IF(COUNTIF(Q$12:Q270,Q271)=0,R270+1,R270))</f>
        <v>18</v>
      </c>
      <c r="S271" s="73">
        <f t="shared" si="390"/>
        <v>118</v>
      </c>
      <c r="T271" s="73">
        <f t="shared" si="353"/>
        <v>27</v>
      </c>
      <c r="U271" s="66" t="str">
        <f t="shared" si="354"/>
        <v>Ž21B – Ž16</v>
      </c>
      <c r="V271" s="47" t="s">
        <v>0</v>
      </c>
      <c r="W271" s="222" t="str">
        <f t="shared" si="355"/>
        <v>Ž21B</v>
      </c>
      <c r="X271" s="223">
        <f t="shared" si="356"/>
        <v>40</v>
      </c>
      <c r="Y271" s="47" t="s">
        <v>0</v>
      </c>
      <c r="Z271" s="52" t="str">
        <f t="shared" si="391"/>
        <v>CRO</v>
      </c>
      <c r="AA271" s="73">
        <f t="shared" si="357"/>
        <v>1</v>
      </c>
      <c r="AB271" s="31" t="str">
        <f t="shared" si="392"/>
        <v/>
      </c>
      <c r="AC271" s="66" t="str">
        <f>IF(AB271="","",MAX(AC$12:AC270)+1)</f>
        <v/>
      </c>
      <c r="AD271" s="47" t="s">
        <v>0</v>
      </c>
      <c r="AE271" s="125"/>
      <c r="AF271" s="47" t="s">
        <v>0</v>
      </c>
      <c r="AG271" s="19" t="str">
        <f t="shared" si="393"/>
        <v/>
      </c>
      <c r="AH271" s="47" t="s">
        <v>0</v>
      </c>
      <c r="AI271" s="143" t="str">
        <f t="shared" si="394"/>
        <v>CRO</v>
      </c>
      <c r="AJ271" s="47"/>
      <c r="AK271" s="52" t="str">
        <f t="shared" si="395"/>
        <v>Lovorka</v>
      </c>
      <c r="AL271" s="31" t="str">
        <f t="shared" si="396"/>
        <v>Čaja</v>
      </c>
      <c r="AM271" s="73">
        <f t="shared" si="397"/>
        <v>1063</v>
      </c>
      <c r="AN271" s="73" t="str">
        <f t="shared" si="398"/>
        <v/>
      </c>
      <c r="AO271" s="31" t="str">
        <f t="shared" si="358"/>
        <v>Lovorka</v>
      </c>
      <c r="AP271" s="66" t="str">
        <f t="shared" si="359"/>
        <v>Čaja</v>
      </c>
      <c r="AQ271" s="47" t="s">
        <v>0</v>
      </c>
      <c r="AR271" s="82" t="str">
        <f t="shared" si="399"/>
        <v/>
      </c>
      <c r="AS271" s="47" t="s">
        <v>0</v>
      </c>
      <c r="AT271" s="19" t="str">
        <f t="shared" si="400"/>
        <v/>
      </c>
      <c r="AU271" s="47" t="s">
        <v>0</v>
      </c>
      <c r="AV271" s="103"/>
      <c r="AW271" s="105"/>
      <c r="AX271" s="47" t="s">
        <v>0</v>
      </c>
      <c r="AY271" s="259" t="str">
        <f t="shared" si="343"/>
        <v/>
      </c>
      <c r="AZ271" s="47" t="s">
        <v>0</v>
      </c>
      <c r="BA271" s="52" t="str">
        <f t="shared" si="360"/>
        <v/>
      </c>
      <c r="BB271" s="73" t="str">
        <f>IF(AV271&amp;AW271="","",MAX(BB$12:BB270)+1)</f>
        <v/>
      </c>
      <c r="BC271" s="272" t="str">
        <f t="shared" si="361"/>
        <v/>
      </c>
      <c r="BD271" s="53" t="str">
        <f>IF(AND(AM271="NEMA",AN271="NEMA",OR(AV271&amp;AW271="",BC271="NEMA")),MAX(BD$12:BD270)+1,"")</f>
        <v/>
      </c>
      <c r="BE271" s="47" t="s">
        <v>0</v>
      </c>
      <c r="BF271" s="52" t="str">
        <f t="shared" si="401"/>
        <v>Lovorka</v>
      </c>
      <c r="BG271" s="66" t="str">
        <f t="shared" si="402"/>
        <v>Čaja</v>
      </c>
      <c r="BH271" s="47" t="s">
        <v>0</v>
      </c>
      <c r="BI271" s="52" t="str">
        <f t="shared" si="362"/>
        <v>Vihor</v>
      </c>
      <c r="BJ271" s="31" t="str">
        <f t="shared" si="363"/>
        <v>OK Vihor</v>
      </c>
      <c r="BK271" s="73" t="str">
        <f t="shared" si="364"/>
        <v/>
      </c>
      <c r="BL271" s="31" t="str" cm="1">
        <f t="array" ref="BL271">IF(BK271="",""&amp;BJ271,IF(BK271="NEMA",BJ271,INDEX(regKlub_naziv,MATCH(INDEX(regKlub_alias_klubId,BK271),regKlub_id,0))))</f>
        <v>OK Vihor</v>
      </c>
      <c r="BM271" s="31" t="str" cm="1">
        <f t="array" ref="BM271">IFERROR(""&amp;INDEX(regNatjecatelj_klub,DV271),"")</f>
        <v>OK Vihor</v>
      </c>
      <c r="BN271" s="88" t="str">
        <f t="shared" si="403"/>
        <v/>
      </c>
      <c r="BO271" s="66" t="str">
        <f t="shared" si="404"/>
        <v>OK Vihor</v>
      </c>
      <c r="BP271" s="47" t="s">
        <v>0</v>
      </c>
      <c r="BQ271" s="52" t="str">
        <f>IF(X271&lt;&gt;"NEMA","",IF(IFERROR(MATCH(W271,W$12:W270,0),0)&lt;&gt;0,"",W271))</f>
        <v/>
      </c>
      <c r="BR271" s="73" t="str">
        <f t="shared" si="405"/>
        <v/>
      </c>
      <c r="BS271" s="31" t="str">
        <f>IF(OR(BR271="",BR271&lt;&gt;"NEMA"),"",MAX(BS$12:BS270)+1)</f>
        <v/>
      </c>
      <c r="BT271" s="66" t="str">
        <f t="shared" si="406"/>
        <v/>
      </c>
      <c r="BU271" s="47" t="s">
        <v>0</v>
      </c>
      <c r="BV271" s="19" t="str">
        <f t="shared" si="407"/>
        <v/>
      </c>
      <c r="BW271" s="47" t="s">
        <v>0</v>
      </c>
      <c r="BX271" s="82" t="str">
        <f>IF(BK271&lt;&gt;"NEMA","",IF(IFERROR(MATCH(BJ271,BJ$12:BJ270,0),0)&lt;&gt;0,"",BJ271))</f>
        <v/>
      </c>
      <c r="BY271" s="47" t="s">
        <v>0</v>
      </c>
      <c r="BZ271" s="125"/>
      <c r="CA271" s="47" t="s">
        <v>0</v>
      </c>
      <c r="CB271" s="58" t="str">
        <f t="shared" si="408"/>
        <v/>
      </c>
      <c r="CC271" s="31" t="str">
        <f t="shared" si="409"/>
        <v/>
      </c>
      <c r="CD271" s="31" t="str">
        <f>IF(CC271="","",MAX(CD$12:CD270)+1)</f>
        <v/>
      </c>
      <c r="CE271" s="31" t="str">
        <f t="shared" si="365"/>
        <v/>
      </c>
      <c r="CF271" s="31" t="str">
        <f t="shared" si="410"/>
        <v/>
      </c>
      <c r="CG271" s="31" t="str">
        <f>IF(BZ271="","",MAX(CG$12:CG270)+1)</f>
        <v/>
      </c>
      <c r="CH271" s="31" t="str">
        <f t="shared" si="411"/>
        <v/>
      </c>
      <c r="CI271" s="66" t="str">
        <f t="shared" si="412"/>
        <v/>
      </c>
      <c r="CJ271" s="47" t="s">
        <v>0</v>
      </c>
      <c r="CK271" s="73" t="str">
        <f t="shared" si="366"/>
        <v/>
      </c>
      <c r="CL271" s="47"/>
      <c r="CM271" s="19" t="str">
        <f t="shared" si="413"/>
        <v/>
      </c>
      <c r="CN271" s="47" t="s">
        <v>0</v>
      </c>
      <c r="CO271" s="143" t="str">
        <f t="shared" si="414"/>
        <v>OK Vihor</v>
      </c>
      <c r="CP271" s="47" t="s">
        <v>0</v>
      </c>
      <c r="CQ271" s="58" t="str">
        <f t="shared" si="350"/>
        <v>82:10</v>
      </c>
      <c r="CR271" s="73" t="str">
        <f t="shared" si="351"/>
        <v>0</v>
      </c>
      <c r="CS271" s="229" t="str">
        <f t="shared" si="367"/>
        <v/>
      </c>
      <c r="CT271" s="230">
        <f t="shared" si="352"/>
        <v>4930</v>
      </c>
      <c r="CU271" s="163">
        <f t="shared" si="368"/>
        <v>1</v>
      </c>
      <c r="CV271" s="47" t="s">
        <v>0</v>
      </c>
      <c r="CW271" s="222" t="str">
        <f t="shared" si="415"/>
        <v xml:space="preserve">
</v>
      </c>
      <c r="CX271" s="223">
        <f t="shared" si="416"/>
        <v>6</v>
      </c>
      <c r="CY271" s="47" t="s">
        <v>0</v>
      </c>
      <c r="CZ271" s="47"/>
      <c r="DA271" s="47"/>
      <c r="DB271" s="47"/>
      <c r="DC271" s="47" t="s">
        <v>0</v>
      </c>
      <c r="DD271" s="53" t="str">
        <f t="shared" si="344"/>
        <v/>
      </c>
      <c r="DE271" t="s">
        <v>0</v>
      </c>
      <c r="DF271" s="128" t="str">
        <f t="shared" si="345"/>
        <v>Ž</v>
      </c>
      <c r="DG271" t="s">
        <v>0</v>
      </c>
      <c r="DH271" s="52" t="str">
        <f t="shared" si="346"/>
        <v/>
      </c>
      <c r="DI271" s="66" t="str">
        <f t="shared" si="347"/>
        <v/>
      </c>
      <c r="DJ271" t="s">
        <v>0</v>
      </c>
      <c r="DK271" s="19" t="str">
        <f t="shared" si="348"/>
        <v/>
      </c>
      <c r="DL271" s="47" t="s">
        <v>0</v>
      </c>
      <c r="DM271" s="19" t="str">
        <f t="shared" si="349"/>
        <v/>
      </c>
      <c r="DN271" s="47" t="s">
        <v>0</v>
      </c>
      <c r="DO271" s="52" t="str">
        <f t="shared" si="369"/>
        <v>Lovorka – Čaja – OK Vihor – Ž21B</v>
      </c>
      <c r="DP271" s="53">
        <f t="shared" si="370"/>
        <v>639</v>
      </c>
      <c r="DQ271" s="47" t="s">
        <v>0</v>
      </c>
      <c r="DR271" s="52" t="str">
        <f t="shared" si="371"/>
        <v>Lovorka – Čaja – OK Vihor</v>
      </c>
      <c r="DS271" s="53">
        <f t="shared" si="372"/>
        <v>639</v>
      </c>
      <c r="DT271" s="47" t="s">
        <v>0</v>
      </c>
      <c r="DU271" s="52" t="str">
        <f t="shared" si="373"/>
        <v>Lovorka – Čaja</v>
      </c>
      <c r="DV271" s="53">
        <f t="shared" si="374"/>
        <v>639</v>
      </c>
      <c r="DW271" s="47" t="s">
        <v>0</v>
      </c>
      <c r="DX271" s="58">
        <f t="shared" si="417"/>
        <v>639</v>
      </c>
      <c r="DY271" s="53" cm="1">
        <f t="array" ref="DY271">IF(DX271&lt;&gt;"",INDEX(regNatjecatelj_id,DX271,0),IF(BD271&lt;&gt;"",BD271,""))</f>
        <v>1063</v>
      </c>
      <c r="DZ271" s="47" t="s">
        <v>0</v>
      </c>
      <c r="EA271" s="58" t="str">
        <f t="shared" si="375"/>
        <v>imepre</v>
      </c>
      <c r="EB271" s="73" t="str">
        <f t="shared" si="376"/>
        <v>klu</v>
      </c>
      <c r="EC271" s="73" t="str">
        <f t="shared" si="377"/>
        <v>kat</v>
      </c>
      <c r="ED271" s="73" t="str">
        <f t="shared" si="378"/>
        <v/>
      </c>
      <c r="EE271" s="66" t="str">
        <f t="shared" si="379"/>
        <v>imepre-klu-kat</v>
      </c>
      <c r="EF271" s="47" t="s">
        <v>0</v>
      </c>
      <c r="EG271" s="58">
        <f>IF(AL271="","",MAX(EG$12:EG270)+1)</f>
        <v>422</v>
      </c>
      <c r="EH271" s="73">
        <f t="shared" si="380"/>
        <v>40</v>
      </c>
      <c r="EI271" s="73">
        <f t="shared" si="418"/>
        <v>1063</v>
      </c>
      <c r="EJ271" s="73">
        <f t="shared" si="381"/>
        <v>4930</v>
      </c>
      <c r="EK271" s="73">
        <f t="shared" si="382"/>
        <v>1</v>
      </c>
      <c r="EL271" s="73">
        <f t="shared" si="419"/>
        <v>1</v>
      </c>
      <c r="EM271" s="73">
        <f t="shared" si="420"/>
        <v>1</v>
      </c>
      <c r="EN271" s="73" t="str">
        <f t="shared" si="383"/>
        <v>0</v>
      </c>
      <c r="EO271" s="73" t="str">
        <f t="shared" si="384"/>
        <v/>
      </c>
      <c r="EP271" s="73" t="str">
        <f t="shared" si="385"/>
        <v/>
      </c>
      <c r="EQ271" s="53" t="str">
        <f t="shared" si="386"/>
        <v/>
      </c>
      <c r="ER271" s="47" t="s">
        <v>0</v>
      </c>
      <c r="ES271" s="19" t="str">
        <f t="shared" si="421"/>
        <v>INSERT INTO rezultat(id,stazakategorija_id,imeprezime_id,vrijeme_sec,status_id,registracija,uparivanje_id,originalstatus_id,imeprezimealias_id,klubalias_id,kategorijaalias_id) VALUES (422,40,1063,4930,1,1,1,0,Null,Null,Null);</v>
      </c>
      <c r="ET271" s="47" t="s">
        <v>0</v>
      </c>
      <c r="EU271" s="19" t="str">
        <f t="shared" si="422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1" s="47" t="s">
        <v>0</v>
      </c>
      <c r="EW271" s="180" t="str">
        <f t="shared" si="387"/>
        <v xml:space="preserve">
INSERT INTO rezultat(id,stazakategorija_id,imeprezime_id,vrijeme_sec,status_id,registracija,uparivanje_id,originalstatus_id,imeprezimealias_id,klubalias_id,kategorijaalias_id) VALUES (422,40,1063,4930,1,1,1,0,Null,Null,Null);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1" s="47" t="s">
        <v>0</v>
      </c>
    </row>
    <row r="272" spans="1:154" x14ac:dyDescent="0.25">
      <c r="A272" t="s">
        <v>0</v>
      </c>
      <c r="B272" s="52" t="str">
        <f>IF(csv!F262="","",csv!T262)</f>
        <v>Ž21B</v>
      </c>
      <c r="C272" s="31" t="s">
        <v>0</v>
      </c>
      <c r="D272" s="31" t="str">
        <f>IF(csv!F262="","",csv!F262)</f>
        <v>Andrea</v>
      </c>
      <c r="E272" s="31" t="str">
        <f>IF(csv!E262="","",csv!E262)</f>
        <v>Hribar</v>
      </c>
      <c r="F272" s="31" t="s">
        <v>0</v>
      </c>
      <c r="G272" s="73" t="str">
        <f>IF(csv!M262="","",csv!M262)</f>
        <v>84:27</v>
      </c>
      <c r="H272" s="73" t="str">
        <f>IF(csv!N262="","",csv!N262)</f>
        <v>0</v>
      </c>
      <c r="I272" s="31" t="s">
        <v>0</v>
      </c>
      <c r="J272" s="31" t="str">
        <f>IF(csv!P262="","",csv!P262)</f>
        <v>Vihor</v>
      </c>
      <c r="K272" s="31" t="str">
        <f>IF(csv!Q262="","",csv!Q262)</f>
        <v>OK Vihor</v>
      </c>
      <c r="L272" s="31" t="s">
        <v>0</v>
      </c>
      <c r="M272" s="66" t="str">
        <f>IF(csv!R262="","",csv!R262)</f>
        <v>CRO</v>
      </c>
      <c r="N272" s="47" t="s">
        <v>0</v>
      </c>
      <c r="O272" s="246" t="str">
        <f t="shared" si="388"/>
        <v>ok</v>
      </c>
      <c r="P272" s="47"/>
      <c r="Q272" s="52" t="str">
        <f t="shared" si="389"/>
        <v>Ž21B</v>
      </c>
      <c r="R272" s="73">
        <f>IF(Q272="","",IF(COUNTIF(Q$12:Q271,Q272)=0,R271+1,R271))</f>
        <v>18</v>
      </c>
      <c r="S272" s="73">
        <f t="shared" si="390"/>
        <v>118</v>
      </c>
      <c r="T272" s="73">
        <f t="shared" si="353"/>
        <v>27</v>
      </c>
      <c r="U272" s="66" t="str">
        <f t="shared" si="354"/>
        <v>Ž21B – Ž16</v>
      </c>
      <c r="V272" s="47" t="s">
        <v>0</v>
      </c>
      <c r="W272" s="222" t="str">
        <f t="shared" si="355"/>
        <v>Ž21B</v>
      </c>
      <c r="X272" s="223">
        <f t="shared" si="356"/>
        <v>40</v>
      </c>
      <c r="Y272" s="47" t="s">
        <v>0</v>
      </c>
      <c r="Z272" s="52" t="str">
        <f t="shared" si="391"/>
        <v>CRO</v>
      </c>
      <c r="AA272" s="73">
        <f t="shared" si="357"/>
        <v>1</v>
      </c>
      <c r="AB272" s="31" t="str">
        <f t="shared" si="392"/>
        <v/>
      </c>
      <c r="AC272" s="66" t="str">
        <f>IF(AB272="","",MAX(AC$12:AC271)+1)</f>
        <v/>
      </c>
      <c r="AD272" s="47" t="s">
        <v>0</v>
      </c>
      <c r="AE272" s="125"/>
      <c r="AF272" s="47" t="s">
        <v>0</v>
      </c>
      <c r="AG272" s="19" t="str">
        <f t="shared" si="393"/>
        <v/>
      </c>
      <c r="AH272" s="47" t="s">
        <v>0</v>
      </c>
      <c r="AI272" s="143" t="str">
        <f t="shared" si="394"/>
        <v>CRO</v>
      </c>
      <c r="AJ272" s="47"/>
      <c r="AK272" s="52" t="str">
        <f t="shared" si="395"/>
        <v>Andrea</v>
      </c>
      <c r="AL272" s="31" t="str">
        <f t="shared" si="396"/>
        <v>Hribar</v>
      </c>
      <c r="AM272" s="73">
        <f t="shared" si="397"/>
        <v>1943</v>
      </c>
      <c r="AN272" s="73" t="str">
        <f t="shared" si="398"/>
        <v/>
      </c>
      <c r="AO272" s="31" t="str">
        <f t="shared" si="358"/>
        <v>Andrea</v>
      </c>
      <c r="AP272" s="66" t="str">
        <f t="shared" si="359"/>
        <v>Hribar</v>
      </c>
      <c r="AQ272" s="47" t="s">
        <v>0</v>
      </c>
      <c r="AR272" s="82" t="str">
        <f t="shared" si="399"/>
        <v/>
      </c>
      <c r="AS272" s="47" t="s">
        <v>0</v>
      </c>
      <c r="AT272" s="19" t="str">
        <f t="shared" si="400"/>
        <v/>
      </c>
      <c r="AU272" s="47" t="s">
        <v>0</v>
      </c>
      <c r="AV272" s="103"/>
      <c r="AW272" s="105"/>
      <c r="AX272" s="47" t="s">
        <v>0</v>
      </c>
      <c r="AY272" s="259" t="str">
        <f t="shared" si="343"/>
        <v/>
      </c>
      <c r="AZ272" s="47" t="s">
        <v>0</v>
      </c>
      <c r="BA272" s="52" t="str">
        <f t="shared" si="360"/>
        <v/>
      </c>
      <c r="BB272" s="73" t="str">
        <f>IF(AV272&amp;AW272="","",MAX(BB$12:BB271)+1)</f>
        <v/>
      </c>
      <c r="BC272" s="272" t="str">
        <f t="shared" si="361"/>
        <v/>
      </c>
      <c r="BD272" s="53" t="str">
        <f>IF(AND(AM272="NEMA",AN272="NEMA",OR(AV272&amp;AW272="",BC272="NEMA")),MAX(BD$12:BD271)+1,"")</f>
        <v/>
      </c>
      <c r="BE272" s="47" t="s">
        <v>0</v>
      </c>
      <c r="BF272" s="52" t="str">
        <f t="shared" si="401"/>
        <v>Andrea</v>
      </c>
      <c r="BG272" s="66" t="str">
        <f t="shared" si="402"/>
        <v>Hribar</v>
      </c>
      <c r="BH272" s="47" t="s">
        <v>0</v>
      </c>
      <c r="BI272" s="52" t="str">
        <f t="shared" si="362"/>
        <v>Vihor</v>
      </c>
      <c r="BJ272" s="31" t="str">
        <f t="shared" si="363"/>
        <v>OK Vihor</v>
      </c>
      <c r="BK272" s="73" t="str">
        <f t="shared" si="364"/>
        <v/>
      </c>
      <c r="BL272" s="31" t="str" cm="1">
        <f t="array" ref="BL272">IF(BK272="",""&amp;BJ272,IF(BK272="NEMA",BJ272,INDEX(regKlub_naziv,MATCH(INDEX(regKlub_alias_klubId,BK272),regKlub_id,0))))</f>
        <v>OK Vihor</v>
      </c>
      <c r="BM272" s="31" t="str" cm="1">
        <f t="array" ref="BM272">IFERROR(""&amp;INDEX(regNatjecatelj_klub,DV272),"")</f>
        <v>OK Vihor</v>
      </c>
      <c r="BN272" s="88" t="str">
        <f t="shared" si="403"/>
        <v/>
      </c>
      <c r="BO272" s="66" t="str">
        <f t="shared" si="404"/>
        <v>OK Vihor</v>
      </c>
      <c r="BP272" s="47" t="s">
        <v>0</v>
      </c>
      <c r="BQ272" s="52" t="str">
        <f>IF(X272&lt;&gt;"NEMA","",IF(IFERROR(MATCH(W272,W$12:W271,0),0)&lt;&gt;0,"",W272))</f>
        <v/>
      </c>
      <c r="BR272" s="73" t="str">
        <f t="shared" si="405"/>
        <v/>
      </c>
      <c r="BS272" s="31" t="str">
        <f>IF(OR(BR272="",BR272&lt;&gt;"NEMA"),"",MAX(BS$12:BS271)+1)</f>
        <v/>
      </c>
      <c r="BT272" s="66" t="str">
        <f t="shared" si="406"/>
        <v/>
      </c>
      <c r="BU272" s="47" t="s">
        <v>0</v>
      </c>
      <c r="BV272" s="19" t="str">
        <f t="shared" si="407"/>
        <v/>
      </c>
      <c r="BW272" s="47" t="s">
        <v>0</v>
      </c>
      <c r="BX272" s="82" t="str">
        <f>IF(BK272&lt;&gt;"NEMA","",IF(IFERROR(MATCH(BJ272,BJ$12:BJ271,0),0)&lt;&gt;0,"",BJ272))</f>
        <v/>
      </c>
      <c r="BY272" s="47" t="s">
        <v>0</v>
      </c>
      <c r="BZ272" s="125"/>
      <c r="CA272" s="47" t="s">
        <v>0</v>
      </c>
      <c r="CB272" s="58" t="str">
        <f t="shared" si="408"/>
        <v/>
      </c>
      <c r="CC272" s="31" t="str">
        <f t="shared" si="409"/>
        <v/>
      </c>
      <c r="CD272" s="31" t="str">
        <f>IF(CC272="","",MAX(CD$12:CD271)+1)</f>
        <v/>
      </c>
      <c r="CE272" s="31" t="str">
        <f t="shared" si="365"/>
        <v/>
      </c>
      <c r="CF272" s="31" t="str">
        <f t="shared" si="410"/>
        <v/>
      </c>
      <c r="CG272" s="31" t="str">
        <f>IF(BZ272="","",MAX(CG$12:CG271)+1)</f>
        <v/>
      </c>
      <c r="CH272" s="31" t="str">
        <f t="shared" si="411"/>
        <v/>
      </c>
      <c r="CI272" s="66" t="str">
        <f t="shared" si="412"/>
        <v/>
      </c>
      <c r="CJ272" s="47" t="s">
        <v>0</v>
      </c>
      <c r="CK272" s="73" t="str">
        <f t="shared" si="366"/>
        <v/>
      </c>
      <c r="CL272" s="47"/>
      <c r="CM272" s="19" t="str">
        <f t="shared" si="413"/>
        <v/>
      </c>
      <c r="CN272" s="47" t="s">
        <v>0</v>
      </c>
      <c r="CO272" s="143" t="str">
        <f t="shared" si="414"/>
        <v>OK Vihor</v>
      </c>
      <c r="CP272" s="47" t="s">
        <v>0</v>
      </c>
      <c r="CQ272" s="58" t="str">
        <f t="shared" si="350"/>
        <v>84:27</v>
      </c>
      <c r="CR272" s="73" t="str">
        <f t="shared" si="351"/>
        <v>0</v>
      </c>
      <c r="CS272" s="229" t="str">
        <f t="shared" si="367"/>
        <v/>
      </c>
      <c r="CT272" s="230">
        <f t="shared" si="352"/>
        <v>5067</v>
      </c>
      <c r="CU272" s="163">
        <f t="shared" si="368"/>
        <v>1</v>
      </c>
      <c r="CV272" s="47" t="s">
        <v>0</v>
      </c>
      <c r="CW272" s="222" t="str">
        <f t="shared" si="415"/>
        <v xml:space="preserve">
</v>
      </c>
      <c r="CX272" s="223">
        <f t="shared" si="416"/>
        <v>6</v>
      </c>
      <c r="CY272" s="47" t="s">
        <v>0</v>
      </c>
      <c r="CZ272" s="47"/>
      <c r="DA272" s="47"/>
      <c r="DB272" s="47"/>
      <c r="DC272" s="47" t="s">
        <v>0</v>
      </c>
      <c r="DD272" s="53" t="str">
        <f t="shared" si="344"/>
        <v/>
      </c>
      <c r="DE272" t="s">
        <v>0</v>
      </c>
      <c r="DF272" s="128" t="str">
        <f t="shared" si="345"/>
        <v>Ž</v>
      </c>
      <c r="DG272" t="s">
        <v>0</v>
      </c>
      <c r="DH272" s="52" t="str">
        <f t="shared" si="346"/>
        <v/>
      </c>
      <c r="DI272" s="66" t="str">
        <f t="shared" si="347"/>
        <v/>
      </c>
      <c r="DJ272" t="s">
        <v>0</v>
      </c>
      <c r="DK272" s="19" t="str">
        <f t="shared" si="348"/>
        <v/>
      </c>
      <c r="DL272" s="47" t="s">
        <v>0</v>
      </c>
      <c r="DM272" s="19" t="str">
        <f t="shared" si="349"/>
        <v/>
      </c>
      <c r="DN272" s="47" t="s">
        <v>0</v>
      </c>
      <c r="DO272" s="52" t="str">
        <f t="shared" si="369"/>
        <v>Andrea – Hribar – OK Vihor – Ž21B</v>
      </c>
      <c r="DP272" s="53">
        <f t="shared" si="370"/>
        <v>702</v>
      </c>
      <c r="DQ272" s="47" t="s">
        <v>0</v>
      </c>
      <c r="DR272" s="52" t="str">
        <f t="shared" si="371"/>
        <v>Andrea – Hribar – OK Vihor</v>
      </c>
      <c r="DS272" s="53">
        <f t="shared" si="372"/>
        <v>702</v>
      </c>
      <c r="DT272" s="47" t="s">
        <v>0</v>
      </c>
      <c r="DU272" s="52" t="str">
        <f t="shared" si="373"/>
        <v>Andrea – Hribar</v>
      </c>
      <c r="DV272" s="53">
        <f t="shared" si="374"/>
        <v>702</v>
      </c>
      <c r="DW272" s="47" t="s">
        <v>0</v>
      </c>
      <c r="DX272" s="58">
        <f t="shared" si="417"/>
        <v>702</v>
      </c>
      <c r="DY272" s="53" cm="1">
        <f t="array" ref="DY272">IF(DX272&lt;&gt;"",INDEX(regNatjecatelj_id,DX272,0),IF(BD272&lt;&gt;"",BD272,""))</f>
        <v>1943</v>
      </c>
      <c r="DZ272" s="47" t="s">
        <v>0</v>
      </c>
      <c r="EA272" s="58" t="str">
        <f t="shared" si="375"/>
        <v>imepre</v>
      </c>
      <c r="EB272" s="73" t="str">
        <f t="shared" si="376"/>
        <v>klu</v>
      </c>
      <c r="EC272" s="73" t="str">
        <f t="shared" si="377"/>
        <v>kat</v>
      </c>
      <c r="ED272" s="73" t="str">
        <f t="shared" si="378"/>
        <v/>
      </c>
      <c r="EE272" s="66" t="str">
        <f t="shared" si="379"/>
        <v>imepre-klu-kat</v>
      </c>
      <c r="EF272" s="47" t="s">
        <v>0</v>
      </c>
      <c r="EG272" s="58">
        <f>IF(AL272="","",MAX(EG$12:EG271)+1)</f>
        <v>423</v>
      </c>
      <c r="EH272" s="73">
        <f t="shared" si="380"/>
        <v>40</v>
      </c>
      <c r="EI272" s="73">
        <f t="shared" si="418"/>
        <v>1943</v>
      </c>
      <c r="EJ272" s="73">
        <f t="shared" si="381"/>
        <v>5067</v>
      </c>
      <c r="EK272" s="73">
        <f t="shared" si="382"/>
        <v>1</v>
      </c>
      <c r="EL272" s="73">
        <f t="shared" si="419"/>
        <v>1</v>
      </c>
      <c r="EM272" s="73">
        <f t="shared" si="420"/>
        <v>1</v>
      </c>
      <c r="EN272" s="73" t="str">
        <f t="shared" si="383"/>
        <v>0</v>
      </c>
      <c r="EO272" s="73" t="str">
        <f t="shared" si="384"/>
        <v/>
      </c>
      <c r="EP272" s="73" t="str">
        <f t="shared" si="385"/>
        <v/>
      </c>
      <c r="EQ272" s="53" t="str">
        <f t="shared" si="386"/>
        <v/>
      </c>
      <c r="ER272" s="47" t="s">
        <v>0</v>
      </c>
      <c r="ES272" s="19" t="str">
        <f t="shared" si="421"/>
        <v>INSERT INTO rezultat(id,stazakategorija_id,imeprezime_id,vrijeme_sec,status_id,registracija,uparivanje_id,originalstatus_id,imeprezimealias_id,klubalias_id,kategorijaalias_id) VALUES (423,40,1943,5067,1,1,1,0,Null,Null,Null);</v>
      </c>
      <c r="ET272" s="47" t="s">
        <v>0</v>
      </c>
      <c r="EU272" s="19" t="str">
        <f t="shared" si="422"/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2" s="47" t="s">
        <v>0</v>
      </c>
      <c r="EW272" s="180" t="str">
        <f t="shared" si="387"/>
        <v xml:space="preserve">
INSERT INTO rezultat(id,stazakategorija_id,imeprezime_id,vrijeme_sec,status_id,registracija,uparivanje_id,originalstatus_id,imeprezimealias_id,klubalias_id,kategorijaalias_id) VALUES (423,40,1943,5067,1,1,1,0,Null,Null,Null);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2" s="47" t="s">
        <v>0</v>
      </c>
    </row>
    <row r="273" spans="1:154" x14ac:dyDescent="0.25">
      <c r="A273" t="s">
        <v>0</v>
      </c>
      <c r="B273" s="52" t="str">
        <f>IF(csv!F263="","",csv!T263)</f>
        <v>Ž21B</v>
      </c>
      <c r="C273" s="31" t="s">
        <v>0</v>
      </c>
      <c r="D273" s="31" t="str">
        <f>IF(csv!F263="","",csv!F263)</f>
        <v>Hana</v>
      </c>
      <c r="E273" s="31" t="str">
        <f>IF(csv!E263="","",csv!E263)</f>
        <v>Glušica</v>
      </c>
      <c r="F273" s="31" t="s">
        <v>0</v>
      </c>
      <c r="G273" s="73" t="str">
        <f>IF(csv!M263="","",csv!M263)</f>
        <v>89:18</v>
      </c>
      <c r="H273" s="73" t="str">
        <f>IF(csv!N263="","",csv!N263)</f>
        <v>0</v>
      </c>
      <c r="I273" s="31" t="s">
        <v>0</v>
      </c>
      <c r="J273" s="31" t="str">
        <f>IF(csv!P263="","",csv!P263)</f>
        <v>KAP</v>
      </c>
      <c r="K273" s="31" t="str">
        <f>IF(csv!Q263="","",csv!Q263)</f>
        <v>OK Kapela</v>
      </c>
      <c r="L273" s="31" t="s">
        <v>0</v>
      </c>
      <c r="M273" s="66" t="str">
        <f>IF(csv!R263="","",csv!R263)</f>
        <v>CRO</v>
      </c>
      <c r="N273" s="47" t="s">
        <v>0</v>
      </c>
      <c r="O273" s="246" t="str">
        <f t="shared" si="388"/>
        <v>ok</v>
      </c>
      <c r="P273" s="47"/>
      <c r="Q273" s="52" t="str">
        <f t="shared" si="389"/>
        <v>Ž21B</v>
      </c>
      <c r="R273" s="73">
        <f>IF(Q273="","",IF(COUNTIF(Q$12:Q272,Q273)=0,R272+1,R272))</f>
        <v>18</v>
      </c>
      <c r="S273" s="73">
        <f t="shared" si="390"/>
        <v>118</v>
      </c>
      <c r="T273" s="73">
        <f t="shared" si="353"/>
        <v>27</v>
      </c>
      <c r="U273" s="66" t="str">
        <f t="shared" si="354"/>
        <v>Ž21B – Ž16</v>
      </c>
      <c r="V273" s="47" t="s">
        <v>0</v>
      </c>
      <c r="W273" s="222" t="str">
        <f t="shared" si="355"/>
        <v>Ž21B</v>
      </c>
      <c r="X273" s="223">
        <f t="shared" si="356"/>
        <v>40</v>
      </c>
      <c r="Y273" s="47" t="s">
        <v>0</v>
      </c>
      <c r="Z273" s="52" t="str">
        <f t="shared" si="391"/>
        <v>CRO</v>
      </c>
      <c r="AA273" s="73">
        <f t="shared" si="357"/>
        <v>1</v>
      </c>
      <c r="AB273" s="31" t="str">
        <f t="shared" si="392"/>
        <v/>
      </c>
      <c r="AC273" s="66" t="str">
        <f>IF(AB273="","",MAX(AC$12:AC272)+1)</f>
        <v/>
      </c>
      <c r="AD273" s="47" t="s">
        <v>0</v>
      </c>
      <c r="AE273" s="125"/>
      <c r="AF273" s="47" t="s">
        <v>0</v>
      </c>
      <c r="AG273" s="19" t="str">
        <f t="shared" si="393"/>
        <v/>
      </c>
      <c r="AH273" s="47" t="s">
        <v>0</v>
      </c>
      <c r="AI273" s="143" t="str">
        <f t="shared" si="394"/>
        <v>CRO</v>
      </c>
      <c r="AJ273" s="47"/>
      <c r="AK273" s="52" t="str">
        <f t="shared" si="395"/>
        <v>Hana</v>
      </c>
      <c r="AL273" s="31" t="str">
        <f t="shared" si="396"/>
        <v>Glušica</v>
      </c>
      <c r="AM273" s="73">
        <f t="shared" si="397"/>
        <v>1857</v>
      </c>
      <c r="AN273" s="73" t="str">
        <f t="shared" si="398"/>
        <v/>
      </c>
      <c r="AO273" s="31" t="str">
        <f t="shared" si="358"/>
        <v>Hana</v>
      </c>
      <c r="AP273" s="66" t="str">
        <f t="shared" si="359"/>
        <v>Glušica</v>
      </c>
      <c r="AQ273" s="47" t="s">
        <v>0</v>
      </c>
      <c r="AR273" s="82" t="str">
        <f t="shared" si="399"/>
        <v/>
      </c>
      <c r="AS273" s="47" t="s">
        <v>0</v>
      </c>
      <c r="AT273" s="19" t="str">
        <f t="shared" si="400"/>
        <v/>
      </c>
      <c r="AU273" s="47" t="s">
        <v>0</v>
      </c>
      <c r="AV273" s="103"/>
      <c r="AW273" s="105"/>
      <c r="AX273" s="47" t="s">
        <v>0</v>
      </c>
      <c r="AY273" s="259" t="str">
        <f t="shared" si="343"/>
        <v/>
      </c>
      <c r="AZ273" s="47" t="s">
        <v>0</v>
      </c>
      <c r="BA273" s="52" t="str">
        <f t="shared" si="360"/>
        <v/>
      </c>
      <c r="BB273" s="73" t="str">
        <f>IF(AV273&amp;AW273="","",MAX(BB$12:BB272)+1)</f>
        <v/>
      </c>
      <c r="BC273" s="272" t="str">
        <f t="shared" si="361"/>
        <v/>
      </c>
      <c r="BD273" s="53" t="str">
        <f>IF(AND(AM273="NEMA",AN273="NEMA",OR(AV273&amp;AW273="",BC273="NEMA")),MAX(BD$12:BD272)+1,"")</f>
        <v/>
      </c>
      <c r="BE273" s="47" t="s">
        <v>0</v>
      </c>
      <c r="BF273" s="52" t="str">
        <f t="shared" si="401"/>
        <v>Hana</v>
      </c>
      <c r="BG273" s="66" t="str">
        <f t="shared" si="402"/>
        <v>Glušica</v>
      </c>
      <c r="BH273" s="47" t="s">
        <v>0</v>
      </c>
      <c r="BI273" s="52" t="str">
        <f t="shared" si="362"/>
        <v>KAP</v>
      </c>
      <c r="BJ273" s="31" t="str">
        <f t="shared" si="363"/>
        <v>OK Kapela</v>
      </c>
      <c r="BK273" s="73" t="str">
        <f t="shared" si="364"/>
        <v/>
      </c>
      <c r="BL273" s="31" t="str" cm="1">
        <f t="array" ref="BL273">IF(BK273="",""&amp;BJ273,IF(BK273="NEMA",BJ273,INDEX(regKlub_naziv,MATCH(INDEX(regKlub_alias_klubId,BK273),regKlub_id,0))))</f>
        <v>OK Kapela</v>
      </c>
      <c r="BM273" s="31" t="str" cm="1">
        <f t="array" ref="BM273">IFERROR(""&amp;INDEX(regNatjecatelj_klub,DV273),"")</f>
        <v>OK Kapela</v>
      </c>
      <c r="BN273" s="88" t="str">
        <f t="shared" si="403"/>
        <v/>
      </c>
      <c r="BO273" s="66" t="str">
        <f t="shared" si="404"/>
        <v>OK Kapela</v>
      </c>
      <c r="BP273" s="47" t="s">
        <v>0</v>
      </c>
      <c r="BQ273" s="52" t="str">
        <f>IF(X273&lt;&gt;"NEMA","",IF(IFERROR(MATCH(W273,W$12:W272,0),0)&lt;&gt;0,"",W273))</f>
        <v/>
      </c>
      <c r="BR273" s="73" t="str">
        <f t="shared" si="405"/>
        <v/>
      </c>
      <c r="BS273" s="31" t="str">
        <f>IF(OR(BR273="",BR273&lt;&gt;"NEMA"),"",MAX(BS$12:BS272)+1)</f>
        <v/>
      </c>
      <c r="BT273" s="66" t="str">
        <f t="shared" si="406"/>
        <v/>
      </c>
      <c r="BU273" s="47" t="s">
        <v>0</v>
      </c>
      <c r="BV273" s="19" t="str">
        <f t="shared" si="407"/>
        <v/>
      </c>
      <c r="BW273" s="47" t="s">
        <v>0</v>
      </c>
      <c r="BX273" s="82" t="str">
        <f>IF(BK273&lt;&gt;"NEMA","",IF(IFERROR(MATCH(BJ273,BJ$12:BJ272,0),0)&lt;&gt;0,"",BJ273))</f>
        <v/>
      </c>
      <c r="BY273" s="47" t="s">
        <v>0</v>
      </c>
      <c r="BZ273" s="125"/>
      <c r="CA273" s="47" t="s">
        <v>0</v>
      </c>
      <c r="CB273" s="58" t="str">
        <f t="shared" si="408"/>
        <v/>
      </c>
      <c r="CC273" s="31" t="str">
        <f t="shared" si="409"/>
        <v/>
      </c>
      <c r="CD273" s="31" t="str">
        <f>IF(CC273="","",MAX(CD$12:CD272)+1)</f>
        <v/>
      </c>
      <c r="CE273" s="31" t="str">
        <f t="shared" si="365"/>
        <v/>
      </c>
      <c r="CF273" s="31" t="str">
        <f t="shared" si="410"/>
        <v/>
      </c>
      <c r="CG273" s="31" t="str">
        <f>IF(BZ273="","",MAX(CG$12:CG272)+1)</f>
        <v/>
      </c>
      <c r="CH273" s="31" t="str">
        <f t="shared" si="411"/>
        <v/>
      </c>
      <c r="CI273" s="66" t="str">
        <f t="shared" si="412"/>
        <v/>
      </c>
      <c r="CJ273" s="47" t="s">
        <v>0</v>
      </c>
      <c r="CK273" s="73" t="str">
        <f t="shared" si="366"/>
        <v/>
      </c>
      <c r="CL273" s="47"/>
      <c r="CM273" s="19" t="str">
        <f t="shared" si="413"/>
        <v/>
      </c>
      <c r="CN273" s="47" t="s">
        <v>0</v>
      </c>
      <c r="CO273" s="143" t="str">
        <f t="shared" si="414"/>
        <v>OK Kapela</v>
      </c>
      <c r="CP273" s="47" t="s">
        <v>0</v>
      </c>
      <c r="CQ273" s="58" t="str">
        <f t="shared" si="350"/>
        <v>89:18</v>
      </c>
      <c r="CR273" s="73" t="str">
        <f t="shared" si="351"/>
        <v>0</v>
      </c>
      <c r="CS273" s="229" t="str">
        <f t="shared" si="367"/>
        <v/>
      </c>
      <c r="CT273" s="230">
        <f t="shared" si="352"/>
        <v>5358</v>
      </c>
      <c r="CU273" s="163">
        <f t="shared" si="368"/>
        <v>1</v>
      </c>
      <c r="CV273" s="47" t="s">
        <v>0</v>
      </c>
      <c r="CW273" s="222" t="str">
        <f t="shared" si="415"/>
        <v xml:space="preserve">
</v>
      </c>
      <c r="CX273" s="223">
        <f t="shared" si="416"/>
        <v>6</v>
      </c>
      <c r="CY273" s="47" t="s">
        <v>0</v>
      </c>
      <c r="CZ273" s="47"/>
      <c r="DA273" s="47"/>
      <c r="DB273" s="47"/>
      <c r="DC273" s="47" t="s">
        <v>0</v>
      </c>
      <c r="DD273" s="53" t="str">
        <f t="shared" si="344"/>
        <v/>
      </c>
      <c r="DE273" t="s">
        <v>0</v>
      </c>
      <c r="DF273" s="128" t="str">
        <f t="shared" si="345"/>
        <v>Ž</v>
      </c>
      <c r="DG273" t="s">
        <v>0</v>
      </c>
      <c r="DH273" s="52" t="str">
        <f t="shared" si="346"/>
        <v/>
      </c>
      <c r="DI273" s="66" t="str">
        <f t="shared" si="347"/>
        <v/>
      </c>
      <c r="DJ273" t="s">
        <v>0</v>
      </c>
      <c r="DK273" s="19" t="str">
        <f t="shared" si="348"/>
        <v/>
      </c>
      <c r="DL273" s="47" t="s">
        <v>0</v>
      </c>
      <c r="DM273" s="19" t="str">
        <f t="shared" si="349"/>
        <v/>
      </c>
      <c r="DN273" s="47" t="s">
        <v>0</v>
      </c>
      <c r="DO273" s="52" t="str">
        <f t="shared" si="369"/>
        <v>Hana – Glušica – OK Kapela – Ž21B</v>
      </c>
      <c r="DP273" s="53">
        <f t="shared" si="370"/>
        <v>245</v>
      </c>
      <c r="DQ273" s="47" t="s">
        <v>0</v>
      </c>
      <c r="DR273" s="52" t="str">
        <f t="shared" si="371"/>
        <v>Hana – Glušica – OK Kapela</v>
      </c>
      <c r="DS273" s="53">
        <f t="shared" si="372"/>
        <v>245</v>
      </c>
      <c r="DT273" s="47" t="s">
        <v>0</v>
      </c>
      <c r="DU273" s="52" t="str">
        <f t="shared" si="373"/>
        <v>Hana – Glušica</v>
      </c>
      <c r="DV273" s="53">
        <f t="shared" si="374"/>
        <v>245</v>
      </c>
      <c r="DW273" s="47" t="s">
        <v>0</v>
      </c>
      <c r="DX273" s="58">
        <f t="shared" si="417"/>
        <v>245</v>
      </c>
      <c r="DY273" s="53" cm="1">
        <f t="array" ref="DY273">IF(DX273&lt;&gt;"",INDEX(regNatjecatelj_id,DX273,0),IF(BD273&lt;&gt;"",BD273,""))</f>
        <v>1857</v>
      </c>
      <c r="DZ273" s="47" t="s">
        <v>0</v>
      </c>
      <c r="EA273" s="58" t="str">
        <f t="shared" si="375"/>
        <v>imepre</v>
      </c>
      <c r="EB273" s="73" t="str">
        <f t="shared" si="376"/>
        <v>klu</v>
      </c>
      <c r="EC273" s="73" t="str">
        <f t="shared" si="377"/>
        <v>kat</v>
      </c>
      <c r="ED273" s="73" t="str">
        <f t="shared" si="378"/>
        <v/>
      </c>
      <c r="EE273" s="66" t="str">
        <f t="shared" si="379"/>
        <v>imepre-klu-kat</v>
      </c>
      <c r="EF273" s="47" t="s">
        <v>0</v>
      </c>
      <c r="EG273" s="58">
        <f>IF(AL273="","",MAX(EG$12:EG272)+1)</f>
        <v>424</v>
      </c>
      <c r="EH273" s="73">
        <f t="shared" si="380"/>
        <v>40</v>
      </c>
      <c r="EI273" s="73">
        <f t="shared" si="418"/>
        <v>1857</v>
      </c>
      <c r="EJ273" s="73">
        <f t="shared" si="381"/>
        <v>5358</v>
      </c>
      <c r="EK273" s="73">
        <f t="shared" si="382"/>
        <v>1</v>
      </c>
      <c r="EL273" s="73">
        <f t="shared" si="419"/>
        <v>1</v>
      </c>
      <c r="EM273" s="73">
        <f t="shared" si="420"/>
        <v>1</v>
      </c>
      <c r="EN273" s="73" t="str">
        <f t="shared" si="383"/>
        <v>0</v>
      </c>
      <c r="EO273" s="73" t="str">
        <f t="shared" si="384"/>
        <v/>
      </c>
      <c r="EP273" s="73" t="str">
        <f t="shared" si="385"/>
        <v/>
      </c>
      <c r="EQ273" s="53" t="str">
        <f t="shared" si="386"/>
        <v/>
      </c>
      <c r="ER273" s="47" t="s">
        <v>0</v>
      </c>
      <c r="ES273" s="19" t="str">
        <f t="shared" si="421"/>
        <v>INSERT INTO rezultat(id,stazakategorija_id,imeprezime_id,vrijeme_sec,status_id,registracija,uparivanje_id,originalstatus_id,imeprezimealias_id,klubalias_id,kategorijaalias_id) VALUES (424,40,1857,5358,1,1,1,0,Null,Null,Null);</v>
      </c>
      <c r="ET273" s="47" t="s">
        <v>0</v>
      </c>
      <c r="EU273" s="19" t="str">
        <f t="shared" si="422"/>
        <v>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3" s="47" t="s">
        <v>0</v>
      </c>
      <c r="EW273" s="180" t="str">
        <f t="shared" si="387"/>
        <v xml:space="preserve">
INSERT INTO rezultat(id,stazakategorija_id,imeprezime_id,vrijeme_sec,status_id,registracija,uparivanje_id,originalstatus_id,imeprezimealias_id,klubalias_id,kategorijaalias_id) VALUES (424,40,1857,5358,1,1,1,0,Null,Null,Null);
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3" s="47" t="s">
        <v>0</v>
      </c>
    </row>
    <row r="274" spans="1:154" x14ac:dyDescent="0.25">
      <c r="A274" t="s">
        <v>0</v>
      </c>
      <c r="B274" s="52" t="str">
        <f>IF(csv!F264="","",csv!T264)</f>
        <v>Ž21B</v>
      </c>
      <c r="C274" s="31" t="s">
        <v>0</v>
      </c>
      <c r="D274" s="31" t="str">
        <f>IF(csv!F264="","",csv!F264)</f>
        <v>Sandra</v>
      </c>
      <c r="E274" s="31" t="str">
        <f>IF(csv!E264="","",csv!E264)</f>
        <v>Latinger</v>
      </c>
      <c r="F274" s="31" t="s">
        <v>0</v>
      </c>
      <c r="G274" s="73" t="str">
        <f>IF(csv!M264="","",csv!M264)</f>
        <v>93:28</v>
      </c>
      <c r="H274" s="73" t="str">
        <f>IF(csv!N264="","",csv!N264)</f>
        <v>0</v>
      </c>
      <c r="I274" s="31" t="s">
        <v>0</v>
      </c>
      <c r="J274" s="31" t="str">
        <f>IF(csv!P264="","",csv!P264)</f>
        <v>KAP</v>
      </c>
      <c r="K274" s="31" t="str">
        <f>IF(csv!Q264="","",csv!Q264)</f>
        <v>OK Kapela</v>
      </c>
      <c r="L274" s="31" t="s">
        <v>0</v>
      </c>
      <c r="M274" s="66" t="str">
        <f>IF(csv!R264="","",csv!R264)</f>
        <v>CRO</v>
      </c>
      <c r="N274" s="47" t="s">
        <v>0</v>
      </c>
      <c r="O274" s="246" t="str">
        <f t="shared" si="388"/>
        <v>ok</v>
      </c>
      <c r="P274" s="47"/>
      <c r="Q274" s="52" t="str">
        <f t="shared" si="389"/>
        <v>Ž21B</v>
      </c>
      <c r="R274" s="73">
        <f>IF(Q274="","",IF(COUNTIF(Q$12:Q273,Q274)=0,R273+1,R273))</f>
        <v>18</v>
      </c>
      <c r="S274" s="73">
        <f t="shared" si="390"/>
        <v>118</v>
      </c>
      <c r="T274" s="73">
        <f t="shared" si="353"/>
        <v>27</v>
      </c>
      <c r="U274" s="66" t="str">
        <f t="shared" si="354"/>
        <v>Ž21B – Ž16</v>
      </c>
      <c r="V274" s="47" t="s">
        <v>0</v>
      </c>
      <c r="W274" s="222" t="str">
        <f t="shared" si="355"/>
        <v>Ž21B</v>
      </c>
      <c r="X274" s="223">
        <f t="shared" si="356"/>
        <v>40</v>
      </c>
      <c r="Y274" s="47" t="s">
        <v>0</v>
      </c>
      <c r="Z274" s="52" t="str">
        <f t="shared" si="391"/>
        <v>CRO</v>
      </c>
      <c r="AA274" s="73">
        <f t="shared" si="357"/>
        <v>1</v>
      </c>
      <c r="AB274" s="31" t="str">
        <f t="shared" si="392"/>
        <v/>
      </c>
      <c r="AC274" s="66" t="str">
        <f>IF(AB274="","",MAX(AC$12:AC273)+1)</f>
        <v/>
      </c>
      <c r="AD274" s="47" t="s">
        <v>0</v>
      </c>
      <c r="AE274" s="125"/>
      <c r="AF274" s="47" t="s">
        <v>0</v>
      </c>
      <c r="AG274" s="19" t="str">
        <f t="shared" si="393"/>
        <v/>
      </c>
      <c r="AH274" s="47" t="s">
        <v>0</v>
      </c>
      <c r="AI274" s="143" t="str">
        <f t="shared" si="394"/>
        <v>CRO</v>
      </c>
      <c r="AJ274" s="47"/>
      <c r="AK274" s="52" t="str">
        <f t="shared" si="395"/>
        <v>Sandra</v>
      </c>
      <c r="AL274" s="31" t="str">
        <f t="shared" si="396"/>
        <v>Latinger</v>
      </c>
      <c r="AM274" s="73">
        <f t="shared" si="397"/>
        <v>1476</v>
      </c>
      <c r="AN274" s="73" t="str">
        <f t="shared" si="398"/>
        <v/>
      </c>
      <c r="AO274" s="31" t="str">
        <f t="shared" si="358"/>
        <v>Sandra</v>
      </c>
      <c r="AP274" s="66" t="str">
        <f t="shared" si="359"/>
        <v>Latinger</v>
      </c>
      <c r="AQ274" s="47" t="s">
        <v>0</v>
      </c>
      <c r="AR274" s="82" t="str">
        <f t="shared" si="399"/>
        <v/>
      </c>
      <c r="AS274" s="47" t="s">
        <v>0</v>
      </c>
      <c r="AT274" s="19" t="str">
        <f t="shared" si="400"/>
        <v/>
      </c>
      <c r="AU274" s="47" t="s">
        <v>0</v>
      </c>
      <c r="AV274" s="103"/>
      <c r="AW274" s="105"/>
      <c r="AX274" s="47" t="s">
        <v>0</v>
      </c>
      <c r="AY274" s="259" t="str">
        <f t="shared" si="343"/>
        <v/>
      </c>
      <c r="AZ274" s="47" t="s">
        <v>0</v>
      </c>
      <c r="BA274" s="52" t="str">
        <f t="shared" si="360"/>
        <v/>
      </c>
      <c r="BB274" s="73" t="str">
        <f>IF(AV274&amp;AW274="","",MAX(BB$12:BB273)+1)</f>
        <v/>
      </c>
      <c r="BC274" s="272" t="str">
        <f t="shared" si="361"/>
        <v/>
      </c>
      <c r="BD274" s="53" t="str">
        <f>IF(AND(AM274="NEMA",AN274="NEMA",OR(AV274&amp;AW274="",BC274="NEMA")),MAX(BD$12:BD273)+1,"")</f>
        <v/>
      </c>
      <c r="BE274" s="47" t="s">
        <v>0</v>
      </c>
      <c r="BF274" s="52" t="str">
        <f t="shared" si="401"/>
        <v>Sandra</v>
      </c>
      <c r="BG274" s="66" t="str">
        <f t="shared" si="402"/>
        <v>Latinger</v>
      </c>
      <c r="BH274" s="47" t="s">
        <v>0</v>
      </c>
      <c r="BI274" s="52" t="str">
        <f t="shared" si="362"/>
        <v>KAP</v>
      </c>
      <c r="BJ274" s="31" t="str">
        <f t="shared" si="363"/>
        <v>OK Kapela</v>
      </c>
      <c r="BK274" s="73" t="str">
        <f t="shared" si="364"/>
        <v/>
      </c>
      <c r="BL274" s="31" t="str" cm="1">
        <f t="array" ref="BL274">IF(BK274="",""&amp;BJ274,IF(BK274="NEMA",BJ274,INDEX(regKlub_naziv,MATCH(INDEX(regKlub_alias_klubId,BK274),regKlub_id,0))))</f>
        <v>OK Kapela</v>
      </c>
      <c r="BM274" s="31" t="str" cm="1">
        <f t="array" ref="BM274">IFERROR(""&amp;INDEX(regNatjecatelj_klub,DV274),"")</f>
        <v>OK Kapela</v>
      </c>
      <c r="BN274" s="88" t="str">
        <f t="shared" si="403"/>
        <v/>
      </c>
      <c r="BO274" s="66" t="str">
        <f t="shared" si="404"/>
        <v>OK Kapela</v>
      </c>
      <c r="BP274" s="47" t="s">
        <v>0</v>
      </c>
      <c r="BQ274" s="52" t="str">
        <f>IF(X274&lt;&gt;"NEMA","",IF(IFERROR(MATCH(W274,W$12:W273,0),0)&lt;&gt;0,"",W274))</f>
        <v/>
      </c>
      <c r="BR274" s="73" t="str">
        <f t="shared" si="405"/>
        <v/>
      </c>
      <c r="BS274" s="31" t="str">
        <f>IF(OR(BR274="",BR274&lt;&gt;"NEMA"),"",MAX(BS$12:BS273)+1)</f>
        <v/>
      </c>
      <c r="BT274" s="66" t="str">
        <f t="shared" si="406"/>
        <v/>
      </c>
      <c r="BU274" s="47" t="s">
        <v>0</v>
      </c>
      <c r="BV274" s="19" t="str">
        <f t="shared" si="407"/>
        <v/>
      </c>
      <c r="BW274" s="47" t="s">
        <v>0</v>
      </c>
      <c r="BX274" s="82" t="str">
        <f>IF(BK274&lt;&gt;"NEMA","",IF(IFERROR(MATCH(BJ274,BJ$12:BJ273,0),0)&lt;&gt;0,"",BJ274))</f>
        <v/>
      </c>
      <c r="BY274" s="47" t="s">
        <v>0</v>
      </c>
      <c r="BZ274" s="125"/>
      <c r="CA274" s="47" t="s">
        <v>0</v>
      </c>
      <c r="CB274" s="58" t="str">
        <f t="shared" si="408"/>
        <v/>
      </c>
      <c r="CC274" s="31" t="str">
        <f t="shared" si="409"/>
        <v/>
      </c>
      <c r="CD274" s="31" t="str">
        <f>IF(CC274="","",MAX(CD$12:CD273)+1)</f>
        <v/>
      </c>
      <c r="CE274" s="31" t="str">
        <f t="shared" si="365"/>
        <v/>
      </c>
      <c r="CF274" s="31" t="str">
        <f t="shared" si="410"/>
        <v/>
      </c>
      <c r="CG274" s="31" t="str">
        <f>IF(BZ274="","",MAX(CG$12:CG273)+1)</f>
        <v/>
      </c>
      <c r="CH274" s="31" t="str">
        <f t="shared" si="411"/>
        <v/>
      </c>
      <c r="CI274" s="66" t="str">
        <f t="shared" si="412"/>
        <v/>
      </c>
      <c r="CJ274" s="47" t="s">
        <v>0</v>
      </c>
      <c r="CK274" s="73" t="str">
        <f t="shared" si="366"/>
        <v/>
      </c>
      <c r="CL274" s="47"/>
      <c r="CM274" s="19" t="str">
        <f t="shared" si="413"/>
        <v/>
      </c>
      <c r="CN274" s="47" t="s">
        <v>0</v>
      </c>
      <c r="CO274" s="143" t="str">
        <f t="shared" si="414"/>
        <v>OK Kapela</v>
      </c>
      <c r="CP274" s="47" t="s">
        <v>0</v>
      </c>
      <c r="CQ274" s="58" t="str">
        <f t="shared" si="350"/>
        <v>93:28</v>
      </c>
      <c r="CR274" s="73" t="str">
        <f t="shared" si="351"/>
        <v>0</v>
      </c>
      <c r="CS274" s="229" t="str">
        <f t="shared" si="367"/>
        <v/>
      </c>
      <c r="CT274" s="230">
        <f t="shared" si="352"/>
        <v>5608</v>
      </c>
      <c r="CU274" s="163">
        <f t="shared" si="368"/>
        <v>1</v>
      </c>
      <c r="CV274" s="47" t="s">
        <v>0</v>
      </c>
      <c r="CW274" s="222" t="str">
        <f t="shared" si="415"/>
        <v xml:space="preserve">
</v>
      </c>
      <c r="CX274" s="223">
        <f t="shared" si="416"/>
        <v>6</v>
      </c>
      <c r="CY274" s="47" t="s">
        <v>0</v>
      </c>
      <c r="CZ274" s="47"/>
      <c r="DA274" s="47"/>
      <c r="DB274" s="47"/>
      <c r="DC274" s="47" t="s">
        <v>0</v>
      </c>
      <c r="DD274" s="53" t="str">
        <f t="shared" si="344"/>
        <v/>
      </c>
      <c r="DE274" t="s">
        <v>0</v>
      </c>
      <c r="DF274" s="128" t="str">
        <f t="shared" si="345"/>
        <v>Ž</v>
      </c>
      <c r="DG274" t="s">
        <v>0</v>
      </c>
      <c r="DH274" s="52" t="str">
        <f t="shared" si="346"/>
        <v/>
      </c>
      <c r="DI274" s="66" t="str">
        <f t="shared" si="347"/>
        <v/>
      </c>
      <c r="DJ274" t="s">
        <v>0</v>
      </c>
      <c r="DK274" s="19" t="str">
        <f t="shared" si="348"/>
        <v/>
      </c>
      <c r="DL274" s="47" t="s">
        <v>0</v>
      </c>
      <c r="DM274" s="19" t="str">
        <f t="shared" si="349"/>
        <v/>
      </c>
      <c r="DN274" s="47" t="s">
        <v>0</v>
      </c>
      <c r="DO274" s="52" t="str">
        <f t="shared" si="369"/>
        <v>Sandra – Latinger – OK Kapela – Ž21B</v>
      </c>
      <c r="DP274" s="53">
        <f t="shared" si="370"/>
        <v>273</v>
      </c>
      <c r="DQ274" s="47" t="s">
        <v>0</v>
      </c>
      <c r="DR274" s="52" t="str">
        <f t="shared" si="371"/>
        <v>Sandra – Latinger – OK Kapela</v>
      </c>
      <c r="DS274" s="53">
        <f t="shared" si="372"/>
        <v>273</v>
      </c>
      <c r="DT274" s="47" t="s">
        <v>0</v>
      </c>
      <c r="DU274" s="52" t="str">
        <f t="shared" si="373"/>
        <v>Sandra – Latinger</v>
      </c>
      <c r="DV274" s="53">
        <f t="shared" si="374"/>
        <v>273</v>
      </c>
      <c r="DW274" s="47" t="s">
        <v>0</v>
      </c>
      <c r="DX274" s="58">
        <f t="shared" si="417"/>
        <v>273</v>
      </c>
      <c r="DY274" s="53" cm="1">
        <f t="array" ref="DY274">IF(DX274&lt;&gt;"",INDEX(regNatjecatelj_id,DX274,0),IF(BD274&lt;&gt;"",BD274,""))</f>
        <v>1476</v>
      </c>
      <c r="DZ274" s="47" t="s">
        <v>0</v>
      </c>
      <c r="EA274" s="58" t="str">
        <f t="shared" si="375"/>
        <v>imepre</v>
      </c>
      <c r="EB274" s="73" t="str">
        <f t="shared" si="376"/>
        <v>klu</v>
      </c>
      <c r="EC274" s="73" t="str">
        <f t="shared" si="377"/>
        <v>kat</v>
      </c>
      <c r="ED274" s="73" t="str">
        <f t="shared" si="378"/>
        <v/>
      </c>
      <c r="EE274" s="66" t="str">
        <f t="shared" si="379"/>
        <v>imepre-klu-kat</v>
      </c>
      <c r="EF274" s="47" t="s">
        <v>0</v>
      </c>
      <c r="EG274" s="58">
        <f>IF(AL274="","",MAX(EG$12:EG273)+1)</f>
        <v>425</v>
      </c>
      <c r="EH274" s="73">
        <f t="shared" si="380"/>
        <v>40</v>
      </c>
      <c r="EI274" s="73">
        <f t="shared" si="418"/>
        <v>1476</v>
      </c>
      <c r="EJ274" s="73">
        <f t="shared" si="381"/>
        <v>5608</v>
      </c>
      <c r="EK274" s="73">
        <f t="shared" si="382"/>
        <v>1</v>
      </c>
      <c r="EL274" s="73">
        <f t="shared" si="419"/>
        <v>1</v>
      </c>
      <c r="EM274" s="73">
        <f t="shared" si="420"/>
        <v>1</v>
      </c>
      <c r="EN274" s="73" t="str">
        <f t="shared" si="383"/>
        <v>0</v>
      </c>
      <c r="EO274" s="73" t="str">
        <f t="shared" si="384"/>
        <v/>
      </c>
      <c r="EP274" s="73" t="str">
        <f t="shared" si="385"/>
        <v/>
      </c>
      <c r="EQ274" s="53" t="str">
        <f t="shared" si="386"/>
        <v/>
      </c>
      <c r="ER274" s="47" t="s">
        <v>0</v>
      </c>
      <c r="ES274" s="19" t="str">
        <f t="shared" si="421"/>
        <v>INSERT INTO rezultat(id,stazakategorija_id,imeprezime_id,vrijeme_sec,status_id,registracija,uparivanje_id,originalstatus_id,imeprezimealias_id,klubalias_id,kategorijaalias_id) VALUES (425,40,1476,5608,1,1,1,0,Null,Null,Null);</v>
      </c>
      <c r="ET274" s="47" t="s">
        <v>0</v>
      </c>
      <c r="EU274" s="19" t="str">
        <f t="shared" si="422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4" s="47" t="s">
        <v>0</v>
      </c>
      <c r="EW274" s="180" t="str">
        <f t="shared" si="387"/>
        <v xml:space="preserve">
INSERT INTO rezultat(id,stazakategorija_id,imeprezime_id,vrijeme_sec,status_id,registracija,uparivanje_id,originalstatus_id,imeprezimealias_id,klubalias_id,kategorijaalias_id) VALUES (425,40,1476,5608,1,1,1,0,Null,Null,Null);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4" s="47" t="s">
        <v>0</v>
      </c>
    </row>
    <row r="275" spans="1:154" x14ac:dyDescent="0.25">
      <c r="A275" t="s">
        <v>0</v>
      </c>
      <c r="B275" s="52" t="str">
        <f>IF(csv!F265="","",csv!T265)</f>
        <v>Ž21B</v>
      </c>
      <c r="C275" s="31" t="s">
        <v>0</v>
      </c>
      <c r="D275" s="31" t="str">
        <f>IF(csv!F265="","",csv!F265)</f>
        <v>Petra</v>
      </c>
      <c r="E275" s="31" t="str">
        <f>IF(csv!E265="","",csv!E265)</f>
        <v>Kos</v>
      </c>
      <c r="F275" s="31" t="s">
        <v>0</v>
      </c>
      <c r="G275" s="73" t="str">
        <f>IF(csv!M265="","",csv!M265)</f>
        <v>99:01</v>
      </c>
      <c r="H275" s="73" t="str">
        <f>IF(csv!N265="","",csv!N265)</f>
        <v>0</v>
      </c>
      <c r="I275" s="31" t="s">
        <v>0</v>
      </c>
      <c r="J275" s="31" t="str">
        <f>IF(csv!P265="","",csv!P265)</f>
        <v>Vihor</v>
      </c>
      <c r="K275" s="31" t="str">
        <f>IF(csv!Q265="","",csv!Q265)</f>
        <v>OK Vihor</v>
      </c>
      <c r="L275" s="31" t="s">
        <v>0</v>
      </c>
      <c r="M275" s="66" t="str">
        <f>IF(csv!R265="","",csv!R265)</f>
        <v>CRO</v>
      </c>
      <c r="N275" s="47" t="s">
        <v>0</v>
      </c>
      <c r="O275" s="246" t="str">
        <f t="shared" si="388"/>
        <v>ok</v>
      </c>
      <c r="P275" s="47"/>
      <c r="Q275" s="52" t="str">
        <f t="shared" si="389"/>
        <v>Ž21B</v>
      </c>
      <c r="R275" s="73">
        <f>IF(Q275="","",IF(COUNTIF(Q$12:Q274,Q275)=0,R274+1,R274))</f>
        <v>18</v>
      </c>
      <c r="S275" s="73">
        <f t="shared" si="390"/>
        <v>118</v>
      </c>
      <c r="T275" s="73">
        <f t="shared" si="353"/>
        <v>27</v>
      </c>
      <c r="U275" s="66" t="str">
        <f t="shared" si="354"/>
        <v>Ž21B – Ž16</v>
      </c>
      <c r="V275" s="47" t="s">
        <v>0</v>
      </c>
      <c r="W275" s="222" t="str">
        <f t="shared" si="355"/>
        <v>Ž21B</v>
      </c>
      <c r="X275" s="223">
        <f t="shared" si="356"/>
        <v>40</v>
      </c>
      <c r="Y275" s="47" t="s">
        <v>0</v>
      </c>
      <c r="Z275" s="52" t="str">
        <f t="shared" si="391"/>
        <v>CRO</v>
      </c>
      <c r="AA275" s="73">
        <f t="shared" si="357"/>
        <v>1</v>
      </c>
      <c r="AB275" s="31" t="str">
        <f t="shared" si="392"/>
        <v/>
      </c>
      <c r="AC275" s="66" t="str">
        <f>IF(AB275="","",MAX(AC$12:AC274)+1)</f>
        <v/>
      </c>
      <c r="AD275" s="47" t="s">
        <v>0</v>
      </c>
      <c r="AE275" s="125"/>
      <c r="AF275" s="47" t="s">
        <v>0</v>
      </c>
      <c r="AG275" s="19" t="str">
        <f t="shared" si="393"/>
        <v/>
      </c>
      <c r="AH275" s="47" t="s">
        <v>0</v>
      </c>
      <c r="AI275" s="143" t="str">
        <f t="shared" si="394"/>
        <v>CRO</v>
      </c>
      <c r="AJ275" s="47"/>
      <c r="AK275" s="52" t="str">
        <f t="shared" si="395"/>
        <v>Petra</v>
      </c>
      <c r="AL275" s="31" t="str">
        <f t="shared" si="396"/>
        <v>Kos</v>
      </c>
      <c r="AM275" s="73">
        <f t="shared" si="397"/>
        <v>1895</v>
      </c>
      <c r="AN275" s="73" t="str">
        <f t="shared" si="398"/>
        <v/>
      </c>
      <c r="AO275" s="31" t="str">
        <f t="shared" si="358"/>
        <v>Petra</v>
      </c>
      <c r="AP275" s="66" t="str">
        <f t="shared" si="359"/>
        <v>Kos</v>
      </c>
      <c r="AQ275" s="47" t="s">
        <v>0</v>
      </c>
      <c r="AR275" s="82" t="str">
        <f t="shared" si="399"/>
        <v/>
      </c>
      <c r="AS275" s="47" t="s">
        <v>0</v>
      </c>
      <c r="AT275" s="19" t="str">
        <f t="shared" si="400"/>
        <v/>
      </c>
      <c r="AU275" s="47" t="s">
        <v>0</v>
      </c>
      <c r="AV275" s="103"/>
      <c r="AW275" s="105"/>
      <c r="AX275" s="47" t="s">
        <v>0</v>
      </c>
      <c r="AY275" s="259" t="str">
        <f t="shared" si="343"/>
        <v/>
      </c>
      <c r="AZ275" s="47" t="s">
        <v>0</v>
      </c>
      <c r="BA275" s="52" t="str">
        <f t="shared" si="360"/>
        <v/>
      </c>
      <c r="BB275" s="73" t="str">
        <f>IF(AV275&amp;AW275="","",MAX(BB$12:BB274)+1)</f>
        <v/>
      </c>
      <c r="BC275" s="272" t="str">
        <f t="shared" si="361"/>
        <v/>
      </c>
      <c r="BD275" s="53" t="str">
        <f>IF(AND(AM275="NEMA",AN275="NEMA",OR(AV275&amp;AW275="",BC275="NEMA")),MAX(BD$12:BD274)+1,"")</f>
        <v/>
      </c>
      <c r="BE275" s="47" t="s">
        <v>0</v>
      </c>
      <c r="BF275" s="52" t="str">
        <f t="shared" si="401"/>
        <v>Petra</v>
      </c>
      <c r="BG275" s="66" t="str">
        <f t="shared" si="402"/>
        <v>Kos</v>
      </c>
      <c r="BH275" s="47" t="s">
        <v>0</v>
      </c>
      <c r="BI275" s="52" t="str">
        <f t="shared" si="362"/>
        <v>Vihor</v>
      </c>
      <c r="BJ275" s="31" t="str">
        <f t="shared" si="363"/>
        <v>OK Vihor</v>
      </c>
      <c r="BK275" s="73" t="str">
        <f t="shared" si="364"/>
        <v/>
      </c>
      <c r="BL275" s="31" t="str" cm="1">
        <f t="array" ref="BL275">IF(BK275="",""&amp;BJ275,IF(BK275="NEMA",BJ275,INDEX(regKlub_naziv,MATCH(INDEX(regKlub_alias_klubId,BK275),regKlub_id,0))))</f>
        <v>OK Vihor</v>
      </c>
      <c r="BM275" s="31" t="str" cm="1">
        <f t="array" ref="BM275">IFERROR(""&amp;INDEX(regNatjecatelj_klub,DV275),"")</f>
        <v>OK Vihor</v>
      </c>
      <c r="BN275" s="88" t="str">
        <f t="shared" si="403"/>
        <v/>
      </c>
      <c r="BO275" s="66" t="str">
        <f t="shared" si="404"/>
        <v>OK Vihor</v>
      </c>
      <c r="BP275" s="47" t="s">
        <v>0</v>
      </c>
      <c r="BQ275" s="52" t="str">
        <f>IF(X275&lt;&gt;"NEMA","",IF(IFERROR(MATCH(W275,W$12:W274,0),0)&lt;&gt;0,"",W275))</f>
        <v/>
      </c>
      <c r="BR275" s="73" t="str">
        <f t="shared" si="405"/>
        <v/>
      </c>
      <c r="BS275" s="31" t="str">
        <f>IF(OR(BR275="",BR275&lt;&gt;"NEMA"),"",MAX(BS$12:BS274)+1)</f>
        <v/>
      </c>
      <c r="BT275" s="66" t="str">
        <f t="shared" si="406"/>
        <v/>
      </c>
      <c r="BU275" s="47" t="s">
        <v>0</v>
      </c>
      <c r="BV275" s="19" t="str">
        <f t="shared" si="407"/>
        <v/>
      </c>
      <c r="BW275" s="47" t="s">
        <v>0</v>
      </c>
      <c r="BX275" s="82" t="str">
        <f>IF(BK275&lt;&gt;"NEMA","",IF(IFERROR(MATCH(BJ275,BJ$12:BJ274,0),0)&lt;&gt;0,"",BJ275))</f>
        <v/>
      </c>
      <c r="BY275" s="47" t="s">
        <v>0</v>
      </c>
      <c r="BZ275" s="125"/>
      <c r="CA275" s="47" t="s">
        <v>0</v>
      </c>
      <c r="CB275" s="58" t="str">
        <f t="shared" si="408"/>
        <v/>
      </c>
      <c r="CC275" s="31" t="str">
        <f t="shared" si="409"/>
        <v/>
      </c>
      <c r="CD275" s="31" t="str">
        <f>IF(CC275="","",MAX(CD$12:CD274)+1)</f>
        <v/>
      </c>
      <c r="CE275" s="31" t="str">
        <f t="shared" si="365"/>
        <v/>
      </c>
      <c r="CF275" s="31" t="str">
        <f t="shared" si="410"/>
        <v/>
      </c>
      <c r="CG275" s="31" t="str">
        <f>IF(BZ275="","",MAX(CG$12:CG274)+1)</f>
        <v/>
      </c>
      <c r="CH275" s="31" t="str">
        <f t="shared" si="411"/>
        <v/>
      </c>
      <c r="CI275" s="66" t="str">
        <f t="shared" si="412"/>
        <v/>
      </c>
      <c r="CJ275" s="47" t="s">
        <v>0</v>
      </c>
      <c r="CK275" s="73" t="str">
        <f t="shared" si="366"/>
        <v/>
      </c>
      <c r="CL275" s="47"/>
      <c r="CM275" s="19" t="str">
        <f t="shared" si="413"/>
        <v/>
      </c>
      <c r="CN275" s="47" t="s">
        <v>0</v>
      </c>
      <c r="CO275" s="143" t="str">
        <f t="shared" si="414"/>
        <v>OK Vihor</v>
      </c>
      <c r="CP275" s="47" t="s">
        <v>0</v>
      </c>
      <c r="CQ275" s="58" t="str">
        <f t="shared" si="350"/>
        <v>99:01</v>
      </c>
      <c r="CR275" s="73" t="str">
        <f t="shared" si="351"/>
        <v>0</v>
      </c>
      <c r="CS275" s="229" t="str">
        <f t="shared" si="367"/>
        <v/>
      </c>
      <c r="CT275" s="230">
        <f t="shared" si="352"/>
        <v>5941</v>
      </c>
      <c r="CU275" s="163">
        <f t="shared" si="368"/>
        <v>1</v>
      </c>
      <c r="CV275" s="47" t="s">
        <v>0</v>
      </c>
      <c r="CW275" s="222" t="str">
        <f t="shared" si="415"/>
        <v xml:space="preserve">
</v>
      </c>
      <c r="CX275" s="223">
        <f t="shared" si="416"/>
        <v>6</v>
      </c>
      <c r="CY275" s="47" t="s">
        <v>0</v>
      </c>
      <c r="CZ275" s="47"/>
      <c r="DA275" s="47"/>
      <c r="DB275" s="47"/>
      <c r="DC275" s="47" t="s">
        <v>0</v>
      </c>
      <c r="DD275" s="53" t="str">
        <f t="shared" si="344"/>
        <v/>
      </c>
      <c r="DE275" t="s">
        <v>0</v>
      </c>
      <c r="DF275" s="128" t="str">
        <f t="shared" si="345"/>
        <v>Ž</v>
      </c>
      <c r="DG275" t="s">
        <v>0</v>
      </c>
      <c r="DH275" s="52" t="str">
        <f t="shared" si="346"/>
        <v/>
      </c>
      <c r="DI275" s="66" t="str">
        <f t="shared" si="347"/>
        <v/>
      </c>
      <c r="DJ275" t="s">
        <v>0</v>
      </c>
      <c r="DK275" s="19" t="str">
        <f t="shared" si="348"/>
        <v/>
      </c>
      <c r="DL275" s="47" t="s">
        <v>0</v>
      </c>
      <c r="DM275" s="19" t="str">
        <f t="shared" si="349"/>
        <v/>
      </c>
      <c r="DN275" s="47" t="s">
        <v>0</v>
      </c>
      <c r="DO275" s="52" t="str">
        <f t="shared" si="369"/>
        <v>Petra – Kos – OK Vihor – Ž21B</v>
      </c>
      <c r="DP275" s="53">
        <f t="shared" si="370"/>
        <v>748</v>
      </c>
      <c r="DQ275" s="47" t="s">
        <v>0</v>
      </c>
      <c r="DR275" s="52" t="str">
        <f t="shared" si="371"/>
        <v>Petra – Kos – OK Vihor</v>
      </c>
      <c r="DS275" s="53">
        <f t="shared" si="372"/>
        <v>748</v>
      </c>
      <c r="DT275" s="47" t="s">
        <v>0</v>
      </c>
      <c r="DU275" s="52" t="str">
        <f t="shared" si="373"/>
        <v>Petra – Kos</v>
      </c>
      <c r="DV275" s="53">
        <f t="shared" si="374"/>
        <v>748</v>
      </c>
      <c r="DW275" s="47" t="s">
        <v>0</v>
      </c>
      <c r="DX275" s="58">
        <f t="shared" si="417"/>
        <v>748</v>
      </c>
      <c r="DY275" s="53" cm="1">
        <f t="array" ref="DY275">IF(DX275&lt;&gt;"",INDEX(regNatjecatelj_id,DX275,0),IF(BD275&lt;&gt;"",BD275,""))</f>
        <v>1895</v>
      </c>
      <c r="DZ275" s="47" t="s">
        <v>0</v>
      </c>
      <c r="EA275" s="58" t="str">
        <f t="shared" si="375"/>
        <v>imepre</v>
      </c>
      <c r="EB275" s="73" t="str">
        <f t="shared" si="376"/>
        <v>klu</v>
      </c>
      <c r="EC275" s="73" t="str">
        <f t="shared" si="377"/>
        <v>kat</v>
      </c>
      <c r="ED275" s="73" t="str">
        <f t="shared" si="378"/>
        <v/>
      </c>
      <c r="EE275" s="66" t="str">
        <f t="shared" si="379"/>
        <v>imepre-klu-kat</v>
      </c>
      <c r="EF275" s="47" t="s">
        <v>0</v>
      </c>
      <c r="EG275" s="58">
        <f>IF(AL275="","",MAX(EG$12:EG274)+1)</f>
        <v>426</v>
      </c>
      <c r="EH275" s="73">
        <f t="shared" si="380"/>
        <v>40</v>
      </c>
      <c r="EI275" s="73">
        <f t="shared" si="418"/>
        <v>1895</v>
      </c>
      <c r="EJ275" s="73">
        <f t="shared" si="381"/>
        <v>5941</v>
      </c>
      <c r="EK275" s="73">
        <f t="shared" si="382"/>
        <v>1</v>
      </c>
      <c r="EL275" s="73">
        <f t="shared" si="419"/>
        <v>1</v>
      </c>
      <c r="EM275" s="73">
        <f t="shared" si="420"/>
        <v>1</v>
      </c>
      <c r="EN275" s="73" t="str">
        <f t="shared" si="383"/>
        <v>0</v>
      </c>
      <c r="EO275" s="73" t="str">
        <f t="shared" si="384"/>
        <v/>
      </c>
      <c r="EP275" s="73" t="str">
        <f t="shared" si="385"/>
        <v/>
      </c>
      <c r="EQ275" s="53" t="str">
        <f t="shared" si="386"/>
        <v/>
      </c>
      <c r="ER275" s="47" t="s">
        <v>0</v>
      </c>
      <c r="ES275" s="19" t="str">
        <f t="shared" si="421"/>
        <v>INSERT INTO rezultat(id,stazakategorija_id,imeprezime_id,vrijeme_sec,status_id,registracija,uparivanje_id,originalstatus_id,imeprezimealias_id,klubalias_id,kategorijaalias_id) VALUES (426,40,1895,5941,1,1,1,0,Null,Null,Null);</v>
      </c>
      <c r="ET275" s="47" t="s">
        <v>0</v>
      </c>
      <c r="EU275" s="19" t="str">
        <f t="shared" si="422"/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5" s="47" t="s">
        <v>0</v>
      </c>
      <c r="EW275" s="180" t="str">
        <f t="shared" si="387"/>
        <v xml:space="preserve">
INSERT INTO rezultat(id,stazakategorija_id,imeprezime_id,vrijeme_sec,status_id,registracija,uparivanje_id,originalstatus_id,imeprezimealias_id,klubalias_id,kategorijaalias_id) VALUES (426,40,1895,5941,1,1,1,0,Null,Null,Null);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5" s="47" t="s">
        <v>0</v>
      </c>
    </row>
    <row r="276" spans="1:154" x14ac:dyDescent="0.25">
      <c r="A276" t="s">
        <v>0</v>
      </c>
      <c r="B276" s="52" t="str">
        <f>IF(csv!F266="","",csv!T266)</f>
        <v>Ž21B</v>
      </c>
      <c r="C276" s="31" t="s">
        <v>0</v>
      </c>
      <c r="D276" s="31" t="str">
        <f>IF(csv!F266="","",csv!F266)</f>
        <v>Olga</v>
      </c>
      <c r="E276" s="31" t="str">
        <f>IF(csv!E266="","",csv!E266)</f>
        <v>Zaitseva</v>
      </c>
      <c r="F276" s="31" t="s">
        <v>0</v>
      </c>
      <c r="G276" s="73" t="str">
        <f>IF(csv!M266="","",csv!M266)</f>
        <v>120:09</v>
      </c>
      <c r="H276" s="73" t="str">
        <f>IF(csv!N266="","",csv!N266)</f>
        <v>0</v>
      </c>
      <c r="I276" s="31" t="s">
        <v>0</v>
      </c>
      <c r="J276" s="31" t="str">
        <f>IF(csv!P266="","",csv!P266)</f>
        <v>Vihor</v>
      </c>
      <c r="K276" s="31" t="str">
        <f>IF(csv!Q266="","",csv!Q266)</f>
        <v>OK Vihor</v>
      </c>
      <c r="L276" s="31" t="s">
        <v>0</v>
      </c>
      <c r="M276" s="66" t="str">
        <f>IF(csv!R266="","",csv!R266)</f>
        <v>CRO</v>
      </c>
      <c r="N276" s="47" t="s">
        <v>0</v>
      </c>
      <c r="O276" s="246" t="str">
        <f t="shared" si="388"/>
        <v>ok</v>
      </c>
      <c r="P276" s="47"/>
      <c r="Q276" s="52" t="str">
        <f t="shared" si="389"/>
        <v>Ž21B</v>
      </c>
      <c r="R276" s="73">
        <f>IF(Q276="","",IF(COUNTIF(Q$12:Q275,Q276)=0,R275+1,R275))</f>
        <v>18</v>
      </c>
      <c r="S276" s="73">
        <f t="shared" si="390"/>
        <v>118</v>
      </c>
      <c r="T276" s="73">
        <f t="shared" si="353"/>
        <v>27</v>
      </c>
      <c r="U276" s="66" t="str">
        <f t="shared" si="354"/>
        <v>Ž21B – Ž16</v>
      </c>
      <c r="V276" s="47" t="s">
        <v>0</v>
      </c>
      <c r="W276" s="222" t="str">
        <f t="shared" si="355"/>
        <v>Ž21B</v>
      </c>
      <c r="X276" s="223">
        <f t="shared" si="356"/>
        <v>40</v>
      </c>
      <c r="Y276" s="47" t="s">
        <v>0</v>
      </c>
      <c r="Z276" s="52" t="str">
        <f t="shared" si="391"/>
        <v>CRO</v>
      </c>
      <c r="AA276" s="73">
        <f t="shared" si="357"/>
        <v>1</v>
      </c>
      <c r="AB276" s="31" t="str">
        <f t="shared" si="392"/>
        <v/>
      </c>
      <c r="AC276" s="66" t="str">
        <f>IF(AB276="","",MAX(AC$12:AC275)+1)</f>
        <v/>
      </c>
      <c r="AD276" s="47" t="s">
        <v>0</v>
      </c>
      <c r="AE276" s="125"/>
      <c r="AF276" s="47" t="s">
        <v>0</v>
      </c>
      <c r="AG276" s="19" t="str">
        <f t="shared" si="393"/>
        <v/>
      </c>
      <c r="AH276" s="47" t="s">
        <v>0</v>
      </c>
      <c r="AI276" s="143" t="str">
        <f t="shared" si="394"/>
        <v>CRO</v>
      </c>
      <c r="AJ276" s="47"/>
      <c r="AK276" s="52" t="str">
        <f t="shared" si="395"/>
        <v>Olga</v>
      </c>
      <c r="AL276" s="31" t="str">
        <f t="shared" si="396"/>
        <v>Zaitseva</v>
      </c>
      <c r="AM276" s="73">
        <f t="shared" si="397"/>
        <v>1912</v>
      </c>
      <c r="AN276" s="73" t="str">
        <f t="shared" si="398"/>
        <v/>
      </c>
      <c r="AO276" s="31" t="str">
        <f t="shared" si="358"/>
        <v>Olga</v>
      </c>
      <c r="AP276" s="66" t="str">
        <f t="shared" si="359"/>
        <v>Zaitseva</v>
      </c>
      <c r="AQ276" s="47" t="s">
        <v>0</v>
      </c>
      <c r="AR276" s="82" t="str">
        <f t="shared" si="399"/>
        <v/>
      </c>
      <c r="AS276" s="47" t="s">
        <v>0</v>
      </c>
      <c r="AT276" s="19" t="str">
        <f t="shared" si="400"/>
        <v/>
      </c>
      <c r="AU276" s="47" t="s">
        <v>0</v>
      </c>
      <c r="AV276" s="103"/>
      <c r="AW276" s="105"/>
      <c r="AX276" s="47" t="s">
        <v>0</v>
      </c>
      <c r="AY276" s="259" t="str">
        <f t="shared" si="343"/>
        <v/>
      </c>
      <c r="AZ276" s="47" t="s">
        <v>0</v>
      </c>
      <c r="BA276" s="52" t="str">
        <f t="shared" si="360"/>
        <v/>
      </c>
      <c r="BB276" s="73" t="str">
        <f>IF(AV276&amp;AW276="","",MAX(BB$12:BB275)+1)</f>
        <v/>
      </c>
      <c r="BC276" s="272" t="str">
        <f t="shared" si="361"/>
        <v/>
      </c>
      <c r="BD276" s="53" t="str">
        <f>IF(AND(AM276="NEMA",AN276="NEMA",OR(AV276&amp;AW276="",BC276="NEMA")),MAX(BD$12:BD275)+1,"")</f>
        <v/>
      </c>
      <c r="BE276" s="47" t="s">
        <v>0</v>
      </c>
      <c r="BF276" s="52" t="str">
        <f t="shared" si="401"/>
        <v>Olga</v>
      </c>
      <c r="BG276" s="66" t="str">
        <f t="shared" si="402"/>
        <v>Zaitseva</v>
      </c>
      <c r="BH276" s="47" t="s">
        <v>0</v>
      </c>
      <c r="BI276" s="52" t="str">
        <f t="shared" si="362"/>
        <v>Vihor</v>
      </c>
      <c r="BJ276" s="31" t="str">
        <f t="shared" si="363"/>
        <v>OK Vihor</v>
      </c>
      <c r="BK276" s="73" t="str">
        <f t="shared" si="364"/>
        <v/>
      </c>
      <c r="BL276" s="31" t="str" cm="1">
        <f t="array" ref="BL276">IF(BK276="",""&amp;BJ276,IF(BK276="NEMA",BJ276,INDEX(regKlub_naziv,MATCH(INDEX(regKlub_alias_klubId,BK276),regKlub_id,0))))</f>
        <v>OK Vihor</v>
      </c>
      <c r="BM276" s="31" t="str" cm="1">
        <f t="array" ref="BM276">IFERROR(""&amp;INDEX(regNatjecatelj_klub,DV276),"")</f>
        <v>OK Vihor</v>
      </c>
      <c r="BN276" s="88" t="str">
        <f t="shared" si="403"/>
        <v/>
      </c>
      <c r="BO276" s="66" t="str">
        <f t="shared" si="404"/>
        <v>OK Vihor</v>
      </c>
      <c r="BP276" s="47" t="s">
        <v>0</v>
      </c>
      <c r="BQ276" s="52" t="str">
        <f>IF(X276&lt;&gt;"NEMA","",IF(IFERROR(MATCH(W276,W$12:W275,0),0)&lt;&gt;0,"",W276))</f>
        <v/>
      </c>
      <c r="BR276" s="73" t="str">
        <f t="shared" si="405"/>
        <v/>
      </c>
      <c r="BS276" s="31" t="str">
        <f>IF(OR(BR276="",BR276&lt;&gt;"NEMA"),"",MAX(BS$12:BS275)+1)</f>
        <v/>
      </c>
      <c r="BT276" s="66" t="str">
        <f t="shared" si="406"/>
        <v/>
      </c>
      <c r="BU276" s="47" t="s">
        <v>0</v>
      </c>
      <c r="BV276" s="19" t="str">
        <f t="shared" si="407"/>
        <v/>
      </c>
      <c r="BW276" s="47" t="s">
        <v>0</v>
      </c>
      <c r="BX276" s="82" t="str">
        <f>IF(BK276&lt;&gt;"NEMA","",IF(IFERROR(MATCH(BJ276,BJ$12:BJ275,0),0)&lt;&gt;0,"",BJ276))</f>
        <v/>
      </c>
      <c r="BY276" s="47" t="s">
        <v>0</v>
      </c>
      <c r="BZ276" s="125"/>
      <c r="CA276" s="47" t="s">
        <v>0</v>
      </c>
      <c r="CB276" s="58" t="str">
        <f t="shared" si="408"/>
        <v/>
      </c>
      <c r="CC276" s="31" t="str">
        <f t="shared" si="409"/>
        <v/>
      </c>
      <c r="CD276" s="31" t="str">
        <f>IF(CC276="","",MAX(CD$12:CD275)+1)</f>
        <v/>
      </c>
      <c r="CE276" s="31" t="str">
        <f t="shared" si="365"/>
        <v/>
      </c>
      <c r="CF276" s="31" t="str">
        <f t="shared" si="410"/>
        <v/>
      </c>
      <c r="CG276" s="31" t="str">
        <f>IF(BZ276="","",MAX(CG$12:CG275)+1)</f>
        <v/>
      </c>
      <c r="CH276" s="31" t="str">
        <f t="shared" si="411"/>
        <v/>
      </c>
      <c r="CI276" s="66" t="str">
        <f t="shared" si="412"/>
        <v/>
      </c>
      <c r="CJ276" s="47" t="s">
        <v>0</v>
      </c>
      <c r="CK276" s="73" t="str">
        <f t="shared" si="366"/>
        <v/>
      </c>
      <c r="CL276" s="47"/>
      <c r="CM276" s="19" t="str">
        <f t="shared" si="413"/>
        <v/>
      </c>
      <c r="CN276" s="47" t="s">
        <v>0</v>
      </c>
      <c r="CO276" s="143" t="str">
        <f t="shared" si="414"/>
        <v>OK Vihor</v>
      </c>
      <c r="CP276" s="47" t="s">
        <v>0</v>
      </c>
      <c r="CQ276" s="58" t="str">
        <f t="shared" si="350"/>
        <v>120:09</v>
      </c>
      <c r="CR276" s="73" t="str">
        <f t="shared" si="351"/>
        <v>0</v>
      </c>
      <c r="CS276" s="229" t="str">
        <f t="shared" si="367"/>
        <v/>
      </c>
      <c r="CT276" s="230">
        <f t="shared" si="352"/>
        <v>7209</v>
      </c>
      <c r="CU276" s="163">
        <f t="shared" si="368"/>
        <v>1</v>
      </c>
      <c r="CV276" s="47" t="s">
        <v>0</v>
      </c>
      <c r="CW276" s="222" t="str">
        <f t="shared" si="415"/>
        <v xml:space="preserve">
</v>
      </c>
      <c r="CX276" s="223">
        <f t="shared" si="416"/>
        <v>6</v>
      </c>
      <c r="CY276" s="47" t="s">
        <v>0</v>
      </c>
      <c r="CZ276" s="47"/>
      <c r="DA276" s="47"/>
      <c r="DB276" s="47"/>
      <c r="DC276" s="47" t="s">
        <v>0</v>
      </c>
      <c r="DD276" s="53" t="str">
        <f t="shared" si="344"/>
        <v/>
      </c>
      <c r="DE276" t="s">
        <v>0</v>
      </c>
      <c r="DF276" s="128" t="str">
        <f t="shared" si="345"/>
        <v>Ž</v>
      </c>
      <c r="DG276" t="s">
        <v>0</v>
      </c>
      <c r="DH276" s="52" t="str">
        <f t="shared" si="346"/>
        <v/>
      </c>
      <c r="DI276" s="66" t="str">
        <f t="shared" si="347"/>
        <v/>
      </c>
      <c r="DJ276" t="s">
        <v>0</v>
      </c>
      <c r="DK276" s="19" t="str">
        <f t="shared" si="348"/>
        <v/>
      </c>
      <c r="DL276" s="47" t="s">
        <v>0</v>
      </c>
      <c r="DM276" s="19" t="str">
        <f t="shared" si="349"/>
        <v/>
      </c>
      <c r="DN276" s="47" t="s">
        <v>0</v>
      </c>
      <c r="DO276" s="52" t="str">
        <f t="shared" si="369"/>
        <v>Olga – Zaitseva – OK Vihor – Ž21B</v>
      </c>
      <c r="DP276" s="53">
        <f t="shared" si="370"/>
        <v>949</v>
      </c>
      <c r="DQ276" s="47" t="s">
        <v>0</v>
      </c>
      <c r="DR276" s="52" t="str">
        <f t="shared" si="371"/>
        <v>Olga – Zaitseva – OK Vihor</v>
      </c>
      <c r="DS276" s="53">
        <f t="shared" si="372"/>
        <v>949</v>
      </c>
      <c r="DT276" s="47" t="s">
        <v>0</v>
      </c>
      <c r="DU276" s="52" t="str">
        <f t="shared" si="373"/>
        <v>Olga – Zaitseva</v>
      </c>
      <c r="DV276" s="53">
        <f t="shared" si="374"/>
        <v>949</v>
      </c>
      <c r="DW276" s="47" t="s">
        <v>0</v>
      </c>
      <c r="DX276" s="58">
        <f t="shared" si="417"/>
        <v>949</v>
      </c>
      <c r="DY276" s="53" cm="1">
        <f t="array" ref="DY276">IF(DX276&lt;&gt;"",INDEX(regNatjecatelj_id,DX276,0),IF(BD276&lt;&gt;"",BD276,""))</f>
        <v>1912</v>
      </c>
      <c r="DZ276" s="47" t="s">
        <v>0</v>
      </c>
      <c r="EA276" s="58" t="str">
        <f t="shared" si="375"/>
        <v>imepre</v>
      </c>
      <c r="EB276" s="73" t="str">
        <f t="shared" si="376"/>
        <v>klu</v>
      </c>
      <c r="EC276" s="73" t="str">
        <f t="shared" si="377"/>
        <v>kat</v>
      </c>
      <c r="ED276" s="73" t="str">
        <f t="shared" si="378"/>
        <v/>
      </c>
      <c r="EE276" s="66" t="str">
        <f t="shared" si="379"/>
        <v>imepre-klu-kat</v>
      </c>
      <c r="EF276" s="47" t="s">
        <v>0</v>
      </c>
      <c r="EG276" s="58">
        <f>IF(AL276="","",MAX(EG$12:EG275)+1)</f>
        <v>427</v>
      </c>
      <c r="EH276" s="73">
        <f t="shared" si="380"/>
        <v>40</v>
      </c>
      <c r="EI276" s="73">
        <f t="shared" si="418"/>
        <v>1912</v>
      </c>
      <c r="EJ276" s="73">
        <f t="shared" si="381"/>
        <v>7209</v>
      </c>
      <c r="EK276" s="73">
        <f t="shared" si="382"/>
        <v>1</v>
      </c>
      <c r="EL276" s="73">
        <f t="shared" si="419"/>
        <v>1</v>
      </c>
      <c r="EM276" s="73">
        <f t="shared" si="420"/>
        <v>1</v>
      </c>
      <c r="EN276" s="73" t="str">
        <f t="shared" si="383"/>
        <v>0</v>
      </c>
      <c r="EO276" s="73" t="str">
        <f t="shared" si="384"/>
        <v/>
      </c>
      <c r="EP276" s="73" t="str">
        <f t="shared" si="385"/>
        <v/>
      </c>
      <c r="EQ276" s="53" t="str">
        <f t="shared" si="386"/>
        <v/>
      </c>
      <c r="ER276" s="47" t="s">
        <v>0</v>
      </c>
      <c r="ES276" s="19" t="str">
        <f t="shared" si="421"/>
        <v>INSERT INTO rezultat(id,stazakategorija_id,imeprezime_id,vrijeme_sec,status_id,registracija,uparivanje_id,originalstatus_id,imeprezimealias_id,klubalias_id,kategorijaalias_id) VALUES (427,40,1912,7209,1,1,1,0,Null,Null,Null);</v>
      </c>
      <c r="ET276" s="47" t="s">
        <v>0</v>
      </c>
      <c r="EU276" s="19" t="str">
        <f t="shared" si="422"/>
        <v>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6" s="47" t="s">
        <v>0</v>
      </c>
      <c r="EW276" s="180" t="str">
        <f t="shared" si="387"/>
        <v xml:space="preserve">
INSERT INTO rezultat(id,stazakategorija_id,imeprezime_id,vrijeme_sec,status_id,registracija,uparivanje_id,originalstatus_id,imeprezimealias_id,klubalias_id,kategorijaalias_id) VALUES (427,40,1912,7209,1,1,1,0,Null,Null,Null);
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6" s="47" t="s">
        <v>0</v>
      </c>
    </row>
    <row r="277" spans="1:154" x14ac:dyDescent="0.25">
      <c r="A277" t="s">
        <v>0</v>
      </c>
      <c r="B277" s="52" t="str">
        <f>IF(csv!F267="","",csv!T267)</f>
        <v>Ž21B</v>
      </c>
      <c r="C277" s="31" t="s">
        <v>0</v>
      </c>
      <c r="D277" s="31" t="str">
        <f>IF(csv!F267="","",csv!F267)</f>
        <v>Luana</v>
      </c>
      <c r="E277" s="31" t="str">
        <f>IF(csv!E267="","",csv!E267)</f>
        <v>Ivošević</v>
      </c>
      <c r="F277" s="31" t="s">
        <v>0</v>
      </c>
      <c r="G277" s="73" t="str">
        <f>IF(csv!M267="","",csv!M267)</f>
        <v/>
      </c>
      <c r="H277" s="73" t="str">
        <f>IF(csv!N267="","",csv!N267)</f>
        <v>2</v>
      </c>
      <c r="I277" s="31" t="s">
        <v>0</v>
      </c>
      <c r="J277" s="31" t="str">
        <f>IF(csv!P267="","",csv!P267)</f>
        <v>Vihor</v>
      </c>
      <c r="K277" s="31" t="str">
        <f>IF(csv!Q267="","",csv!Q267)</f>
        <v>OK Vihor</v>
      </c>
      <c r="L277" s="31" t="s">
        <v>0</v>
      </c>
      <c r="M277" s="66" t="str">
        <f>IF(csv!R267="","",csv!R267)</f>
        <v>CRO</v>
      </c>
      <c r="N277" s="47" t="s">
        <v>0</v>
      </c>
      <c r="O277" s="246" t="str">
        <f t="shared" si="388"/>
        <v>ok</v>
      </c>
      <c r="P277" s="47"/>
      <c r="Q277" s="52" t="str">
        <f t="shared" si="389"/>
        <v>Ž21B</v>
      </c>
      <c r="R277" s="73">
        <f>IF(Q277="","",IF(COUNTIF(Q$12:Q276,Q277)=0,R276+1,R276))</f>
        <v>18</v>
      </c>
      <c r="S277" s="73">
        <f t="shared" si="390"/>
        <v>118</v>
      </c>
      <c r="T277" s="73">
        <f t="shared" si="353"/>
        <v>27</v>
      </c>
      <c r="U277" s="66" t="str">
        <f t="shared" si="354"/>
        <v>Ž21B – Ž16</v>
      </c>
      <c r="V277" s="47" t="s">
        <v>0</v>
      </c>
      <c r="W277" s="222" t="str">
        <f t="shared" si="355"/>
        <v>Ž21B</v>
      </c>
      <c r="X277" s="223">
        <f t="shared" si="356"/>
        <v>40</v>
      </c>
      <c r="Y277" s="47" t="s">
        <v>0</v>
      </c>
      <c r="Z277" s="52" t="str">
        <f t="shared" si="391"/>
        <v>CRO</v>
      </c>
      <c r="AA277" s="73">
        <f t="shared" si="357"/>
        <v>1</v>
      </c>
      <c r="AB277" s="31" t="str">
        <f t="shared" si="392"/>
        <v/>
      </c>
      <c r="AC277" s="66" t="str">
        <f>IF(AB277="","",MAX(AC$12:AC276)+1)</f>
        <v/>
      </c>
      <c r="AD277" s="47" t="s">
        <v>0</v>
      </c>
      <c r="AE277" s="125"/>
      <c r="AF277" s="47" t="s">
        <v>0</v>
      </c>
      <c r="AG277" s="19" t="str">
        <f t="shared" si="393"/>
        <v/>
      </c>
      <c r="AH277" s="47" t="s">
        <v>0</v>
      </c>
      <c r="AI277" s="143" t="str">
        <f t="shared" si="394"/>
        <v>CRO</v>
      </c>
      <c r="AJ277" s="47"/>
      <c r="AK277" s="52" t="str">
        <f t="shared" si="395"/>
        <v>Luana</v>
      </c>
      <c r="AL277" s="31" t="str">
        <f t="shared" si="396"/>
        <v>Ivošević</v>
      </c>
      <c r="AM277" s="73">
        <f t="shared" si="397"/>
        <v>1888</v>
      </c>
      <c r="AN277" s="73" t="str">
        <f t="shared" si="398"/>
        <v/>
      </c>
      <c r="AO277" s="31" t="str">
        <f t="shared" si="358"/>
        <v>Luana</v>
      </c>
      <c r="AP277" s="66" t="str">
        <f t="shared" si="359"/>
        <v>Ivošević</v>
      </c>
      <c r="AQ277" s="47" t="s">
        <v>0</v>
      </c>
      <c r="AR277" s="82" t="str">
        <f t="shared" si="399"/>
        <v/>
      </c>
      <c r="AS277" s="47" t="s">
        <v>0</v>
      </c>
      <c r="AT277" s="19" t="str">
        <f t="shared" si="400"/>
        <v/>
      </c>
      <c r="AU277" s="47" t="s">
        <v>0</v>
      </c>
      <c r="AV277" s="103"/>
      <c r="AW277" s="105"/>
      <c r="AX277" s="47" t="s">
        <v>0</v>
      </c>
      <c r="AY277" s="259" t="str">
        <f t="shared" ref="AY277:AY340" si="423">IF(AND(AV277="",AW277&lt;&gt;""),"FALI IME",IF(AND(AV277&lt;&gt;"",AW277=""),"FALI PREZIME",IF(OR(AM277="",AND(AM277="NEMA",AN277="NEMA"),AV277&amp;AW277=""),"","GREŠKA")))</f>
        <v/>
      </c>
      <c r="AZ277" s="47" t="s">
        <v>0</v>
      </c>
      <c r="BA277" s="52" t="str">
        <f t="shared" si="360"/>
        <v/>
      </c>
      <c r="BB277" s="73" t="str">
        <f>IF(AV277&amp;AW277="","",MAX(BB$12:BB276)+1)</f>
        <v/>
      </c>
      <c r="BC277" s="272" t="str">
        <f t="shared" si="361"/>
        <v/>
      </c>
      <c r="BD277" s="53" t="str">
        <f>IF(AND(AM277="NEMA",AN277="NEMA",OR(AV277&amp;AW277="",BC277="NEMA")),MAX(BD$12:BD276)+1,"")</f>
        <v/>
      </c>
      <c r="BE277" s="47" t="s">
        <v>0</v>
      </c>
      <c r="BF277" s="52" t="str">
        <f t="shared" si="401"/>
        <v>Luana</v>
      </c>
      <c r="BG277" s="66" t="str">
        <f t="shared" si="402"/>
        <v>Ivošević</v>
      </c>
      <c r="BH277" s="47" t="s">
        <v>0</v>
      </c>
      <c r="BI277" s="52" t="str">
        <f t="shared" si="362"/>
        <v>Vihor</v>
      </c>
      <c r="BJ277" s="31" t="str">
        <f t="shared" si="363"/>
        <v>OK Vihor</v>
      </c>
      <c r="BK277" s="73" t="str">
        <f t="shared" si="364"/>
        <v/>
      </c>
      <c r="BL277" s="31" t="str" cm="1">
        <f t="array" ref="BL277">IF(BK277="",""&amp;BJ277,IF(BK277="NEMA",BJ277,INDEX(regKlub_naziv,MATCH(INDEX(regKlub_alias_klubId,BK277),regKlub_id,0))))</f>
        <v>OK Vihor</v>
      </c>
      <c r="BM277" s="31" t="str" cm="1">
        <f t="array" ref="BM277">IFERROR(""&amp;INDEX(regNatjecatelj_klub,DV277),"")</f>
        <v>OK Vihor</v>
      </c>
      <c r="BN277" s="88" t="str">
        <f t="shared" si="403"/>
        <v/>
      </c>
      <c r="BO277" s="66" t="str">
        <f t="shared" si="404"/>
        <v>OK Vihor</v>
      </c>
      <c r="BP277" s="47" t="s">
        <v>0</v>
      </c>
      <c r="BQ277" s="52" t="str">
        <f>IF(X277&lt;&gt;"NEMA","",IF(IFERROR(MATCH(W277,W$12:W276,0),0)&lt;&gt;0,"",W277))</f>
        <v/>
      </c>
      <c r="BR277" s="73" t="str">
        <f t="shared" si="405"/>
        <v/>
      </c>
      <c r="BS277" s="31" t="str">
        <f>IF(OR(BR277="",BR277&lt;&gt;"NEMA"),"",MAX(BS$12:BS276)+1)</f>
        <v/>
      </c>
      <c r="BT277" s="66" t="str">
        <f t="shared" si="406"/>
        <v/>
      </c>
      <c r="BU277" s="47" t="s">
        <v>0</v>
      </c>
      <c r="BV277" s="19" t="str">
        <f t="shared" si="407"/>
        <v/>
      </c>
      <c r="BW277" s="47" t="s">
        <v>0</v>
      </c>
      <c r="BX277" s="82" t="str">
        <f>IF(BK277&lt;&gt;"NEMA","",IF(IFERROR(MATCH(BJ277,BJ$12:BJ276,0),0)&lt;&gt;0,"",BJ277))</f>
        <v/>
      </c>
      <c r="BY277" s="47" t="s">
        <v>0</v>
      </c>
      <c r="BZ277" s="125"/>
      <c r="CA277" s="47" t="s">
        <v>0</v>
      </c>
      <c r="CB277" s="58" t="str">
        <f t="shared" si="408"/>
        <v/>
      </c>
      <c r="CC277" s="31" t="str">
        <f t="shared" si="409"/>
        <v/>
      </c>
      <c r="CD277" s="31" t="str">
        <f>IF(CC277="","",MAX(CD$12:CD276)+1)</f>
        <v/>
      </c>
      <c r="CE277" s="31" t="str">
        <f t="shared" si="365"/>
        <v/>
      </c>
      <c r="CF277" s="31" t="str">
        <f t="shared" si="410"/>
        <v/>
      </c>
      <c r="CG277" s="31" t="str">
        <f>IF(BZ277="","",MAX(CG$12:CG276)+1)</f>
        <v/>
      </c>
      <c r="CH277" s="31" t="str">
        <f t="shared" si="411"/>
        <v/>
      </c>
      <c r="CI277" s="66" t="str">
        <f t="shared" si="412"/>
        <v/>
      </c>
      <c r="CJ277" s="47" t="s">
        <v>0</v>
      </c>
      <c r="CK277" s="73" t="str">
        <f t="shared" si="366"/>
        <v/>
      </c>
      <c r="CL277" s="47"/>
      <c r="CM277" s="19" t="str">
        <f t="shared" si="413"/>
        <v/>
      </c>
      <c r="CN277" s="47" t="s">
        <v>0</v>
      </c>
      <c r="CO277" s="143" t="str">
        <f t="shared" si="414"/>
        <v>OK Vihor</v>
      </c>
      <c r="CP277" s="47" t="s">
        <v>0</v>
      </c>
      <c r="CQ277" s="58" t="str">
        <f t="shared" si="350"/>
        <v/>
      </c>
      <c r="CR277" s="73" t="str">
        <f t="shared" si="351"/>
        <v>2</v>
      </c>
      <c r="CS277" s="229" t="str">
        <f t="shared" si="367"/>
        <v/>
      </c>
      <c r="CT277" s="230" t="str">
        <f t="shared" si="352"/>
        <v/>
      </c>
      <c r="CU277" s="163">
        <f t="shared" si="368"/>
        <v>4</v>
      </c>
      <c r="CV277" s="47" t="s">
        <v>0</v>
      </c>
      <c r="CW277" s="222" t="str">
        <f t="shared" si="415"/>
        <v xml:space="preserve">
</v>
      </c>
      <c r="CX277" s="223">
        <f t="shared" si="416"/>
        <v>5</v>
      </c>
      <c r="CY277" s="47" t="s">
        <v>0</v>
      </c>
      <c r="CZ277" s="47"/>
      <c r="DA277" s="47"/>
      <c r="DB277" s="47"/>
      <c r="DC277" s="47" t="s">
        <v>0</v>
      </c>
      <c r="DD277" s="53" t="str">
        <f t="shared" ref="DD277:DD340" si="424">IF(BD277="","",IF(DF277="O",1,""))</f>
        <v/>
      </c>
      <c r="DE277" t="s">
        <v>0</v>
      </c>
      <c r="DF277" s="128" t="str">
        <f t="shared" ref="DF277:DF340" si="425">IF(Q277="","",LEFT(INDEX(regKategorija_oznaka,MATCH(S277,regKategorija_id,0)),1))</f>
        <v>Ž</v>
      </c>
      <c r="DG277" t="s">
        <v>0</v>
      </c>
      <c r="DH277" s="52" t="str">
        <f t="shared" ref="DH277:DH340" si="426">IF(BD277="","",IF(M277&lt;&gt;"CRO","","INSERT INTO osoba (id,reg_broj,oib,spol_id,dat_rodjenja) VALUES ("&amp;BD277&amp;",(SELECT max(os.reg_broj)+1 FROM osoba AS os),Null,'"&amp;DF277&amp;"',Null); INSERT INTO osoba_log (id,reg_broj,oib,spol_id,dat_rodjenja,dnevnik_id) SELECT id,reg_broj,oib,spol_id,dat_rodjenja,"&amp;data_dnevnik_id&amp;" FROM osoba WHERE id = "&amp;BD277&amp;";"))</f>
        <v/>
      </c>
      <c r="DI277" s="66" t="str">
        <f t="shared" ref="DI277:DI340" si="427">IF(BD277="","","INSERT INTO imeprezime (id,osoba_id,rbr,ime,prezime,klub_id,identitet_id,sintaksa_id,info,aktivno,dnevnik_id) VALUES ("&amp;BD277&amp;","&amp;IF(DH277="","Null",BD277)&amp;",1,'"&amp;IF(AV277&lt;&gt;"",AV277,AK277)&amp;"','"&amp;IF(AW277&lt;&gt;"",AW277,AL277)&amp;"',(SELECT id FROM klub WHERE naziv = '"&amp;CO277&amp;"'),Null,1,'',1,"&amp;data_dnevnik_id&amp;");")</f>
        <v/>
      </c>
      <c r="DJ277" t="s">
        <v>0</v>
      </c>
      <c r="DK277" s="19" t="str">
        <f t="shared" ref="DK277:DK340" si="428">IF(DH277="",DI277,DH277&amp;" "&amp;DI277)</f>
        <v/>
      </c>
      <c r="DL277" s="47" t="s">
        <v>0</v>
      </c>
      <c r="DM277" s="19" t="str">
        <f t="shared" ref="DM277:DM340" si="429">IF(BA277="","","INSERT INTO imeprezime_alias(id,alias,imeprezime_id) VALUES ("&amp;BB277&amp;",'"&amp;BA277&amp;"',"&amp;IF(BC277="NEMA",BD277,BC277)&amp;");")</f>
        <v/>
      </c>
      <c r="DN277" s="47" t="s">
        <v>0</v>
      </c>
      <c r="DO277" s="52" t="str">
        <f t="shared" si="369"/>
        <v>Luana – Ivošević – OK Vihor – Ž21B</v>
      </c>
      <c r="DP277" s="53">
        <f t="shared" si="370"/>
        <v>708</v>
      </c>
      <c r="DQ277" s="47" t="s">
        <v>0</v>
      </c>
      <c r="DR277" s="52" t="str">
        <f t="shared" si="371"/>
        <v>Luana – Ivošević – OK Vihor</v>
      </c>
      <c r="DS277" s="53">
        <f t="shared" si="372"/>
        <v>708</v>
      </c>
      <c r="DT277" s="47" t="s">
        <v>0</v>
      </c>
      <c r="DU277" s="52" t="str">
        <f t="shared" si="373"/>
        <v>Luana – Ivošević</v>
      </c>
      <c r="DV277" s="53">
        <f t="shared" si="374"/>
        <v>708</v>
      </c>
      <c r="DW277" s="47" t="s">
        <v>0</v>
      </c>
      <c r="DX277" s="58">
        <f t="shared" si="417"/>
        <v>708</v>
      </c>
      <c r="DY277" s="53" cm="1">
        <f t="array" ref="DY277">IF(DX277&lt;&gt;"",INDEX(regNatjecatelj_id,DX277,0),IF(BD277&lt;&gt;"",BD277,""))</f>
        <v>1888</v>
      </c>
      <c r="DZ277" s="47" t="s">
        <v>0</v>
      </c>
      <c r="EA277" s="58" t="str">
        <f t="shared" si="375"/>
        <v>imepre</v>
      </c>
      <c r="EB277" s="73" t="str">
        <f t="shared" si="376"/>
        <v>klu</v>
      </c>
      <c r="EC277" s="73" t="str">
        <f t="shared" si="377"/>
        <v>kat</v>
      </c>
      <c r="ED277" s="73" t="str">
        <f t="shared" si="378"/>
        <v/>
      </c>
      <c r="EE277" s="66" t="str">
        <f t="shared" si="379"/>
        <v>imepre-klu-kat</v>
      </c>
      <c r="EF277" s="47" t="s">
        <v>0</v>
      </c>
      <c r="EG277" s="58">
        <f>IF(AL277="","",MAX(EG$12:EG276)+1)</f>
        <v>428</v>
      </c>
      <c r="EH277" s="73">
        <f t="shared" si="380"/>
        <v>40</v>
      </c>
      <c r="EI277" s="73">
        <f t="shared" si="418"/>
        <v>1888</v>
      </c>
      <c r="EJ277" s="73" t="str">
        <f t="shared" si="381"/>
        <v/>
      </c>
      <c r="EK277" s="73">
        <f t="shared" si="382"/>
        <v>4</v>
      </c>
      <c r="EL277" s="73">
        <f t="shared" si="419"/>
        <v>1</v>
      </c>
      <c r="EM277" s="73">
        <f t="shared" si="420"/>
        <v>1</v>
      </c>
      <c r="EN277" s="73" t="str">
        <f t="shared" si="383"/>
        <v>2</v>
      </c>
      <c r="EO277" s="73" t="str">
        <f t="shared" si="384"/>
        <v/>
      </c>
      <c r="EP277" s="73" t="str">
        <f t="shared" si="385"/>
        <v/>
      </c>
      <c r="EQ277" s="53" t="str">
        <f t="shared" si="386"/>
        <v/>
      </c>
      <c r="ER277" s="47" t="s">
        <v>0</v>
      </c>
      <c r="ES277" s="19" t="str">
        <f t="shared" si="421"/>
        <v>INSERT INTO rezultat(id,stazakategorija_id,imeprezime_id,vrijeme_sec,status_id,registracija,uparivanje_id,originalstatus_id,imeprezimealias_id,klubalias_id,kategorijaalias_id) VALUES (428,40,1888,Null,4,1,1,2,Null,Null,Null);</v>
      </c>
      <c r="ET277" s="47" t="s">
        <v>0</v>
      </c>
      <c r="EU277" s="19" t="str">
        <f t="shared" si="422"/>
        <v>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7" s="47" t="s">
        <v>0</v>
      </c>
      <c r="EW277" s="180" t="str">
        <f t="shared" si="387"/>
        <v xml:space="preserve">
INSERT INTO rezultat(id,stazakategorija_id,imeprezime_id,vrijeme_sec,status_id,registracija,uparivanje_id,originalstatus_id,imeprezimealias_id,klubalias_id,kategorijaalias_id) VALUES (428,40,1888,Null,4,1,1,2,Null,Null,Null);
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7" s="47" t="s">
        <v>0</v>
      </c>
    </row>
    <row r="278" spans="1:154" x14ac:dyDescent="0.25">
      <c r="A278" t="s">
        <v>0</v>
      </c>
      <c r="B278" s="52" t="str">
        <f>IF(csv!F268="","",csv!T268)</f>
        <v>Ž21B</v>
      </c>
      <c r="C278" s="31" t="s">
        <v>0</v>
      </c>
      <c r="D278" s="31" t="str">
        <f>IF(csv!F268="","",csv!F268)</f>
        <v>Aleksandra</v>
      </c>
      <c r="E278" s="31" t="str">
        <f>IF(csv!E268="","",csv!E268)</f>
        <v>Miličević</v>
      </c>
      <c r="F278" s="31" t="s">
        <v>0</v>
      </c>
      <c r="G278" s="73" t="str">
        <f>IF(csv!M268="","",csv!M268)</f>
        <v/>
      </c>
      <c r="H278" s="73" t="str">
        <f>IF(csv!N268="","",csv!N268)</f>
        <v>2</v>
      </c>
      <c r="I278" s="31" t="s">
        <v>0</v>
      </c>
      <c r="J278" s="31" t="str">
        <f>IF(csv!P268="","",csv!P268)</f>
        <v>Vihor</v>
      </c>
      <c r="K278" s="31" t="str">
        <f>IF(csv!Q268="","",csv!Q268)</f>
        <v>OK Vihor</v>
      </c>
      <c r="L278" s="31" t="s">
        <v>0</v>
      </c>
      <c r="M278" s="66" t="str">
        <f>IF(csv!R268="","",csv!R268)</f>
        <v>CRO</v>
      </c>
      <c r="N278" s="47" t="s">
        <v>0</v>
      </c>
      <c r="O278" s="246" t="str">
        <f t="shared" si="388"/>
        <v>ok</v>
      </c>
      <c r="P278" s="47"/>
      <c r="Q278" s="52" t="str">
        <f t="shared" si="389"/>
        <v>Ž21B</v>
      </c>
      <c r="R278" s="73">
        <f>IF(Q278="","",IF(COUNTIF(Q$12:Q277,Q278)=0,R277+1,R277))</f>
        <v>18</v>
      </c>
      <c r="S278" s="73">
        <f t="shared" si="390"/>
        <v>118</v>
      </c>
      <c r="T278" s="73">
        <f t="shared" si="353"/>
        <v>27</v>
      </c>
      <c r="U278" s="66" t="str">
        <f t="shared" si="354"/>
        <v>Ž21B – Ž16</v>
      </c>
      <c r="V278" s="47" t="s">
        <v>0</v>
      </c>
      <c r="W278" s="222" t="str">
        <f t="shared" si="355"/>
        <v>Ž21B</v>
      </c>
      <c r="X278" s="223">
        <f t="shared" si="356"/>
        <v>40</v>
      </c>
      <c r="Y278" s="47" t="s">
        <v>0</v>
      </c>
      <c r="Z278" s="52" t="str">
        <f t="shared" si="391"/>
        <v>CRO</v>
      </c>
      <c r="AA278" s="73">
        <f t="shared" si="357"/>
        <v>1</v>
      </c>
      <c r="AB278" s="31" t="str">
        <f t="shared" si="392"/>
        <v/>
      </c>
      <c r="AC278" s="66" t="str">
        <f>IF(AB278="","",MAX(AC$12:AC277)+1)</f>
        <v/>
      </c>
      <c r="AD278" s="47" t="s">
        <v>0</v>
      </c>
      <c r="AE278" s="125"/>
      <c r="AF278" s="47" t="s">
        <v>0</v>
      </c>
      <c r="AG278" s="19" t="str">
        <f t="shared" si="393"/>
        <v/>
      </c>
      <c r="AH278" s="47" t="s">
        <v>0</v>
      </c>
      <c r="AI278" s="143" t="str">
        <f t="shared" si="394"/>
        <v>CRO</v>
      </c>
      <c r="AJ278" s="47"/>
      <c r="AK278" s="52" t="str">
        <f t="shared" si="395"/>
        <v>Aleksandra</v>
      </c>
      <c r="AL278" s="31" t="str">
        <f t="shared" si="396"/>
        <v>Miličević</v>
      </c>
      <c r="AM278" s="73">
        <f t="shared" si="397"/>
        <v>1460</v>
      </c>
      <c r="AN278" s="73" t="str">
        <f t="shared" si="398"/>
        <v/>
      </c>
      <c r="AO278" s="31" t="str">
        <f t="shared" si="358"/>
        <v>Aleksandra</v>
      </c>
      <c r="AP278" s="66" t="str">
        <f t="shared" si="359"/>
        <v>Miličević</v>
      </c>
      <c r="AQ278" s="47" t="s">
        <v>0</v>
      </c>
      <c r="AR278" s="82" t="str">
        <f t="shared" si="399"/>
        <v/>
      </c>
      <c r="AS278" s="47" t="s">
        <v>0</v>
      </c>
      <c r="AT278" s="19" t="str">
        <f t="shared" si="400"/>
        <v/>
      </c>
      <c r="AU278" s="47" t="s">
        <v>0</v>
      </c>
      <c r="AV278" s="103"/>
      <c r="AW278" s="105"/>
      <c r="AX278" s="47" t="s">
        <v>0</v>
      </c>
      <c r="AY278" s="259" t="str">
        <f t="shared" si="423"/>
        <v/>
      </c>
      <c r="AZ278" s="47" t="s">
        <v>0</v>
      </c>
      <c r="BA278" s="52" t="str">
        <f t="shared" si="360"/>
        <v/>
      </c>
      <c r="BB278" s="73" t="str">
        <f>IF(AV278&amp;AW278="","",MAX(BB$12:BB277)+1)</f>
        <v/>
      </c>
      <c r="BC278" s="272" t="str">
        <f t="shared" si="361"/>
        <v/>
      </c>
      <c r="BD278" s="53" t="str">
        <f>IF(AND(AM278="NEMA",AN278="NEMA",OR(AV278&amp;AW278="",BC278="NEMA")),MAX(BD$12:BD277)+1,"")</f>
        <v/>
      </c>
      <c r="BE278" s="47" t="s">
        <v>0</v>
      </c>
      <c r="BF278" s="52" t="str">
        <f t="shared" si="401"/>
        <v>Aleksandra</v>
      </c>
      <c r="BG278" s="66" t="str">
        <f t="shared" si="402"/>
        <v>Miličević</v>
      </c>
      <c r="BH278" s="47" t="s">
        <v>0</v>
      </c>
      <c r="BI278" s="52" t="str">
        <f t="shared" si="362"/>
        <v>Vihor</v>
      </c>
      <c r="BJ278" s="31" t="str">
        <f t="shared" si="363"/>
        <v>OK Vihor</v>
      </c>
      <c r="BK278" s="73" t="str">
        <f t="shared" si="364"/>
        <v/>
      </c>
      <c r="BL278" s="31" t="str" cm="1">
        <f t="array" ref="BL278">IF(BK278="",""&amp;BJ278,IF(BK278="NEMA",BJ278,INDEX(regKlub_naziv,MATCH(INDEX(regKlub_alias_klubId,BK278),regKlub_id,0))))</f>
        <v>OK Vihor</v>
      </c>
      <c r="BM278" s="31" t="str" cm="1">
        <f t="array" ref="BM278">IFERROR(""&amp;INDEX(regNatjecatelj_klub,DV278),"")</f>
        <v>OK Vihor</v>
      </c>
      <c r="BN278" s="88" t="str">
        <f t="shared" si="403"/>
        <v/>
      </c>
      <c r="BO278" s="66" t="str">
        <f t="shared" si="404"/>
        <v>OK Vihor</v>
      </c>
      <c r="BP278" s="47" t="s">
        <v>0</v>
      </c>
      <c r="BQ278" s="52" t="str">
        <f>IF(X278&lt;&gt;"NEMA","",IF(IFERROR(MATCH(W278,W$12:W277,0),0)&lt;&gt;0,"",W278))</f>
        <v/>
      </c>
      <c r="BR278" s="73" t="str">
        <f t="shared" si="405"/>
        <v/>
      </c>
      <c r="BS278" s="31" t="str">
        <f>IF(OR(BR278="",BR278&lt;&gt;"NEMA"),"",MAX(BS$12:BS277)+1)</f>
        <v/>
      </c>
      <c r="BT278" s="66" t="str">
        <f t="shared" si="406"/>
        <v/>
      </c>
      <c r="BU278" s="47" t="s">
        <v>0</v>
      </c>
      <c r="BV278" s="19" t="str">
        <f t="shared" si="407"/>
        <v/>
      </c>
      <c r="BW278" s="47" t="s">
        <v>0</v>
      </c>
      <c r="BX278" s="82" t="str">
        <f>IF(BK278&lt;&gt;"NEMA","",IF(IFERROR(MATCH(BJ278,BJ$12:BJ277,0),0)&lt;&gt;0,"",BJ278))</f>
        <v/>
      </c>
      <c r="BY278" s="47" t="s">
        <v>0</v>
      </c>
      <c r="BZ278" s="125"/>
      <c r="CA278" s="47" t="s">
        <v>0</v>
      </c>
      <c r="CB278" s="58" t="str">
        <f t="shared" si="408"/>
        <v/>
      </c>
      <c r="CC278" s="31" t="str">
        <f t="shared" si="409"/>
        <v/>
      </c>
      <c r="CD278" s="31" t="str">
        <f>IF(CC278="","",MAX(CD$12:CD277)+1)</f>
        <v/>
      </c>
      <c r="CE278" s="31" t="str">
        <f t="shared" si="365"/>
        <v/>
      </c>
      <c r="CF278" s="31" t="str">
        <f t="shared" si="410"/>
        <v/>
      </c>
      <c r="CG278" s="31" t="str">
        <f>IF(BZ278="","",MAX(CG$12:CG277)+1)</f>
        <v/>
      </c>
      <c r="CH278" s="31" t="str">
        <f t="shared" si="411"/>
        <v/>
      </c>
      <c r="CI278" s="66" t="str">
        <f t="shared" si="412"/>
        <v/>
      </c>
      <c r="CJ278" s="47" t="s">
        <v>0</v>
      </c>
      <c r="CK278" s="73" t="str">
        <f t="shared" si="366"/>
        <v/>
      </c>
      <c r="CL278" s="47"/>
      <c r="CM278" s="19" t="str">
        <f t="shared" si="413"/>
        <v/>
      </c>
      <c r="CN278" s="47" t="s">
        <v>0</v>
      </c>
      <c r="CO278" s="143" t="str">
        <f t="shared" si="414"/>
        <v>OK Vihor</v>
      </c>
      <c r="CP278" s="47" t="s">
        <v>0</v>
      </c>
      <c r="CQ278" s="58" t="str">
        <f t="shared" si="350"/>
        <v/>
      </c>
      <c r="CR278" s="73" t="str">
        <f t="shared" si="351"/>
        <v>2</v>
      </c>
      <c r="CS278" s="229" t="str">
        <f t="shared" si="367"/>
        <v/>
      </c>
      <c r="CT278" s="230" t="str">
        <f t="shared" si="352"/>
        <v/>
      </c>
      <c r="CU278" s="163">
        <f t="shared" si="368"/>
        <v>4</v>
      </c>
      <c r="CV278" s="47" t="s">
        <v>0</v>
      </c>
      <c r="CW278" s="222" t="str">
        <f t="shared" si="415"/>
        <v xml:space="preserve">
</v>
      </c>
      <c r="CX278" s="223">
        <f t="shared" si="416"/>
        <v>5</v>
      </c>
      <c r="CY278" s="47" t="s">
        <v>0</v>
      </c>
      <c r="CZ278" s="47"/>
      <c r="DA278" s="47"/>
      <c r="DB278" s="47"/>
      <c r="DC278" s="47" t="s">
        <v>0</v>
      </c>
      <c r="DD278" s="53" t="str">
        <f t="shared" si="424"/>
        <v/>
      </c>
      <c r="DE278" t="s">
        <v>0</v>
      </c>
      <c r="DF278" s="128" t="str">
        <f t="shared" si="425"/>
        <v>Ž</v>
      </c>
      <c r="DG278" t="s">
        <v>0</v>
      </c>
      <c r="DH278" s="52" t="str">
        <f t="shared" si="426"/>
        <v/>
      </c>
      <c r="DI278" s="66" t="str">
        <f t="shared" si="427"/>
        <v/>
      </c>
      <c r="DJ278" t="s">
        <v>0</v>
      </c>
      <c r="DK278" s="19" t="str">
        <f t="shared" si="428"/>
        <v/>
      </c>
      <c r="DL278" s="47" t="s">
        <v>0</v>
      </c>
      <c r="DM278" s="19" t="str">
        <f t="shared" si="429"/>
        <v/>
      </c>
      <c r="DN278" s="47" t="s">
        <v>0</v>
      </c>
      <c r="DO278" s="52" t="str">
        <f t="shared" si="369"/>
        <v>Aleksandra – Miličević – OK Vihor – Ž21B</v>
      </c>
      <c r="DP278" s="53">
        <f t="shared" si="370"/>
        <v>808</v>
      </c>
      <c r="DQ278" s="47" t="s">
        <v>0</v>
      </c>
      <c r="DR278" s="52" t="str">
        <f t="shared" si="371"/>
        <v>Aleksandra – Miličević – OK Vihor</v>
      </c>
      <c r="DS278" s="53">
        <f t="shared" si="372"/>
        <v>808</v>
      </c>
      <c r="DT278" s="47" t="s">
        <v>0</v>
      </c>
      <c r="DU278" s="52" t="str">
        <f t="shared" si="373"/>
        <v>Aleksandra – Miličević</v>
      </c>
      <c r="DV278" s="53">
        <f t="shared" si="374"/>
        <v>808</v>
      </c>
      <c r="DW278" s="47" t="s">
        <v>0</v>
      </c>
      <c r="DX278" s="58">
        <f t="shared" si="417"/>
        <v>808</v>
      </c>
      <c r="DY278" s="53" cm="1">
        <f t="array" ref="DY278">IF(DX278&lt;&gt;"",INDEX(regNatjecatelj_id,DX278,0),IF(BD278&lt;&gt;"",BD278,""))</f>
        <v>1460</v>
      </c>
      <c r="DZ278" s="47" t="s">
        <v>0</v>
      </c>
      <c r="EA278" s="58" t="str">
        <f t="shared" si="375"/>
        <v>imepre</v>
      </c>
      <c r="EB278" s="73" t="str">
        <f t="shared" si="376"/>
        <v>klu</v>
      </c>
      <c r="EC278" s="73" t="str">
        <f t="shared" si="377"/>
        <v>kat</v>
      </c>
      <c r="ED278" s="73" t="str">
        <f t="shared" si="378"/>
        <v/>
      </c>
      <c r="EE278" s="66" t="str">
        <f t="shared" si="379"/>
        <v>imepre-klu-kat</v>
      </c>
      <c r="EF278" s="47" t="s">
        <v>0</v>
      </c>
      <c r="EG278" s="58">
        <f>IF(AL278="","",MAX(EG$12:EG277)+1)</f>
        <v>429</v>
      </c>
      <c r="EH278" s="73">
        <f t="shared" si="380"/>
        <v>40</v>
      </c>
      <c r="EI278" s="73">
        <f t="shared" si="418"/>
        <v>1460</v>
      </c>
      <c r="EJ278" s="73" t="str">
        <f t="shared" si="381"/>
        <v/>
      </c>
      <c r="EK278" s="73">
        <f t="shared" si="382"/>
        <v>4</v>
      </c>
      <c r="EL278" s="73">
        <f t="shared" si="419"/>
        <v>1</v>
      </c>
      <c r="EM278" s="73">
        <f t="shared" si="420"/>
        <v>1</v>
      </c>
      <c r="EN278" s="73" t="str">
        <f t="shared" si="383"/>
        <v>2</v>
      </c>
      <c r="EO278" s="73" t="str">
        <f t="shared" si="384"/>
        <v/>
      </c>
      <c r="EP278" s="73" t="str">
        <f t="shared" si="385"/>
        <v/>
      </c>
      <c r="EQ278" s="53" t="str">
        <f t="shared" si="386"/>
        <v/>
      </c>
      <c r="ER278" s="47" t="s">
        <v>0</v>
      </c>
      <c r="ES278" s="19" t="str">
        <f t="shared" si="421"/>
        <v>INSERT INTO rezultat(id,stazakategorija_id,imeprezime_id,vrijeme_sec,status_id,registracija,uparivanje_id,originalstatus_id,imeprezimealias_id,klubalias_id,kategorijaalias_id) VALUES (429,40,1460,Null,4,1,1,2,Null,Null,Null);</v>
      </c>
      <c r="ET278" s="47" t="s">
        <v>0</v>
      </c>
      <c r="EU278" s="19" t="str">
        <f t="shared" si="422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8" s="47" t="s">
        <v>0</v>
      </c>
      <c r="EW278" s="180" t="str">
        <f t="shared" si="387"/>
        <v xml:space="preserve">
INSERT INTO rezultat(id,stazakategorija_id,imeprezime_id,vrijeme_sec,status_id,registracija,uparivanje_id,originalstatus_id,imeprezimealias_id,klubalias_id,kategorijaalias_id) VALUES (429,40,1460,Null,4,1,1,2,Null,Null,Null);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8" s="47" t="s">
        <v>0</v>
      </c>
    </row>
    <row r="279" spans="1:154" x14ac:dyDescent="0.25">
      <c r="A279" t="s">
        <v>0</v>
      </c>
      <c r="B279" s="52" t="str">
        <f>IF(csv!F269="","",csv!T269)</f>
        <v>Ž21B</v>
      </c>
      <c r="C279" s="31" t="s">
        <v>0</v>
      </c>
      <c r="D279" s="31" t="str">
        <f>IF(csv!F269="","",csv!F269)</f>
        <v>Nikolina</v>
      </c>
      <c r="E279" s="31" t="str">
        <f>IF(csv!E269="","",csv!E269)</f>
        <v>Kranjec</v>
      </c>
      <c r="F279" s="31" t="s">
        <v>0</v>
      </c>
      <c r="G279" s="73" t="str">
        <f>IF(csv!M269="","",csv!M269)</f>
        <v/>
      </c>
      <c r="H279" s="73" t="str">
        <f>IF(csv!N269="","",csv!N269)</f>
        <v>2</v>
      </c>
      <c r="I279" s="31" t="s">
        <v>0</v>
      </c>
      <c r="J279" s="31" t="str">
        <f>IF(csv!P269="","",csv!P269)</f>
        <v>Vihor</v>
      </c>
      <c r="K279" s="31" t="str">
        <f>IF(csv!Q269="","",csv!Q269)</f>
        <v>OK Vihor</v>
      </c>
      <c r="L279" s="31" t="s">
        <v>0</v>
      </c>
      <c r="M279" s="66" t="str">
        <f>IF(csv!R269="","",csv!R269)</f>
        <v>CRO</v>
      </c>
      <c r="N279" s="47" t="s">
        <v>0</v>
      </c>
      <c r="O279" s="246" t="str">
        <f t="shared" si="388"/>
        <v>ok</v>
      </c>
      <c r="P279" s="47"/>
      <c r="Q279" s="52" t="str">
        <f t="shared" si="389"/>
        <v>Ž21B</v>
      </c>
      <c r="R279" s="73">
        <f>IF(Q279="","",IF(COUNTIF(Q$12:Q278,Q279)=0,R278+1,R278))</f>
        <v>18</v>
      </c>
      <c r="S279" s="73">
        <f t="shared" si="390"/>
        <v>118</v>
      </c>
      <c r="T279" s="73">
        <f t="shared" si="353"/>
        <v>27</v>
      </c>
      <c r="U279" s="66" t="str">
        <f t="shared" si="354"/>
        <v>Ž21B – Ž16</v>
      </c>
      <c r="V279" s="47" t="s">
        <v>0</v>
      </c>
      <c r="W279" s="222" t="str">
        <f t="shared" si="355"/>
        <v>Ž21B</v>
      </c>
      <c r="X279" s="223">
        <f t="shared" si="356"/>
        <v>40</v>
      </c>
      <c r="Y279" s="47" t="s">
        <v>0</v>
      </c>
      <c r="Z279" s="52" t="str">
        <f t="shared" si="391"/>
        <v>CRO</v>
      </c>
      <c r="AA279" s="73">
        <f t="shared" si="357"/>
        <v>1</v>
      </c>
      <c r="AB279" s="31" t="str">
        <f t="shared" si="392"/>
        <v/>
      </c>
      <c r="AC279" s="66" t="str">
        <f>IF(AB279="","",MAX(AC$12:AC278)+1)</f>
        <v/>
      </c>
      <c r="AD279" s="47" t="s">
        <v>0</v>
      </c>
      <c r="AE279" s="125"/>
      <c r="AF279" s="47" t="s">
        <v>0</v>
      </c>
      <c r="AG279" s="19" t="str">
        <f t="shared" si="393"/>
        <v/>
      </c>
      <c r="AH279" s="47" t="s">
        <v>0</v>
      </c>
      <c r="AI279" s="143" t="str">
        <f t="shared" si="394"/>
        <v>CRO</v>
      </c>
      <c r="AJ279" s="47"/>
      <c r="AK279" s="52" t="str">
        <f t="shared" si="395"/>
        <v>Nikolina</v>
      </c>
      <c r="AL279" s="31" t="str">
        <f t="shared" si="396"/>
        <v>Kranjec</v>
      </c>
      <c r="AM279" s="73">
        <f t="shared" si="397"/>
        <v>1896</v>
      </c>
      <c r="AN279" s="73" t="str">
        <f t="shared" si="398"/>
        <v/>
      </c>
      <c r="AO279" s="31" t="str">
        <f t="shared" si="358"/>
        <v>Nikolina</v>
      </c>
      <c r="AP279" s="66" t="str">
        <f t="shared" si="359"/>
        <v>Kranjec</v>
      </c>
      <c r="AQ279" s="47" t="s">
        <v>0</v>
      </c>
      <c r="AR279" s="82" t="str">
        <f t="shared" si="399"/>
        <v/>
      </c>
      <c r="AS279" s="47" t="s">
        <v>0</v>
      </c>
      <c r="AT279" s="19" t="str">
        <f t="shared" si="400"/>
        <v/>
      </c>
      <c r="AU279" s="47" t="s">
        <v>0</v>
      </c>
      <c r="AV279" s="103"/>
      <c r="AW279" s="105"/>
      <c r="AX279" s="47" t="s">
        <v>0</v>
      </c>
      <c r="AY279" s="259" t="str">
        <f t="shared" si="423"/>
        <v/>
      </c>
      <c r="AZ279" s="47" t="s">
        <v>0</v>
      </c>
      <c r="BA279" s="52" t="str">
        <f t="shared" si="360"/>
        <v/>
      </c>
      <c r="BB279" s="73" t="str">
        <f>IF(AV279&amp;AW279="","",MAX(BB$12:BB278)+1)</f>
        <v/>
      </c>
      <c r="BC279" s="272" t="str">
        <f t="shared" si="361"/>
        <v/>
      </c>
      <c r="BD279" s="53" t="str">
        <f>IF(AND(AM279="NEMA",AN279="NEMA",OR(AV279&amp;AW279="",BC279="NEMA")),MAX(BD$12:BD278)+1,"")</f>
        <v/>
      </c>
      <c r="BE279" s="47" t="s">
        <v>0</v>
      </c>
      <c r="BF279" s="52" t="str">
        <f t="shared" si="401"/>
        <v>Nikolina</v>
      </c>
      <c r="BG279" s="66" t="str">
        <f t="shared" si="402"/>
        <v>Kranjec</v>
      </c>
      <c r="BH279" s="47" t="s">
        <v>0</v>
      </c>
      <c r="BI279" s="52" t="str">
        <f t="shared" si="362"/>
        <v>Vihor</v>
      </c>
      <c r="BJ279" s="31" t="str">
        <f t="shared" si="363"/>
        <v>OK Vihor</v>
      </c>
      <c r="BK279" s="73" t="str">
        <f t="shared" si="364"/>
        <v/>
      </c>
      <c r="BL279" s="31" t="str" cm="1">
        <f t="array" ref="BL279">IF(BK279="",""&amp;BJ279,IF(BK279="NEMA",BJ279,INDEX(regKlub_naziv,MATCH(INDEX(regKlub_alias_klubId,BK279),regKlub_id,0))))</f>
        <v>OK Vihor</v>
      </c>
      <c r="BM279" s="31" t="str" cm="1">
        <f t="array" ref="BM279">IFERROR(""&amp;INDEX(regNatjecatelj_klub,DV279),"")</f>
        <v>OK Vihor</v>
      </c>
      <c r="BN279" s="88" t="str">
        <f t="shared" si="403"/>
        <v/>
      </c>
      <c r="BO279" s="66" t="str">
        <f t="shared" si="404"/>
        <v>OK Vihor</v>
      </c>
      <c r="BP279" s="47" t="s">
        <v>0</v>
      </c>
      <c r="BQ279" s="52" t="str">
        <f>IF(X279&lt;&gt;"NEMA","",IF(IFERROR(MATCH(W279,W$12:W278,0),0)&lt;&gt;0,"",W279))</f>
        <v/>
      </c>
      <c r="BR279" s="73" t="str">
        <f t="shared" si="405"/>
        <v/>
      </c>
      <c r="BS279" s="31" t="str">
        <f>IF(OR(BR279="",BR279&lt;&gt;"NEMA"),"",MAX(BS$12:BS278)+1)</f>
        <v/>
      </c>
      <c r="BT279" s="66" t="str">
        <f t="shared" si="406"/>
        <v/>
      </c>
      <c r="BU279" s="47" t="s">
        <v>0</v>
      </c>
      <c r="BV279" s="19" t="str">
        <f t="shared" si="407"/>
        <v/>
      </c>
      <c r="BW279" s="47" t="s">
        <v>0</v>
      </c>
      <c r="BX279" s="82" t="str">
        <f>IF(BK279&lt;&gt;"NEMA","",IF(IFERROR(MATCH(BJ279,BJ$12:BJ278,0),0)&lt;&gt;0,"",BJ279))</f>
        <v/>
      </c>
      <c r="BY279" s="47" t="s">
        <v>0</v>
      </c>
      <c r="BZ279" s="125"/>
      <c r="CA279" s="47" t="s">
        <v>0</v>
      </c>
      <c r="CB279" s="58" t="str">
        <f t="shared" si="408"/>
        <v/>
      </c>
      <c r="CC279" s="31" t="str">
        <f t="shared" si="409"/>
        <v/>
      </c>
      <c r="CD279" s="31" t="str">
        <f>IF(CC279="","",MAX(CD$12:CD278)+1)</f>
        <v/>
      </c>
      <c r="CE279" s="31" t="str">
        <f t="shared" si="365"/>
        <v/>
      </c>
      <c r="CF279" s="31" t="str">
        <f t="shared" si="410"/>
        <v/>
      </c>
      <c r="CG279" s="31" t="str">
        <f>IF(BZ279="","",MAX(CG$12:CG278)+1)</f>
        <v/>
      </c>
      <c r="CH279" s="31" t="str">
        <f t="shared" si="411"/>
        <v/>
      </c>
      <c r="CI279" s="66" t="str">
        <f t="shared" si="412"/>
        <v/>
      </c>
      <c r="CJ279" s="47" t="s">
        <v>0</v>
      </c>
      <c r="CK279" s="73" t="str">
        <f t="shared" si="366"/>
        <v/>
      </c>
      <c r="CL279" s="47"/>
      <c r="CM279" s="19" t="str">
        <f t="shared" si="413"/>
        <v/>
      </c>
      <c r="CN279" s="47" t="s">
        <v>0</v>
      </c>
      <c r="CO279" s="143" t="str">
        <f t="shared" si="414"/>
        <v>OK Vihor</v>
      </c>
      <c r="CP279" s="47" t="s">
        <v>0</v>
      </c>
      <c r="CQ279" s="58" t="str">
        <f t="shared" si="350"/>
        <v/>
      </c>
      <c r="CR279" s="73" t="str">
        <f t="shared" si="351"/>
        <v>2</v>
      </c>
      <c r="CS279" s="229" t="str">
        <f t="shared" si="367"/>
        <v/>
      </c>
      <c r="CT279" s="230" t="str">
        <f t="shared" si="352"/>
        <v/>
      </c>
      <c r="CU279" s="163">
        <f t="shared" si="368"/>
        <v>4</v>
      </c>
      <c r="CV279" s="47" t="s">
        <v>0</v>
      </c>
      <c r="CW279" s="222" t="str">
        <f t="shared" si="415"/>
        <v xml:space="preserve">
</v>
      </c>
      <c r="CX279" s="223">
        <f t="shared" si="416"/>
        <v>5</v>
      </c>
      <c r="CY279" s="47" t="s">
        <v>0</v>
      </c>
      <c r="CZ279" s="47"/>
      <c r="DA279" s="47"/>
      <c r="DB279" s="47"/>
      <c r="DC279" s="47" t="s">
        <v>0</v>
      </c>
      <c r="DD279" s="53" t="str">
        <f t="shared" si="424"/>
        <v/>
      </c>
      <c r="DE279" t="s">
        <v>0</v>
      </c>
      <c r="DF279" s="128" t="str">
        <f t="shared" si="425"/>
        <v>Ž</v>
      </c>
      <c r="DG279" t="s">
        <v>0</v>
      </c>
      <c r="DH279" s="52" t="str">
        <f t="shared" si="426"/>
        <v/>
      </c>
      <c r="DI279" s="66" t="str">
        <f t="shared" si="427"/>
        <v/>
      </c>
      <c r="DJ279" t="s">
        <v>0</v>
      </c>
      <c r="DK279" s="19" t="str">
        <f t="shared" si="428"/>
        <v/>
      </c>
      <c r="DL279" s="47" t="s">
        <v>0</v>
      </c>
      <c r="DM279" s="19" t="str">
        <f t="shared" si="429"/>
        <v/>
      </c>
      <c r="DN279" s="47" t="s">
        <v>0</v>
      </c>
      <c r="DO279" s="52" t="str">
        <f t="shared" si="369"/>
        <v>Nikolina – Kranjec – OK Vihor – Ž21B</v>
      </c>
      <c r="DP279" s="53">
        <f t="shared" si="370"/>
        <v>757</v>
      </c>
      <c r="DQ279" s="47" t="s">
        <v>0</v>
      </c>
      <c r="DR279" s="52" t="str">
        <f t="shared" si="371"/>
        <v>Nikolina – Kranjec – OK Vihor</v>
      </c>
      <c r="DS279" s="53">
        <f t="shared" si="372"/>
        <v>757</v>
      </c>
      <c r="DT279" s="47" t="s">
        <v>0</v>
      </c>
      <c r="DU279" s="52" t="str">
        <f t="shared" si="373"/>
        <v>Nikolina – Kranjec</v>
      </c>
      <c r="DV279" s="53">
        <f t="shared" si="374"/>
        <v>757</v>
      </c>
      <c r="DW279" s="47" t="s">
        <v>0</v>
      </c>
      <c r="DX279" s="58">
        <f t="shared" si="417"/>
        <v>757</v>
      </c>
      <c r="DY279" s="53" cm="1">
        <f t="array" ref="DY279">IF(DX279&lt;&gt;"",INDEX(regNatjecatelj_id,DX279,0),IF(BD279&lt;&gt;"",BD279,""))</f>
        <v>1896</v>
      </c>
      <c r="DZ279" s="47" t="s">
        <v>0</v>
      </c>
      <c r="EA279" s="58" t="str">
        <f t="shared" si="375"/>
        <v>imepre</v>
      </c>
      <c r="EB279" s="73" t="str">
        <f t="shared" si="376"/>
        <v>klu</v>
      </c>
      <c r="EC279" s="73" t="str">
        <f t="shared" si="377"/>
        <v>kat</v>
      </c>
      <c r="ED279" s="73" t="str">
        <f t="shared" si="378"/>
        <v/>
      </c>
      <c r="EE279" s="66" t="str">
        <f t="shared" si="379"/>
        <v>imepre-klu-kat</v>
      </c>
      <c r="EF279" s="47" t="s">
        <v>0</v>
      </c>
      <c r="EG279" s="58">
        <f>IF(AL279="","",MAX(EG$12:EG278)+1)</f>
        <v>430</v>
      </c>
      <c r="EH279" s="73">
        <f t="shared" si="380"/>
        <v>40</v>
      </c>
      <c r="EI279" s="73">
        <f t="shared" si="418"/>
        <v>1896</v>
      </c>
      <c r="EJ279" s="73" t="str">
        <f t="shared" si="381"/>
        <v/>
      </c>
      <c r="EK279" s="73">
        <f t="shared" si="382"/>
        <v>4</v>
      </c>
      <c r="EL279" s="73">
        <f t="shared" si="419"/>
        <v>1</v>
      </c>
      <c r="EM279" s="73">
        <f t="shared" si="420"/>
        <v>1</v>
      </c>
      <c r="EN279" s="73" t="str">
        <f t="shared" si="383"/>
        <v>2</v>
      </c>
      <c r="EO279" s="73" t="str">
        <f t="shared" si="384"/>
        <v/>
      </c>
      <c r="EP279" s="73" t="str">
        <f t="shared" si="385"/>
        <v/>
      </c>
      <c r="EQ279" s="53" t="str">
        <f t="shared" si="386"/>
        <v/>
      </c>
      <c r="ER279" s="47" t="s">
        <v>0</v>
      </c>
      <c r="ES279" s="19" t="str">
        <f t="shared" si="421"/>
        <v>INSERT INTO rezultat(id,stazakategorija_id,imeprezime_id,vrijeme_sec,status_id,registracija,uparivanje_id,originalstatus_id,imeprezimealias_id,klubalias_id,kategorijaalias_id) VALUES (430,40,1896,Null,4,1,1,2,Null,Null,Null);</v>
      </c>
      <c r="ET279" s="47" t="s">
        <v>0</v>
      </c>
      <c r="EU279" s="19" t="str">
        <f t="shared" si="422"/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9" s="47" t="s">
        <v>0</v>
      </c>
      <c r="EW279" s="180" t="str">
        <f t="shared" si="387"/>
        <v xml:space="preserve">
INSERT INTO rezultat(id,stazakategorija_id,imeprezime_id,vrijeme_sec,status_id,registracija,uparivanje_id,originalstatus_id,imeprezimealias_id,klubalias_id,kategorijaalias_id) VALUES (430,40,1896,Null,4,1,1,2,Null,Null,Null);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9" s="47" t="s">
        <v>0</v>
      </c>
    </row>
    <row r="280" spans="1:154" x14ac:dyDescent="0.25">
      <c r="A280" t="s">
        <v>0</v>
      </c>
      <c r="B280" s="52" t="str">
        <f>IF(csv!F270="","",csv!T270)</f>
        <v>Ž21B</v>
      </c>
      <c r="C280" s="31" t="s">
        <v>0</v>
      </c>
      <c r="D280" s="31" t="str">
        <f>IF(csv!F270="","",csv!F270)</f>
        <v>Vacant</v>
      </c>
      <c r="E280" s="31" t="str">
        <f>IF(csv!E270="","",csv!E270)</f>
        <v/>
      </c>
      <c r="F280" s="31" t="s">
        <v>0</v>
      </c>
      <c r="G280" s="73" t="str">
        <f>IF(csv!M270="","",csv!M270)</f>
        <v/>
      </c>
      <c r="H280" s="73" t="str">
        <f>IF(csv!N270="","",csv!N270)</f>
        <v>0</v>
      </c>
      <c r="I280" s="31" t="s">
        <v>0</v>
      </c>
      <c r="J280" s="31" t="str">
        <f>IF(csv!P270="","",csv!P270)</f>
        <v/>
      </c>
      <c r="K280" s="31" t="str">
        <f>IF(csv!Q270="","",csv!Q270)</f>
        <v/>
      </c>
      <c r="L280" s="31" t="s">
        <v>0</v>
      </c>
      <c r="M280" s="66" t="str">
        <f>IF(csv!R270="","",csv!R270)</f>
        <v/>
      </c>
      <c r="N280" s="47" t="s">
        <v>0</v>
      </c>
      <c r="O280" s="246" t="str">
        <f t="shared" si="388"/>
        <v/>
      </c>
      <c r="P280" s="47"/>
      <c r="Q280" s="52" t="str">
        <f t="shared" si="389"/>
        <v>Ž21B</v>
      </c>
      <c r="R280" s="73">
        <f>IF(Q280="","",IF(COUNTIF(Q$12:Q279,Q280)=0,R279+1,R279))</f>
        <v>18</v>
      </c>
      <c r="S280" s="73">
        <f t="shared" si="390"/>
        <v>118</v>
      </c>
      <c r="T280" s="73">
        <f t="shared" si="353"/>
        <v>27</v>
      </c>
      <c r="U280" s="66" t="str">
        <f t="shared" si="354"/>
        <v>Ž21B – Ž16</v>
      </c>
      <c r="V280" s="47" t="s">
        <v>0</v>
      </c>
      <c r="W280" s="222" t="str">
        <f t="shared" si="355"/>
        <v/>
      </c>
      <c r="X280" s="223" t="str">
        <f t="shared" si="356"/>
        <v/>
      </c>
      <c r="Y280" s="47" t="s">
        <v>0</v>
      </c>
      <c r="Z280" s="52" t="str">
        <f t="shared" si="391"/>
        <v/>
      </c>
      <c r="AA280" s="73" t="str">
        <f t="shared" si="357"/>
        <v/>
      </c>
      <c r="AB280" s="31" t="str">
        <f t="shared" si="392"/>
        <v/>
      </c>
      <c r="AC280" s="66" t="str">
        <f>IF(AB280="","",MAX(AC$12:AC279)+1)</f>
        <v/>
      </c>
      <c r="AD280" s="47" t="s">
        <v>0</v>
      </c>
      <c r="AE280" s="125"/>
      <c r="AF280" s="47" t="s">
        <v>0</v>
      </c>
      <c r="AG280" s="19" t="str">
        <f t="shared" si="393"/>
        <v/>
      </c>
      <c r="AH280" s="47" t="s">
        <v>0</v>
      </c>
      <c r="AI280" s="143" t="str">
        <f t="shared" si="394"/>
        <v/>
      </c>
      <c r="AJ280" s="47"/>
      <c r="AK280" s="52" t="str">
        <f t="shared" si="395"/>
        <v/>
      </c>
      <c r="AL280" s="31" t="str">
        <f t="shared" si="396"/>
        <v/>
      </c>
      <c r="AM280" s="73" t="str">
        <f t="shared" si="397"/>
        <v/>
      </c>
      <c r="AN280" s="73" t="str">
        <f t="shared" si="398"/>
        <v/>
      </c>
      <c r="AO280" s="31" t="str">
        <f t="shared" si="358"/>
        <v/>
      </c>
      <c r="AP280" s="66" t="str">
        <f t="shared" si="359"/>
        <v/>
      </c>
      <c r="AQ280" s="47" t="s">
        <v>0</v>
      </c>
      <c r="AR280" s="82" t="str">
        <f t="shared" si="399"/>
        <v/>
      </c>
      <c r="AS280" s="47" t="s">
        <v>0</v>
      </c>
      <c r="AT280" s="19" t="str">
        <f t="shared" si="400"/>
        <v/>
      </c>
      <c r="AU280" s="47" t="s">
        <v>0</v>
      </c>
      <c r="AV280" s="103"/>
      <c r="AW280" s="105"/>
      <c r="AX280" s="47" t="s">
        <v>0</v>
      </c>
      <c r="AY280" s="259" t="str">
        <f t="shared" si="423"/>
        <v/>
      </c>
      <c r="AZ280" s="47" t="s">
        <v>0</v>
      </c>
      <c r="BA280" s="52" t="str">
        <f t="shared" si="360"/>
        <v/>
      </c>
      <c r="BB280" s="73" t="str">
        <f>IF(AV280&amp;AW280="","",MAX(BB$12:BB279)+1)</f>
        <v/>
      </c>
      <c r="BC280" s="272" t="str">
        <f t="shared" si="361"/>
        <v/>
      </c>
      <c r="BD280" s="53" t="str">
        <f>IF(AND(AM280="NEMA",AN280="NEMA",OR(AV280&amp;AW280="",BC280="NEMA")),MAX(BD$12:BD279)+1,"")</f>
        <v/>
      </c>
      <c r="BE280" s="47" t="s">
        <v>0</v>
      </c>
      <c r="BF280" s="52" t="str">
        <f t="shared" si="401"/>
        <v/>
      </c>
      <c r="BG280" s="66" t="str">
        <f t="shared" si="402"/>
        <v/>
      </c>
      <c r="BH280" s="47" t="s">
        <v>0</v>
      </c>
      <c r="BI280" s="52" t="str">
        <f t="shared" si="362"/>
        <v/>
      </c>
      <c r="BJ280" s="31" t="str">
        <f t="shared" si="363"/>
        <v/>
      </c>
      <c r="BK280" s="73" t="str">
        <f t="shared" si="364"/>
        <v/>
      </c>
      <c r="BL280" s="31" t="str" cm="1">
        <f t="array" ref="BL280">IF(BK280="",""&amp;BJ280,IF(BK280="NEMA",BJ280,INDEX(regKlub_naziv,MATCH(INDEX(regKlub_alias_klubId,BK280),regKlub_id,0))))</f>
        <v/>
      </c>
      <c r="BM280" s="31" t="str" cm="1">
        <f t="array" ref="BM280">IFERROR(""&amp;INDEX(regNatjecatelj_klub,DV280),"")</f>
        <v/>
      </c>
      <c r="BN280" s="88" t="str">
        <f t="shared" si="403"/>
        <v/>
      </c>
      <c r="BO280" s="66" t="str">
        <f t="shared" si="404"/>
        <v/>
      </c>
      <c r="BP280" s="47" t="s">
        <v>0</v>
      </c>
      <c r="BQ280" s="52" t="str">
        <f>IF(X280&lt;&gt;"NEMA","",IF(IFERROR(MATCH(W280,W$12:W279,0),0)&lt;&gt;0,"",W280))</f>
        <v/>
      </c>
      <c r="BR280" s="73" t="str">
        <f t="shared" si="405"/>
        <v/>
      </c>
      <c r="BS280" s="31" t="str">
        <f>IF(OR(BR280="",BR280&lt;&gt;"NEMA"),"",MAX(BS$12:BS279)+1)</f>
        <v/>
      </c>
      <c r="BT280" s="66" t="str">
        <f t="shared" si="406"/>
        <v/>
      </c>
      <c r="BU280" s="47" t="s">
        <v>0</v>
      </c>
      <c r="BV280" s="19" t="str">
        <f t="shared" si="407"/>
        <v/>
      </c>
      <c r="BW280" s="47" t="s">
        <v>0</v>
      </c>
      <c r="BX280" s="82" t="str">
        <f>IF(BK280&lt;&gt;"NEMA","",IF(IFERROR(MATCH(BJ280,BJ$12:BJ279,0),0)&lt;&gt;0,"",BJ280))</f>
        <v/>
      </c>
      <c r="BY280" s="47" t="s">
        <v>0</v>
      </c>
      <c r="BZ280" s="125"/>
      <c r="CA280" s="47" t="s">
        <v>0</v>
      </c>
      <c r="CB280" s="58" t="str">
        <f t="shared" si="408"/>
        <v/>
      </c>
      <c r="CC280" s="31" t="str">
        <f t="shared" si="409"/>
        <v/>
      </c>
      <c r="CD280" s="31" t="str">
        <f>IF(CC280="","",MAX(CD$12:CD279)+1)</f>
        <v/>
      </c>
      <c r="CE280" s="31" t="str">
        <f t="shared" si="365"/>
        <v/>
      </c>
      <c r="CF280" s="31" t="str">
        <f t="shared" si="410"/>
        <v/>
      </c>
      <c r="CG280" s="31" t="str">
        <f>IF(BZ280="","",MAX(CG$12:CG279)+1)</f>
        <v/>
      </c>
      <c r="CH280" s="31" t="str">
        <f t="shared" si="411"/>
        <v/>
      </c>
      <c r="CI280" s="66" t="str">
        <f t="shared" si="412"/>
        <v/>
      </c>
      <c r="CJ280" s="47" t="s">
        <v>0</v>
      </c>
      <c r="CK280" s="73" t="str">
        <f t="shared" si="366"/>
        <v/>
      </c>
      <c r="CL280" s="47"/>
      <c r="CM280" s="19" t="str">
        <f t="shared" si="413"/>
        <v/>
      </c>
      <c r="CN280" s="47" t="s">
        <v>0</v>
      </c>
      <c r="CO280" s="143" t="str">
        <f t="shared" si="414"/>
        <v/>
      </c>
      <c r="CP280" s="47" t="s">
        <v>0</v>
      </c>
      <c r="CQ280" s="58" t="str">
        <f t="shared" si="350"/>
        <v/>
      </c>
      <c r="CR280" s="73" t="str">
        <f t="shared" si="351"/>
        <v>0</v>
      </c>
      <c r="CS280" s="229" t="str">
        <f t="shared" si="367"/>
        <v/>
      </c>
      <c r="CT280" s="230" t="str">
        <f t="shared" si="352"/>
        <v/>
      </c>
      <c r="CU280" s="163" t="str">
        <f t="shared" si="368"/>
        <v/>
      </c>
      <c r="CV280" s="47" t="s">
        <v>0</v>
      </c>
      <c r="CW280" s="222" t="str">
        <f t="shared" si="415"/>
        <v xml:space="preserve">
</v>
      </c>
      <c r="CX280" s="223" t="str">
        <f t="shared" si="416"/>
        <v/>
      </c>
      <c r="CY280" s="47" t="s">
        <v>0</v>
      </c>
      <c r="CZ280" s="47"/>
      <c r="DA280" s="47"/>
      <c r="DB280" s="47"/>
      <c r="DC280" s="47" t="s">
        <v>0</v>
      </c>
      <c r="DD280" s="53" t="str">
        <f t="shared" si="424"/>
        <v/>
      </c>
      <c r="DE280" t="s">
        <v>0</v>
      </c>
      <c r="DF280" s="128" t="str">
        <f t="shared" si="425"/>
        <v>Ž</v>
      </c>
      <c r="DG280" t="s">
        <v>0</v>
      </c>
      <c r="DH280" s="52" t="str">
        <f t="shared" si="426"/>
        <v/>
      </c>
      <c r="DI280" s="66" t="str">
        <f t="shared" si="427"/>
        <v/>
      </c>
      <c r="DJ280" t="s">
        <v>0</v>
      </c>
      <c r="DK280" s="19" t="str">
        <f t="shared" si="428"/>
        <v/>
      </c>
      <c r="DL280" s="47" t="s">
        <v>0</v>
      </c>
      <c r="DM280" s="19" t="str">
        <f t="shared" si="429"/>
        <v/>
      </c>
      <c r="DN280" s="47" t="s">
        <v>0</v>
      </c>
      <c r="DO280" s="52" t="str">
        <f t="shared" si="369"/>
        <v/>
      </c>
      <c r="DP280" s="53" t="str">
        <f t="shared" si="370"/>
        <v/>
      </c>
      <c r="DQ280" s="47" t="s">
        <v>0</v>
      </c>
      <c r="DR280" s="52" t="str">
        <f t="shared" si="371"/>
        <v/>
      </c>
      <c r="DS280" s="53" t="str">
        <f t="shared" si="372"/>
        <v/>
      </c>
      <c r="DT280" s="47" t="s">
        <v>0</v>
      </c>
      <c r="DU280" s="52" t="str">
        <f t="shared" si="373"/>
        <v/>
      </c>
      <c r="DV280" s="53" t="str">
        <f t="shared" si="374"/>
        <v/>
      </c>
      <c r="DW280" s="47" t="s">
        <v>0</v>
      </c>
      <c r="DX280" s="58" t="str">
        <f t="shared" si="417"/>
        <v/>
      </c>
      <c r="DY280" s="53" t="str" cm="1">
        <f t="array" ref="DY280">IF(DX280&lt;&gt;"",INDEX(regNatjecatelj_id,DX280,0),IF(BD280&lt;&gt;"",BD280,""))</f>
        <v/>
      </c>
      <c r="DZ280" s="47" t="s">
        <v>0</v>
      </c>
      <c r="EA280" s="58" t="str">
        <f t="shared" si="375"/>
        <v/>
      </c>
      <c r="EB280" s="73" t="str">
        <f t="shared" si="376"/>
        <v/>
      </c>
      <c r="EC280" s="73" t="str">
        <f t="shared" si="377"/>
        <v/>
      </c>
      <c r="ED280" s="73" t="str">
        <f t="shared" si="378"/>
        <v/>
      </c>
      <c r="EE280" s="66" t="str">
        <f t="shared" si="379"/>
        <v/>
      </c>
      <c r="EF280" s="47" t="s">
        <v>0</v>
      </c>
      <c r="EG280" s="58" t="str">
        <f>IF(AL280="","",MAX(EG$12:EG279)+1)</f>
        <v/>
      </c>
      <c r="EH280" s="73" t="str">
        <f t="shared" si="380"/>
        <v/>
      </c>
      <c r="EI280" s="73" t="str">
        <f t="shared" si="418"/>
        <v/>
      </c>
      <c r="EJ280" s="73" t="str">
        <f t="shared" si="381"/>
        <v/>
      </c>
      <c r="EK280" s="73" t="str">
        <f t="shared" si="382"/>
        <v/>
      </c>
      <c r="EL280" s="73" t="str">
        <f t="shared" si="419"/>
        <v/>
      </c>
      <c r="EM280" s="73" t="str">
        <f t="shared" si="420"/>
        <v/>
      </c>
      <c r="EN280" s="73" t="str">
        <f t="shared" si="383"/>
        <v/>
      </c>
      <c r="EO280" s="73" t="str">
        <f t="shared" si="384"/>
        <v/>
      </c>
      <c r="EP280" s="73" t="str">
        <f t="shared" si="385"/>
        <v/>
      </c>
      <c r="EQ280" s="53" t="str">
        <f t="shared" si="386"/>
        <v/>
      </c>
      <c r="ER280" s="47" t="s">
        <v>0</v>
      </c>
      <c r="ES280" s="19" t="str">
        <f t="shared" si="421"/>
        <v/>
      </c>
      <c r="ET280" s="47" t="s">
        <v>0</v>
      </c>
      <c r="EU280" s="19" t="str">
        <f t="shared" si="422"/>
        <v/>
      </c>
      <c r="EV280" s="47" t="s">
        <v>0</v>
      </c>
      <c r="EW280" s="180" t="str">
        <f t="shared" si="387"/>
        <v/>
      </c>
      <c r="EX280" s="47" t="s">
        <v>0</v>
      </c>
    </row>
    <row r="281" spans="1:154" x14ac:dyDescent="0.25">
      <c r="A281" t="s">
        <v>0</v>
      </c>
      <c r="B281" s="52" t="str">
        <f>IF(csv!F271="","",csv!T271)</f>
        <v>Ž21B</v>
      </c>
      <c r="C281" s="31" t="s">
        <v>0</v>
      </c>
      <c r="D281" s="31" t="str">
        <f>IF(csv!F271="","",csv!F271)</f>
        <v>Iva</v>
      </c>
      <c r="E281" s="31" t="str">
        <f>IF(csv!E271="","",csv!E271)</f>
        <v>Stipeljković</v>
      </c>
      <c r="F281" s="31" t="s">
        <v>0</v>
      </c>
      <c r="G281" s="73" t="str">
        <f>IF(csv!M271="","",csv!M271)</f>
        <v/>
      </c>
      <c r="H281" s="73" t="str">
        <f>IF(csv!N271="","",csv!N271)</f>
        <v>2</v>
      </c>
      <c r="I281" s="31" t="s">
        <v>0</v>
      </c>
      <c r="J281" s="31" t="str">
        <f>IF(csv!P271="","",csv!P271)</f>
        <v>Vihor</v>
      </c>
      <c r="K281" s="31" t="str">
        <f>IF(csv!Q271="","",csv!Q271)</f>
        <v>OK Vihor</v>
      </c>
      <c r="L281" s="31" t="s">
        <v>0</v>
      </c>
      <c r="M281" s="66" t="str">
        <f>IF(csv!R271="","",csv!R271)</f>
        <v>CRO</v>
      </c>
      <c r="N281" s="47" t="s">
        <v>0</v>
      </c>
      <c r="O281" s="246" t="str">
        <f t="shared" si="388"/>
        <v>ok</v>
      </c>
      <c r="P281" s="47"/>
      <c r="Q281" s="52" t="str">
        <f t="shared" si="389"/>
        <v>Ž21B</v>
      </c>
      <c r="R281" s="73">
        <f>IF(Q281="","",IF(COUNTIF(Q$12:Q280,Q281)=0,R280+1,R280))</f>
        <v>18</v>
      </c>
      <c r="S281" s="73">
        <f t="shared" si="390"/>
        <v>118</v>
      </c>
      <c r="T281" s="73">
        <f t="shared" si="353"/>
        <v>27</v>
      </c>
      <c r="U281" s="66" t="str">
        <f t="shared" si="354"/>
        <v>Ž21B – Ž16</v>
      </c>
      <c r="V281" s="47" t="s">
        <v>0</v>
      </c>
      <c r="W281" s="222" t="str">
        <f t="shared" si="355"/>
        <v>Ž21B</v>
      </c>
      <c r="X281" s="223">
        <f t="shared" si="356"/>
        <v>40</v>
      </c>
      <c r="Y281" s="47" t="s">
        <v>0</v>
      </c>
      <c r="Z281" s="52" t="str">
        <f t="shared" si="391"/>
        <v>CRO</v>
      </c>
      <c r="AA281" s="73">
        <f t="shared" si="357"/>
        <v>1</v>
      </c>
      <c r="AB281" s="31" t="str">
        <f t="shared" si="392"/>
        <v/>
      </c>
      <c r="AC281" s="66" t="str">
        <f>IF(AB281="","",MAX(AC$12:AC280)+1)</f>
        <v/>
      </c>
      <c r="AD281" s="47" t="s">
        <v>0</v>
      </c>
      <c r="AE281" s="125"/>
      <c r="AF281" s="47" t="s">
        <v>0</v>
      </c>
      <c r="AG281" s="19" t="str">
        <f t="shared" si="393"/>
        <v/>
      </c>
      <c r="AH281" s="47" t="s">
        <v>0</v>
      </c>
      <c r="AI281" s="143" t="str">
        <f t="shared" si="394"/>
        <v>CRO</v>
      </c>
      <c r="AJ281" s="47"/>
      <c r="AK281" s="52" t="str">
        <f t="shared" si="395"/>
        <v>Iva</v>
      </c>
      <c r="AL281" s="31" t="str">
        <f t="shared" si="396"/>
        <v>Stipeljković</v>
      </c>
      <c r="AM281" s="73">
        <f t="shared" si="397"/>
        <v>1905</v>
      </c>
      <c r="AN281" s="73" t="str">
        <f t="shared" si="398"/>
        <v/>
      </c>
      <c r="AO281" s="31" t="str">
        <f t="shared" si="358"/>
        <v>Iva</v>
      </c>
      <c r="AP281" s="66" t="str">
        <f t="shared" si="359"/>
        <v>Stipeljković</v>
      </c>
      <c r="AQ281" s="47" t="s">
        <v>0</v>
      </c>
      <c r="AR281" s="82" t="str">
        <f t="shared" si="399"/>
        <v/>
      </c>
      <c r="AS281" s="47" t="s">
        <v>0</v>
      </c>
      <c r="AT281" s="19" t="str">
        <f t="shared" si="400"/>
        <v/>
      </c>
      <c r="AU281" s="47" t="s">
        <v>0</v>
      </c>
      <c r="AV281" s="103"/>
      <c r="AW281" s="105"/>
      <c r="AX281" s="47" t="s">
        <v>0</v>
      </c>
      <c r="AY281" s="259" t="str">
        <f t="shared" si="423"/>
        <v/>
      </c>
      <c r="AZ281" s="47" t="s">
        <v>0</v>
      </c>
      <c r="BA281" s="52" t="str">
        <f t="shared" si="360"/>
        <v/>
      </c>
      <c r="BB281" s="73" t="str">
        <f>IF(AV281&amp;AW281="","",MAX(BB$12:BB280)+1)</f>
        <v/>
      </c>
      <c r="BC281" s="272" t="str">
        <f t="shared" si="361"/>
        <v/>
      </c>
      <c r="BD281" s="53" t="str">
        <f>IF(AND(AM281="NEMA",AN281="NEMA",OR(AV281&amp;AW281="",BC281="NEMA")),MAX(BD$12:BD280)+1,"")</f>
        <v/>
      </c>
      <c r="BE281" s="47" t="s">
        <v>0</v>
      </c>
      <c r="BF281" s="52" t="str">
        <f t="shared" si="401"/>
        <v>Iva</v>
      </c>
      <c r="BG281" s="66" t="str">
        <f t="shared" si="402"/>
        <v>Stipeljković</v>
      </c>
      <c r="BH281" s="47" t="s">
        <v>0</v>
      </c>
      <c r="BI281" s="52" t="str">
        <f t="shared" si="362"/>
        <v>Vihor</v>
      </c>
      <c r="BJ281" s="31" t="str">
        <f t="shared" si="363"/>
        <v>OK Vihor</v>
      </c>
      <c r="BK281" s="73" t="str">
        <f t="shared" si="364"/>
        <v/>
      </c>
      <c r="BL281" s="31" t="str" cm="1">
        <f t="array" ref="BL281">IF(BK281="",""&amp;BJ281,IF(BK281="NEMA",BJ281,INDEX(regKlub_naziv,MATCH(INDEX(regKlub_alias_klubId,BK281),regKlub_id,0))))</f>
        <v>OK Vihor</v>
      </c>
      <c r="BM281" s="31" t="str" cm="1">
        <f t="array" ref="BM281">IFERROR(""&amp;INDEX(regNatjecatelj_klub,DV281),"")</f>
        <v>OK Vihor</v>
      </c>
      <c r="BN281" s="88" t="str">
        <f t="shared" si="403"/>
        <v/>
      </c>
      <c r="BO281" s="66" t="str">
        <f t="shared" si="404"/>
        <v>OK Vihor</v>
      </c>
      <c r="BP281" s="47" t="s">
        <v>0</v>
      </c>
      <c r="BQ281" s="52" t="str">
        <f>IF(X281&lt;&gt;"NEMA","",IF(IFERROR(MATCH(W281,W$12:W280,0),0)&lt;&gt;0,"",W281))</f>
        <v/>
      </c>
      <c r="BR281" s="73" t="str">
        <f t="shared" si="405"/>
        <v/>
      </c>
      <c r="BS281" s="31" t="str">
        <f>IF(OR(BR281="",BR281&lt;&gt;"NEMA"),"",MAX(BS$12:BS280)+1)</f>
        <v/>
      </c>
      <c r="BT281" s="66" t="str">
        <f t="shared" si="406"/>
        <v/>
      </c>
      <c r="BU281" s="47" t="s">
        <v>0</v>
      </c>
      <c r="BV281" s="19" t="str">
        <f t="shared" si="407"/>
        <v/>
      </c>
      <c r="BW281" s="47" t="s">
        <v>0</v>
      </c>
      <c r="BX281" s="82" t="str">
        <f>IF(BK281&lt;&gt;"NEMA","",IF(IFERROR(MATCH(BJ281,BJ$12:BJ280,0),0)&lt;&gt;0,"",BJ281))</f>
        <v/>
      </c>
      <c r="BY281" s="47" t="s">
        <v>0</v>
      </c>
      <c r="BZ281" s="125"/>
      <c r="CA281" s="47" t="s">
        <v>0</v>
      </c>
      <c r="CB281" s="58" t="str">
        <f t="shared" si="408"/>
        <v/>
      </c>
      <c r="CC281" s="31" t="str">
        <f t="shared" si="409"/>
        <v/>
      </c>
      <c r="CD281" s="31" t="str">
        <f>IF(CC281="","",MAX(CD$12:CD280)+1)</f>
        <v/>
      </c>
      <c r="CE281" s="31" t="str">
        <f t="shared" si="365"/>
        <v/>
      </c>
      <c r="CF281" s="31" t="str">
        <f t="shared" si="410"/>
        <v/>
      </c>
      <c r="CG281" s="31" t="str">
        <f>IF(BZ281="","",MAX(CG$12:CG280)+1)</f>
        <v/>
      </c>
      <c r="CH281" s="31" t="str">
        <f t="shared" si="411"/>
        <v/>
      </c>
      <c r="CI281" s="66" t="str">
        <f t="shared" si="412"/>
        <v/>
      </c>
      <c r="CJ281" s="47" t="s">
        <v>0</v>
      </c>
      <c r="CK281" s="73" t="str">
        <f t="shared" si="366"/>
        <v/>
      </c>
      <c r="CL281" s="47"/>
      <c r="CM281" s="19" t="str">
        <f t="shared" si="413"/>
        <v/>
      </c>
      <c r="CN281" s="47" t="s">
        <v>0</v>
      </c>
      <c r="CO281" s="143" t="str">
        <f t="shared" si="414"/>
        <v>OK Vihor</v>
      </c>
      <c r="CP281" s="47" t="s">
        <v>0</v>
      </c>
      <c r="CQ281" s="58" t="str">
        <f t="shared" si="350"/>
        <v/>
      </c>
      <c r="CR281" s="73" t="str">
        <f t="shared" si="351"/>
        <v>2</v>
      </c>
      <c r="CS281" s="229" t="str">
        <f t="shared" si="367"/>
        <v/>
      </c>
      <c r="CT281" s="230" t="str">
        <f t="shared" si="352"/>
        <v/>
      </c>
      <c r="CU281" s="163">
        <f t="shared" si="368"/>
        <v>4</v>
      </c>
      <c r="CV281" s="47" t="s">
        <v>0</v>
      </c>
      <c r="CW281" s="222" t="str">
        <f t="shared" si="415"/>
        <v xml:space="preserve">
</v>
      </c>
      <c r="CX281" s="223">
        <f t="shared" si="416"/>
        <v>5</v>
      </c>
      <c r="CY281" s="47" t="s">
        <v>0</v>
      </c>
      <c r="CZ281" s="47"/>
      <c r="DA281" s="47"/>
      <c r="DB281" s="47"/>
      <c r="DC281" s="47" t="s">
        <v>0</v>
      </c>
      <c r="DD281" s="53" t="str">
        <f t="shared" si="424"/>
        <v/>
      </c>
      <c r="DE281" t="s">
        <v>0</v>
      </c>
      <c r="DF281" s="128" t="str">
        <f t="shared" si="425"/>
        <v>Ž</v>
      </c>
      <c r="DG281" t="s">
        <v>0</v>
      </c>
      <c r="DH281" s="52" t="str">
        <f t="shared" si="426"/>
        <v/>
      </c>
      <c r="DI281" s="66" t="str">
        <f t="shared" si="427"/>
        <v/>
      </c>
      <c r="DJ281" t="s">
        <v>0</v>
      </c>
      <c r="DK281" s="19" t="str">
        <f t="shared" si="428"/>
        <v/>
      </c>
      <c r="DL281" s="47" t="s">
        <v>0</v>
      </c>
      <c r="DM281" s="19" t="str">
        <f t="shared" si="429"/>
        <v/>
      </c>
      <c r="DN281" s="47" t="s">
        <v>0</v>
      </c>
      <c r="DO281" s="52" t="str">
        <f t="shared" si="369"/>
        <v>Iva – Stipeljković – OK Vihor – Ž21B</v>
      </c>
      <c r="DP281" s="53">
        <f t="shared" si="370"/>
        <v>910</v>
      </c>
      <c r="DQ281" s="47" t="s">
        <v>0</v>
      </c>
      <c r="DR281" s="52" t="str">
        <f t="shared" si="371"/>
        <v>Iva – Stipeljković – OK Vihor</v>
      </c>
      <c r="DS281" s="53">
        <f t="shared" si="372"/>
        <v>910</v>
      </c>
      <c r="DT281" s="47" t="s">
        <v>0</v>
      </c>
      <c r="DU281" s="52" t="str">
        <f t="shared" si="373"/>
        <v>Iva – Stipeljković</v>
      </c>
      <c r="DV281" s="53">
        <f t="shared" si="374"/>
        <v>910</v>
      </c>
      <c r="DW281" s="47" t="s">
        <v>0</v>
      </c>
      <c r="DX281" s="58">
        <f t="shared" si="417"/>
        <v>910</v>
      </c>
      <c r="DY281" s="53" cm="1">
        <f t="array" ref="DY281">IF(DX281&lt;&gt;"",INDEX(regNatjecatelj_id,DX281,0),IF(BD281&lt;&gt;"",BD281,""))</f>
        <v>1905</v>
      </c>
      <c r="DZ281" s="47" t="s">
        <v>0</v>
      </c>
      <c r="EA281" s="58" t="str">
        <f t="shared" si="375"/>
        <v>imepre</v>
      </c>
      <c r="EB281" s="73" t="str">
        <f t="shared" si="376"/>
        <v>klu</v>
      </c>
      <c r="EC281" s="73" t="str">
        <f t="shared" si="377"/>
        <v>kat</v>
      </c>
      <c r="ED281" s="73" t="str">
        <f t="shared" si="378"/>
        <v/>
      </c>
      <c r="EE281" s="66" t="str">
        <f t="shared" si="379"/>
        <v>imepre-klu-kat</v>
      </c>
      <c r="EF281" s="47" t="s">
        <v>0</v>
      </c>
      <c r="EG281" s="58">
        <f>IF(AL281="","",MAX(EG$12:EG280)+1)</f>
        <v>431</v>
      </c>
      <c r="EH281" s="73">
        <f t="shared" si="380"/>
        <v>40</v>
      </c>
      <c r="EI281" s="73">
        <f t="shared" si="418"/>
        <v>1905</v>
      </c>
      <c r="EJ281" s="73" t="str">
        <f t="shared" si="381"/>
        <v/>
      </c>
      <c r="EK281" s="73">
        <f t="shared" si="382"/>
        <v>4</v>
      </c>
      <c r="EL281" s="73">
        <f t="shared" si="419"/>
        <v>1</v>
      </c>
      <c r="EM281" s="73">
        <f t="shared" si="420"/>
        <v>1</v>
      </c>
      <c r="EN281" s="73" t="str">
        <f t="shared" si="383"/>
        <v>2</v>
      </c>
      <c r="EO281" s="73" t="str">
        <f t="shared" si="384"/>
        <v/>
      </c>
      <c r="EP281" s="73" t="str">
        <f t="shared" si="385"/>
        <v/>
      </c>
      <c r="EQ281" s="53" t="str">
        <f t="shared" si="386"/>
        <v/>
      </c>
      <c r="ER281" s="47" t="s">
        <v>0</v>
      </c>
      <c r="ES281" s="19" t="str">
        <f t="shared" si="421"/>
        <v>INSERT INTO rezultat(id,stazakategorija_id,imeprezime_id,vrijeme_sec,status_id,registracija,uparivanje_id,originalstatus_id,imeprezimealias_id,klubalias_id,kategorijaalias_id) VALUES (431,40,1905,Null,4,1,1,2,Null,Null,Null);</v>
      </c>
      <c r="ET281" s="47" t="s">
        <v>0</v>
      </c>
      <c r="EU281" s="19" t="str">
        <f t="shared" si="422"/>
        <v>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1" s="47" t="s">
        <v>0</v>
      </c>
      <c r="EW281" s="180" t="str">
        <f t="shared" si="387"/>
        <v xml:space="preserve">
INSERT INTO rezultat(id,stazakategorija_id,imeprezime_id,vrijeme_sec,status_id,registracija,uparivanje_id,originalstatus_id,imeprezimealias_id,klubalias_id,kategorijaalias_id) VALUES (431,40,1905,Null,4,1,1,2,Null,Null,Null);
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1" s="47" t="s">
        <v>0</v>
      </c>
    </row>
    <row r="282" spans="1:154" x14ac:dyDescent="0.25">
      <c r="A282" t="s">
        <v>0</v>
      </c>
      <c r="B282" s="52" t="str">
        <f>IF(csv!F272="","",csv!T272)</f>
        <v>Ž21B</v>
      </c>
      <c r="C282" s="31" t="s">
        <v>0</v>
      </c>
      <c r="D282" s="31" t="str">
        <f>IF(csv!F272="","",csv!F272)</f>
        <v>Martina</v>
      </c>
      <c r="E282" s="31" t="str">
        <f>IF(csv!E272="","",csv!E272)</f>
        <v>Martin</v>
      </c>
      <c r="F282" s="31" t="s">
        <v>0</v>
      </c>
      <c r="G282" s="73" t="str">
        <f>IF(csv!M272="","",csv!M272)</f>
        <v/>
      </c>
      <c r="H282" s="73" t="str">
        <f>IF(csv!N272="","",csv!N272)</f>
        <v>1</v>
      </c>
      <c r="I282" s="31" t="s">
        <v>0</v>
      </c>
      <c r="J282" s="31" t="str">
        <f>IF(csv!P272="","",csv!P272)</f>
        <v>KAP</v>
      </c>
      <c r="K282" s="31" t="str">
        <f>IF(csv!Q272="","",csv!Q272)</f>
        <v>OK Kapela</v>
      </c>
      <c r="L282" s="31" t="s">
        <v>0</v>
      </c>
      <c r="M282" s="66" t="str">
        <f>IF(csv!R272="","",csv!R272)</f>
        <v>CRO</v>
      </c>
      <c r="N282" s="47" t="s">
        <v>0</v>
      </c>
      <c r="O282" s="246" t="str">
        <f t="shared" si="388"/>
        <v>ok</v>
      </c>
      <c r="P282" s="47"/>
      <c r="Q282" s="52" t="str">
        <f t="shared" si="389"/>
        <v>Ž21B</v>
      </c>
      <c r="R282" s="73">
        <f>IF(Q282="","",IF(COUNTIF(Q$12:Q281,Q282)=0,R281+1,R281))</f>
        <v>18</v>
      </c>
      <c r="S282" s="73">
        <f t="shared" si="390"/>
        <v>118</v>
      </c>
      <c r="T282" s="73">
        <f t="shared" si="353"/>
        <v>27</v>
      </c>
      <c r="U282" s="66" t="str">
        <f t="shared" si="354"/>
        <v>Ž21B – Ž16</v>
      </c>
      <c r="V282" s="47" t="s">
        <v>0</v>
      </c>
      <c r="W282" s="222" t="str">
        <f t="shared" si="355"/>
        <v>Ž21B</v>
      </c>
      <c r="X282" s="223">
        <f t="shared" si="356"/>
        <v>40</v>
      </c>
      <c r="Y282" s="47" t="s">
        <v>0</v>
      </c>
      <c r="Z282" s="52" t="str">
        <f t="shared" si="391"/>
        <v>CRO</v>
      </c>
      <c r="AA282" s="73">
        <f t="shared" si="357"/>
        <v>1</v>
      </c>
      <c r="AB282" s="31" t="str">
        <f t="shared" si="392"/>
        <v/>
      </c>
      <c r="AC282" s="66" t="str">
        <f>IF(AB282="","",MAX(AC$12:AC281)+1)</f>
        <v/>
      </c>
      <c r="AD282" s="47" t="s">
        <v>0</v>
      </c>
      <c r="AE282" s="125"/>
      <c r="AF282" s="47" t="s">
        <v>0</v>
      </c>
      <c r="AG282" s="19" t="str">
        <f t="shared" si="393"/>
        <v/>
      </c>
      <c r="AH282" s="47" t="s">
        <v>0</v>
      </c>
      <c r="AI282" s="143" t="str">
        <f t="shared" si="394"/>
        <v>CRO</v>
      </c>
      <c r="AJ282" s="47"/>
      <c r="AK282" s="52" t="str">
        <f t="shared" si="395"/>
        <v>Martina</v>
      </c>
      <c r="AL282" s="31" t="str">
        <f t="shared" si="396"/>
        <v>Martin</v>
      </c>
      <c r="AM282" s="73">
        <f t="shared" si="397"/>
        <v>1866</v>
      </c>
      <c r="AN282" s="73" t="str">
        <f t="shared" si="398"/>
        <v/>
      </c>
      <c r="AO282" s="31" t="str">
        <f t="shared" si="358"/>
        <v>Martina</v>
      </c>
      <c r="AP282" s="66" t="str">
        <f t="shared" si="359"/>
        <v>Martin</v>
      </c>
      <c r="AQ282" s="47" t="s">
        <v>0</v>
      </c>
      <c r="AR282" s="82" t="str">
        <f t="shared" si="399"/>
        <v/>
      </c>
      <c r="AS282" s="47" t="s">
        <v>0</v>
      </c>
      <c r="AT282" s="19" t="str">
        <f t="shared" si="400"/>
        <v/>
      </c>
      <c r="AU282" s="47" t="s">
        <v>0</v>
      </c>
      <c r="AV282" s="103"/>
      <c r="AW282" s="105"/>
      <c r="AX282" s="47" t="s">
        <v>0</v>
      </c>
      <c r="AY282" s="259" t="str">
        <f t="shared" si="423"/>
        <v/>
      </c>
      <c r="AZ282" s="47" t="s">
        <v>0</v>
      </c>
      <c r="BA282" s="52" t="str">
        <f t="shared" si="360"/>
        <v/>
      </c>
      <c r="BB282" s="73" t="str">
        <f>IF(AV282&amp;AW282="","",MAX(BB$12:BB281)+1)</f>
        <v/>
      </c>
      <c r="BC282" s="272" t="str">
        <f t="shared" si="361"/>
        <v/>
      </c>
      <c r="BD282" s="53" t="str">
        <f>IF(AND(AM282="NEMA",AN282="NEMA",OR(AV282&amp;AW282="",BC282="NEMA")),MAX(BD$12:BD281)+1,"")</f>
        <v/>
      </c>
      <c r="BE282" s="47" t="s">
        <v>0</v>
      </c>
      <c r="BF282" s="52" t="str">
        <f t="shared" si="401"/>
        <v>Martina</v>
      </c>
      <c r="BG282" s="66" t="str">
        <f t="shared" si="402"/>
        <v>Martin</v>
      </c>
      <c r="BH282" s="47" t="s">
        <v>0</v>
      </c>
      <c r="BI282" s="52" t="str">
        <f t="shared" si="362"/>
        <v>KAP</v>
      </c>
      <c r="BJ282" s="31" t="str">
        <f t="shared" si="363"/>
        <v>OK Kapela</v>
      </c>
      <c r="BK282" s="73" t="str">
        <f t="shared" si="364"/>
        <v/>
      </c>
      <c r="BL282" s="31" t="str" cm="1">
        <f t="array" ref="BL282">IF(BK282="",""&amp;BJ282,IF(BK282="NEMA",BJ282,INDEX(regKlub_naziv,MATCH(INDEX(regKlub_alias_klubId,BK282),regKlub_id,0))))</f>
        <v>OK Kapela</v>
      </c>
      <c r="BM282" s="31" t="str" cm="1">
        <f t="array" ref="BM282">IFERROR(""&amp;INDEX(regNatjecatelj_klub,DV282),"")</f>
        <v>OK Kapela</v>
      </c>
      <c r="BN282" s="88" t="str">
        <f t="shared" si="403"/>
        <v/>
      </c>
      <c r="BO282" s="66" t="str">
        <f t="shared" si="404"/>
        <v>OK Kapela</v>
      </c>
      <c r="BP282" s="47" t="s">
        <v>0</v>
      </c>
      <c r="BQ282" s="52" t="str">
        <f>IF(X282&lt;&gt;"NEMA","",IF(IFERROR(MATCH(W282,W$12:W281,0),0)&lt;&gt;0,"",W282))</f>
        <v/>
      </c>
      <c r="BR282" s="73" t="str">
        <f t="shared" si="405"/>
        <v/>
      </c>
      <c r="BS282" s="31" t="str">
        <f>IF(OR(BR282="",BR282&lt;&gt;"NEMA"),"",MAX(BS$12:BS281)+1)</f>
        <v/>
      </c>
      <c r="BT282" s="66" t="str">
        <f t="shared" si="406"/>
        <v/>
      </c>
      <c r="BU282" s="47" t="s">
        <v>0</v>
      </c>
      <c r="BV282" s="19" t="str">
        <f t="shared" si="407"/>
        <v/>
      </c>
      <c r="BW282" s="47" t="s">
        <v>0</v>
      </c>
      <c r="BX282" s="82" t="str">
        <f>IF(BK282&lt;&gt;"NEMA","",IF(IFERROR(MATCH(BJ282,BJ$12:BJ281,0),0)&lt;&gt;0,"",BJ282))</f>
        <v/>
      </c>
      <c r="BY282" s="47" t="s">
        <v>0</v>
      </c>
      <c r="BZ282" s="125"/>
      <c r="CA282" s="47" t="s">
        <v>0</v>
      </c>
      <c r="CB282" s="58" t="str">
        <f t="shared" si="408"/>
        <v/>
      </c>
      <c r="CC282" s="31" t="str">
        <f t="shared" si="409"/>
        <v/>
      </c>
      <c r="CD282" s="31" t="str">
        <f>IF(CC282="","",MAX(CD$12:CD281)+1)</f>
        <v/>
      </c>
      <c r="CE282" s="31" t="str">
        <f t="shared" si="365"/>
        <v/>
      </c>
      <c r="CF282" s="31" t="str">
        <f t="shared" si="410"/>
        <v/>
      </c>
      <c r="CG282" s="31" t="str">
        <f>IF(BZ282="","",MAX(CG$12:CG281)+1)</f>
        <v/>
      </c>
      <c r="CH282" s="31" t="str">
        <f t="shared" si="411"/>
        <v/>
      </c>
      <c r="CI282" s="66" t="str">
        <f t="shared" si="412"/>
        <v/>
      </c>
      <c r="CJ282" s="47" t="s">
        <v>0</v>
      </c>
      <c r="CK282" s="73" t="str">
        <f t="shared" si="366"/>
        <v/>
      </c>
      <c r="CL282" s="47"/>
      <c r="CM282" s="19" t="str">
        <f t="shared" si="413"/>
        <v/>
      </c>
      <c r="CN282" s="47" t="s">
        <v>0</v>
      </c>
      <c r="CO282" s="143" t="str">
        <f t="shared" si="414"/>
        <v>OK Kapela</v>
      </c>
      <c r="CP282" s="47" t="s">
        <v>0</v>
      </c>
      <c r="CQ282" s="58" t="str">
        <f t="shared" si="350"/>
        <v/>
      </c>
      <c r="CR282" s="73" t="str">
        <f t="shared" si="351"/>
        <v>1</v>
      </c>
      <c r="CS282" s="229" t="str">
        <f t="shared" si="367"/>
        <v/>
      </c>
      <c r="CT282" s="230" t="str">
        <f t="shared" si="352"/>
        <v/>
      </c>
      <c r="CU282" s="163">
        <f t="shared" si="368"/>
        <v>6</v>
      </c>
      <c r="CV282" s="47" t="s">
        <v>0</v>
      </c>
      <c r="CW282" s="222" t="str">
        <f t="shared" si="415"/>
        <v xml:space="preserve">
</v>
      </c>
      <c r="CX282" s="223" t="e">
        <f t="shared" si="416"/>
        <v>#N/A</v>
      </c>
      <c r="CY282" s="47" t="s">
        <v>0</v>
      </c>
      <c r="CZ282" s="47"/>
      <c r="DA282" s="47"/>
      <c r="DB282" s="47"/>
      <c r="DC282" s="47" t="s">
        <v>0</v>
      </c>
      <c r="DD282" s="53" t="str">
        <f t="shared" si="424"/>
        <v/>
      </c>
      <c r="DE282" t="s">
        <v>0</v>
      </c>
      <c r="DF282" s="128" t="str">
        <f t="shared" si="425"/>
        <v>Ž</v>
      </c>
      <c r="DG282" t="s">
        <v>0</v>
      </c>
      <c r="DH282" s="52" t="str">
        <f t="shared" si="426"/>
        <v/>
      </c>
      <c r="DI282" s="66" t="str">
        <f t="shared" si="427"/>
        <v/>
      </c>
      <c r="DJ282" t="s">
        <v>0</v>
      </c>
      <c r="DK282" s="19" t="str">
        <f t="shared" si="428"/>
        <v/>
      </c>
      <c r="DL282" s="47" t="s">
        <v>0</v>
      </c>
      <c r="DM282" s="19" t="str">
        <f t="shared" si="429"/>
        <v/>
      </c>
      <c r="DN282" s="47" t="s">
        <v>0</v>
      </c>
      <c r="DO282" s="52" t="str">
        <f t="shared" si="369"/>
        <v>Martina – Martin – OK Kapela – Ž21B</v>
      </c>
      <c r="DP282" s="53">
        <f t="shared" si="370"/>
        <v>278</v>
      </c>
      <c r="DQ282" s="47" t="s">
        <v>0</v>
      </c>
      <c r="DR282" s="52" t="str">
        <f t="shared" si="371"/>
        <v>Martina – Martin – OK Kapela</v>
      </c>
      <c r="DS282" s="53">
        <f t="shared" si="372"/>
        <v>278</v>
      </c>
      <c r="DT282" s="47" t="s">
        <v>0</v>
      </c>
      <c r="DU282" s="52" t="str">
        <f t="shared" si="373"/>
        <v>Martina – Martin</v>
      </c>
      <c r="DV282" s="53">
        <f t="shared" si="374"/>
        <v>278</v>
      </c>
      <c r="DW282" s="47" t="s">
        <v>0</v>
      </c>
      <c r="DX282" s="58">
        <f t="shared" si="417"/>
        <v>278</v>
      </c>
      <c r="DY282" s="53" cm="1">
        <f t="array" ref="DY282">IF(DX282&lt;&gt;"",INDEX(regNatjecatelj_id,DX282,0),IF(BD282&lt;&gt;"",BD282,""))</f>
        <v>1866</v>
      </c>
      <c r="DZ282" s="47" t="s">
        <v>0</v>
      </c>
      <c r="EA282" s="58" t="str">
        <f t="shared" si="375"/>
        <v>imepre</v>
      </c>
      <c r="EB282" s="73" t="str">
        <f t="shared" si="376"/>
        <v>klu</v>
      </c>
      <c r="EC282" s="73" t="str">
        <f t="shared" si="377"/>
        <v>kat</v>
      </c>
      <c r="ED282" s="73" t="str">
        <f t="shared" si="378"/>
        <v/>
      </c>
      <c r="EE282" s="66" t="str">
        <f t="shared" si="379"/>
        <v>imepre-klu-kat</v>
      </c>
      <c r="EF282" s="47" t="s">
        <v>0</v>
      </c>
      <c r="EG282" s="58">
        <f>IF(AL282="","",MAX(EG$12:EG281)+1)</f>
        <v>432</v>
      </c>
      <c r="EH282" s="73">
        <f t="shared" si="380"/>
        <v>40</v>
      </c>
      <c r="EI282" s="73">
        <f t="shared" si="418"/>
        <v>1866</v>
      </c>
      <c r="EJ282" s="73" t="str">
        <f t="shared" si="381"/>
        <v/>
      </c>
      <c r="EK282" s="73">
        <f t="shared" si="382"/>
        <v>6</v>
      </c>
      <c r="EL282" s="73">
        <f t="shared" si="419"/>
        <v>1</v>
      </c>
      <c r="EM282" s="73">
        <f t="shared" si="420"/>
        <v>1</v>
      </c>
      <c r="EN282" s="73" t="str">
        <f t="shared" si="383"/>
        <v>1</v>
      </c>
      <c r="EO282" s="73" t="str">
        <f t="shared" si="384"/>
        <v/>
      </c>
      <c r="EP282" s="73" t="str">
        <f t="shared" si="385"/>
        <v/>
      </c>
      <c r="EQ282" s="53" t="str">
        <f t="shared" si="386"/>
        <v/>
      </c>
      <c r="ER282" s="47" t="s">
        <v>0</v>
      </c>
      <c r="ES282" s="19" t="str">
        <f t="shared" si="421"/>
        <v>INSERT INTO rezultat(id,stazakategorija_id,imeprezime_id,vrijeme_sec,status_id,registracija,uparivanje_id,originalstatus_id,imeprezimealias_id,klubalias_id,kategorijaalias_id) VALUES (432,40,1866,Null,6,1,1,1,Null,Null,Null);</v>
      </c>
      <c r="ET282" s="47" t="s">
        <v>0</v>
      </c>
      <c r="EU282" s="19" t="str">
        <f t="shared" si="422"/>
        <v>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2" s="47" t="s">
        <v>0</v>
      </c>
      <c r="EW282" s="180" t="str">
        <f t="shared" si="387"/>
        <v xml:space="preserve">
INSERT INTO rezultat(id,stazakategorija_id,imeprezime_id,vrijeme_sec,status_id,registracija,uparivanje_id,originalstatus_id,imeprezimealias_id,klubalias_id,kategorijaalias_id) VALUES (432,40,1866,Null,6,1,1,1,Null,Null,Null);
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2" s="47" t="s">
        <v>0</v>
      </c>
    </row>
    <row r="283" spans="1:154" x14ac:dyDescent="0.25">
      <c r="A283" t="s">
        <v>0</v>
      </c>
      <c r="B283" s="52" t="str">
        <f>IF(csv!F273="","",csv!T273)</f>
        <v>Ž21B</v>
      </c>
      <c r="C283" s="31" t="s">
        <v>0</v>
      </c>
      <c r="D283" s="31" t="str">
        <f>IF(csv!F273="","",csv!F273)</f>
        <v>Ines</v>
      </c>
      <c r="E283" s="31" t="str">
        <f>IF(csv!E273="","",csv!E273)</f>
        <v>Jurač</v>
      </c>
      <c r="F283" s="31" t="s">
        <v>0</v>
      </c>
      <c r="G283" s="73" t="str">
        <f>IF(csv!M273="","",csv!M273)</f>
        <v/>
      </c>
      <c r="H283" s="73" t="str">
        <f>IF(csv!N273="","",csv!N273)</f>
        <v>1</v>
      </c>
      <c r="I283" s="31" t="s">
        <v>0</v>
      </c>
      <c r="J283" s="31" t="str">
        <f>IF(csv!P273="","",csv!P273)</f>
        <v>Vihor</v>
      </c>
      <c r="K283" s="31" t="str">
        <f>IF(csv!Q273="","",csv!Q273)</f>
        <v>OK Vihor</v>
      </c>
      <c r="L283" s="31" t="s">
        <v>0</v>
      </c>
      <c r="M283" s="66" t="str">
        <f>IF(csv!R273="","",csv!R273)</f>
        <v>CRO</v>
      </c>
      <c r="N283" s="47" t="s">
        <v>0</v>
      </c>
      <c r="O283" s="246" t="str">
        <f t="shared" si="388"/>
        <v>ok</v>
      </c>
      <c r="P283" s="47"/>
      <c r="Q283" s="52" t="str">
        <f t="shared" si="389"/>
        <v>Ž21B</v>
      </c>
      <c r="R283" s="73">
        <f>IF(Q283="","",IF(COUNTIF(Q$12:Q282,Q283)=0,R282+1,R282))</f>
        <v>18</v>
      </c>
      <c r="S283" s="73">
        <f t="shared" si="390"/>
        <v>118</v>
      </c>
      <c r="T283" s="73">
        <f t="shared" si="353"/>
        <v>27</v>
      </c>
      <c r="U283" s="66" t="str">
        <f t="shared" si="354"/>
        <v>Ž21B – Ž16</v>
      </c>
      <c r="V283" s="47" t="s">
        <v>0</v>
      </c>
      <c r="W283" s="222" t="str">
        <f t="shared" si="355"/>
        <v>Ž21B</v>
      </c>
      <c r="X283" s="223">
        <f t="shared" si="356"/>
        <v>40</v>
      </c>
      <c r="Y283" s="47" t="s">
        <v>0</v>
      </c>
      <c r="Z283" s="52" t="str">
        <f t="shared" si="391"/>
        <v>CRO</v>
      </c>
      <c r="AA283" s="73">
        <f t="shared" si="357"/>
        <v>1</v>
      </c>
      <c r="AB283" s="31" t="str">
        <f t="shared" si="392"/>
        <v/>
      </c>
      <c r="AC283" s="66" t="str">
        <f>IF(AB283="","",MAX(AC$12:AC282)+1)</f>
        <v/>
      </c>
      <c r="AD283" s="47" t="s">
        <v>0</v>
      </c>
      <c r="AE283" s="125"/>
      <c r="AF283" s="47" t="s">
        <v>0</v>
      </c>
      <c r="AG283" s="19" t="str">
        <f t="shared" si="393"/>
        <v/>
      </c>
      <c r="AH283" s="47" t="s">
        <v>0</v>
      </c>
      <c r="AI283" s="143" t="str">
        <f t="shared" si="394"/>
        <v>CRO</v>
      </c>
      <c r="AJ283" s="47"/>
      <c r="AK283" s="52" t="str">
        <f t="shared" si="395"/>
        <v>Ines</v>
      </c>
      <c r="AL283" s="31" t="str">
        <f t="shared" si="396"/>
        <v>Jurač</v>
      </c>
      <c r="AM283" s="73">
        <f t="shared" si="397"/>
        <v>1550</v>
      </c>
      <c r="AN283" s="73" t="str">
        <f t="shared" si="398"/>
        <v/>
      </c>
      <c r="AO283" s="31" t="str">
        <f t="shared" si="358"/>
        <v>Ines</v>
      </c>
      <c r="AP283" s="66" t="str">
        <f t="shared" si="359"/>
        <v>Jurač</v>
      </c>
      <c r="AQ283" s="47" t="s">
        <v>0</v>
      </c>
      <c r="AR283" s="82" t="str">
        <f t="shared" si="399"/>
        <v/>
      </c>
      <c r="AS283" s="47" t="s">
        <v>0</v>
      </c>
      <c r="AT283" s="19" t="str">
        <f t="shared" si="400"/>
        <v/>
      </c>
      <c r="AU283" s="47" t="s">
        <v>0</v>
      </c>
      <c r="AV283" s="103"/>
      <c r="AW283" s="105"/>
      <c r="AX283" s="47" t="s">
        <v>0</v>
      </c>
      <c r="AY283" s="259" t="str">
        <f t="shared" si="423"/>
        <v/>
      </c>
      <c r="AZ283" s="47" t="s">
        <v>0</v>
      </c>
      <c r="BA283" s="52" t="str">
        <f t="shared" si="360"/>
        <v/>
      </c>
      <c r="BB283" s="73" t="str">
        <f>IF(AV283&amp;AW283="","",MAX(BB$12:BB282)+1)</f>
        <v/>
      </c>
      <c r="BC283" s="272" t="str">
        <f t="shared" si="361"/>
        <v/>
      </c>
      <c r="BD283" s="53" t="str">
        <f>IF(AND(AM283="NEMA",AN283="NEMA",OR(AV283&amp;AW283="",BC283="NEMA")),MAX(BD$12:BD282)+1,"")</f>
        <v/>
      </c>
      <c r="BE283" s="47" t="s">
        <v>0</v>
      </c>
      <c r="BF283" s="52" t="str">
        <f t="shared" si="401"/>
        <v>Ines</v>
      </c>
      <c r="BG283" s="66" t="str">
        <f t="shared" si="402"/>
        <v>Jurač</v>
      </c>
      <c r="BH283" s="47" t="s">
        <v>0</v>
      </c>
      <c r="BI283" s="52" t="str">
        <f t="shared" si="362"/>
        <v>Vihor</v>
      </c>
      <c r="BJ283" s="31" t="str">
        <f t="shared" si="363"/>
        <v>OK Vihor</v>
      </c>
      <c r="BK283" s="73" t="str">
        <f t="shared" si="364"/>
        <v/>
      </c>
      <c r="BL283" s="31" t="str" cm="1">
        <f t="array" ref="BL283">IF(BK283="",""&amp;BJ283,IF(BK283="NEMA",BJ283,INDEX(regKlub_naziv,MATCH(INDEX(regKlub_alias_klubId,BK283),regKlub_id,0))))</f>
        <v>OK Vihor</v>
      </c>
      <c r="BM283" s="31" t="str" cm="1">
        <f t="array" ref="BM283">IFERROR(""&amp;INDEX(regNatjecatelj_klub,DV283),"")</f>
        <v>OK Vihor</v>
      </c>
      <c r="BN283" s="88" t="str">
        <f t="shared" si="403"/>
        <v/>
      </c>
      <c r="BO283" s="66" t="str">
        <f t="shared" si="404"/>
        <v>OK Vihor</v>
      </c>
      <c r="BP283" s="47" t="s">
        <v>0</v>
      </c>
      <c r="BQ283" s="52" t="str">
        <f>IF(X283&lt;&gt;"NEMA","",IF(IFERROR(MATCH(W283,W$12:W282,0),0)&lt;&gt;0,"",W283))</f>
        <v/>
      </c>
      <c r="BR283" s="73" t="str">
        <f t="shared" si="405"/>
        <v/>
      </c>
      <c r="BS283" s="31" t="str">
        <f>IF(OR(BR283="",BR283&lt;&gt;"NEMA"),"",MAX(BS$12:BS282)+1)</f>
        <v/>
      </c>
      <c r="BT283" s="66" t="str">
        <f t="shared" si="406"/>
        <v/>
      </c>
      <c r="BU283" s="47" t="s">
        <v>0</v>
      </c>
      <c r="BV283" s="19" t="str">
        <f t="shared" si="407"/>
        <v/>
      </c>
      <c r="BW283" s="47" t="s">
        <v>0</v>
      </c>
      <c r="BX283" s="82" t="str">
        <f>IF(BK283&lt;&gt;"NEMA","",IF(IFERROR(MATCH(BJ283,BJ$12:BJ282,0),0)&lt;&gt;0,"",BJ283))</f>
        <v/>
      </c>
      <c r="BY283" s="47" t="s">
        <v>0</v>
      </c>
      <c r="BZ283" s="125"/>
      <c r="CA283" s="47" t="s">
        <v>0</v>
      </c>
      <c r="CB283" s="58" t="str">
        <f t="shared" si="408"/>
        <v/>
      </c>
      <c r="CC283" s="31" t="str">
        <f t="shared" si="409"/>
        <v/>
      </c>
      <c r="CD283" s="31" t="str">
        <f>IF(CC283="","",MAX(CD$12:CD282)+1)</f>
        <v/>
      </c>
      <c r="CE283" s="31" t="str">
        <f t="shared" si="365"/>
        <v/>
      </c>
      <c r="CF283" s="31" t="str">
        <f t="shared" si="410"/>
        <v/>
      </c>
      <c r="CG283" s="31" t="str">
        <f>IF(BZ283="","",MAX(CG$12:CG282)+1)</f>
        <v/>
      </c>
      <c r="CH283" s="31" t="str">
        <f t="shared" si="411"/>
        <v/>
      </c>
      <c r="CI283" s="66" t="str">
        <f t="shared" si="412"/>
        <v/>
      </c>
      <c r="CJ283" s="47" t="s">
        <v>0</v>
      </c>
      <c r="CK283" s="73" t="str">
        <f t="shared" si="366"/>
        <v/>
      </c>
      <c r="CL283" s="47"/>
      <c r="CM283" s="19" t="str">
        <f t="shared" si="413"/>
        <v/>
      </c>
      <c r="CN283" s="47" t="s">
        <v>0</v>
      </c>
      <c r="CO283" s="143" t="str">
        <f t="shared" si="414"/>
        <v>OK Vihor</v>
      </c>
      <c r="CP283" s="47" t="s">
        <v>0</v>
      </c>
      <c r="CQ283" s="58" t="str">
        <f t="shared" si="350"/>
        <v/>
      </c>
      <c r="CR283" s="73" t="str">
        <f t="shared" si="351"/>
        <v>1</v>
      </c>
      <c r="CS283" s="229" t="str">
        <f t="shared" si="367"/>
        <v/>
      </c>
      <c r="CT283" s="230" t="str">
        <f t="shared" si="352"/>
        <v/>
      </c>
      <c r="CU283" s="163">
        <f t="shared" si="368"/>
        <v>6</v>
      </c>
      <c r="CV283" s="47" t="s">
        <v>0</v>
      </c>
      <c r="CW283" s="222" t="str">
        <f t="shared" si="415"/>
        <v xml:space="preserve">
</v>
      </c>
      <c r="CX283" s="223" t="e">
        <f t="shared" si="416"/>
        <v>#N/A</v>
      </c>
      <c r="CY283" s="47" t="s">
        <v>0</v>
      </c>
      <c r="CZ283" s="47"/>
      <c r="DA283" s="47"/>
      <c r="DB283" s="47"/>
      <c r="DC283" s="47" t="s">
        <v>0</v>
      </c>
      <c r="DD283" s="53" t="str">
        <f t="shared" si="424"/>
        <v/>
      </c>
      <c r="DE283" t="s">
        <v>0</v>
      </c>
      <c r="DF283" s="128" t="str">
        <f t="shared" si="425"/>
        <v>Ž</v>
      </c>
      <c r="DG283" t="s">
        <v>0</v>
      </c>
      <c r="DH283" s="52" t="str">
        <f t="shared" si="426"/>
        <v/>
      </c>
      <c r="DI283" s="66" t="str">
        <f t="shared" si="427"/>
        <v/>
      </c>
      <c r="DJ283" t="s">
        <v>0</v>
      </c>
      <c r="DK283" s="19" t="str">
        <f t="shared" si="428"/>
        <v/>
      </c>
      <c r="DL283" s="47" t="s">
        <v>0</v>
      </c>
      <c r="DM283" s="19" t="str">
        <f t="shared" si="429"/>
        <v/>
      </c>
      <c r="DN283" s="47" t="s">
        <v>0</v>
      </c>
      <c r="DO283" s="52" t="str">
        <f t="shared" si="369"/>
        <v>Ines – Jurač – OK Vihor – Ž21B</v>
      </c>
      <c r="DP283" s="53">
        <f t="shared" si="370"/>
        <v>718</v>
      </c>
      <c r="DQ283" s="47" t="s">
        <v>0</v>
      </c>
      <c r="DR283" s="52" t="str">
        <f t="shared" si="371"/>
        <v>Ines – Jurač – OK Vihor</v>
      </c>
      <c r="DS283" s="53">
        <f t="shared" si="372"/>
        <v>718</v>
      </c>
      <c r="DT283" s="47" t="s">
        <v>0</v>
      </c>
      <c r="DU283" s="52" t="str">
        <f t="shared" si="373"/>
        <v>Ines – Jurač</v>
      </c>
      <c r="DV283" s="53">
        <f t="shared" si="374"/>
        <v>718</v>
      </c>
      <c r="DW283" s="47" t="s">
        <v>0</v>
      </c>
      <c r="DX283" s="58">
        <f t="shared" si="417"/>
        <v>718</v>
      </c>
      <c r="DY283" s="53" cm="1">
        <f t="array" ref="DY283">IF(DX283&lt;&gt;"",INDEX(regNatjecatelj_id,DX283,0),IF(BD283&lt;&gt;"",BD283,""))</f>
        <v>1550</v>
      </c>
      <c r="DZ283" s="47" t="s">
        <v>0</v>
      </c>
      <c r="EA283" s="58" t="str">
        <f t="shared" si="375"/>
        <v>imepre</v>
      </c>
      <c r="EB283" s="73" t="str">
        <f t="shared" si="376"/>
        <v>klu</v>
      </c>
      <c r="EC283" s="73" t="str">
        <f t="shared" si="377"/>
        <v>kat</v>
      </c>
      <c r="ED283" s="73" t="str">
        <f t="shared" si="378"/>
        <v/>
      </c>
      <c r="EE283" s="66" t="str">
        <f t="shared" si="379"/>
        <v>imepre-klu-kat</v>
      </c>
      <c r="EF283" s="47" t="s">
        <v>0</v>
      </c>
      <c r="EG283" s="58">
        <f>IF(AL283="","",MAX(EG$12:EG282)+1)</f>
        <v>433</v>
      </c>
      <c r="EH283" s="73">
        <f t="shared" si="380"/>
        <v>40</v>
      </c>
      <c r="EI283" s="73">
        <f t="shared" si="418"/>
        <v>1550</v>
      </c>
      <c r="EJ283" s="73" t="str">
        <f t="shared" si="381"/>
        <v/>
      </c>
      <c r="EK283" s="73">
        <f t="shared" si="382"/>
        <v>6</v>
      </c>
      <c r="EL283" s="73">
        <f t="shared" si="419"/>
        <v>1</v>
      </c>
      <c r="EM283" s="73">
        <f t="shared" si="420"/>
        <v>1</v>
      </c>
      <c r="EN283" s="73" t="str">
        <f t="shared" si="383"/>
        <v>1</v>
      </c>
      <c r="EO283" s="73" t="str">
        <f t="shared" si="384"/>
        <v/>
      </c>
      <c r="EP283" s="73" t="str">
        <f t="shared" si="385"/>
        <v/>
      </c>
      <c r="EQ283" s="53" t="str">
        <f t="shared" si="386"/>
        <v/>
      </c>
      <c r="ER283" s="47" t="s">
        <v>0</v>
      </c>
      <c r="ES283" s="19" t="str">
        <f t="shared" si="421"/>
        <v>INSERT INTO rezultat(id,stazakategorija_id,imeprezime_id,vrijeme_sec,status_id,registracija,uparivanje_id,originalstatus_id,imeprezimealias_id,klubalias_id,kategorijaalias_id) VALUES (433,40,1550,Null,6,1,1,1,Null,Null,Null);</v>
      </c>
      <c r="ET283" s="47" t="s">
        <v>0</v>
      </c>
      <c r="EU283" s="19" t="str">
        <f t="shared" si="422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3" s="47" t="s">
        <v>0</v>
      </c>
      <c r="EW283" s="180" t="str">
        <f t="shared" si="387"/>
        <v xml:space="preserve">
INSERT INTO rezultat(id,stazakategorija_id,imeprezime_id,vrijeme_sec,status_id,registracija,uparivanje_id,originalstatus_id,imeprezimealias_id,klubalias_id,kategorijaalias_id) VALUES (433,40,1550,Null,6,1,1,1,Null,Null,Null);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3" s="47" t="s">
        <v>0</v>
      </c>
    </row>
    <row r="284" spans="1:154" x14ac:dyDescent="0.25">
      <c r="A284" t="s">
        <v>0</v>
      </c>
      <c r="B284" s="52" t="str">
        <f>IF(csv!F274="","",csv!T274)</f>
        <v>Ž21B</v>
      </c>
      <c r="C284" s="31" t="s">
        <v>0</v>
      </c>
      <c r="D284" s="31" t="str">
        <f>IF(csv!F274="","",csv!F274)</f>
        <v>Ljiljana</v>
      </c>
      <c r="E284" s="31" t="str">
        <f>IF(csv!E274="","",csv!E274)</f>
        <v>Oršulić</v>
      </c>
      <c r="F284" s="31" t="s">
        <v>0</v>
      </c>
      <c r="G284" s="73" t="str">
        <f>IF(csv!M274="","",csv!M274)</f>
        <v/>
      </c>
      <c r="H284" s="73" t="str">
        <f>IF(csv!N274="","",csv!N274)</f>
        <v>2</v>
      </c>
      <c r="I284" s="31" t="s">
        <v>0</v>
      </c>
      <c r="J284" s="31" t="str">
        <f>IF(csv!P274="","",csv!P274)</f>
        <v>Vihor</v>
      </c>
      <c r="K284" s="31" t="str">
        <f>IF(csv!Q274="","",csv!Q274)</f>
        <v>OK Vihor</v>
      </c>
      <c r="L284" s="31" t="s">
        <v>0</v>
      </c>
      <c r="M284" s="66" t="str">
        <f>IF(csv!R274="","",csv!R274)</f>
        <v>CRO</v>
      </c>
      <c r="N284" s="47" t="s">
        <v>0</v>
      </c>
      <c r="O284" s="246" t="str">
        <f t="shared" si="388"/>
        <v>ok</v>
      </c>
      <c r="P284" s="47"/>
      <c r="Q284" s="52" t="str">
        <f t="shared" si="389"/>
        <v>Ž21B</v>
      </c>
      <c r="R284" s="73">
        <f>IF(Q284="","",IF(COUNTIF(Q$12:Q283,Q284)=0,R283+1,R283))</f>
        <v>18</v>
      </c>
      <c r="S284" s="73">
        <f t="shared" si="390"/>
        <v>118</v>
      </c>
      <c r="T284" s="73">
        <f t="shared" si="353"/>
        <v>27</v>
      </c>
      <c r="U284" s="66" t="str">
        <f t="shared" si="354"/>
        <v>Ž21B – Ž16</v>
      </c>
      <c r="V284" s="47" t="s">
        <v>0</v>
      </c>
      <c r="W284" s="222" t="str">
        <f t="shared" si="355"/>
        <v>Ž21B</v>
      </c>
      <c r="X284" s="223">
        <f t="shared" si="356"/>
        <v>40</v>
      </c>
      <c r="Y284" s="47" t="s">
        <v>0</v>
      </c>
      <c r="Z284" s="52" t="str">
        <f t="shared" si="391"/>
        <v>CRO</v>
      </c>
      <c r="AA284" s="73">
        <f t="shared" si="357"/>
        <v>1</v>
      </c>
      <c r="AB284" s="31" t="str">
        <f t="shared" si="392"/>
        <v/>
      </c>
      <c r="AC284" s="66" t="str">
        <f>IF(AB284="","",MAX(AC$12:AC283)+1)</f>
        <v/>
      </c>
      <c r="AD284" s="47" t="s">
        <v>0</v>
      </c>
      <c r="AE284" s="125"/>
      <c r="AF284" s="47" t="s">
        <v>0</v>
      </c>
      <c r="AG284" s="19" t="str">
        <f t="shared" si="393"/>
        <v/>
      </c>
      <c r="AH284" s="47" t="s">
        <v>0</v>
      </c>
      <c r="AI284" s="143" t="str">
        <f t="shared" si="394"/>
        <v>CRO</v>
      </c>
      <c r="AJ284" s="47"/>
      <c r="AK284" s="52" t="str">
        <f t="shared" si="395"/>
        <v>Ljiljana</v>
      </c>
      <c r="AL284" s="31" t="str">
        <f t="shared" si="396"/>
        <v>Oršulić</v>
      </c>
      <c r="AM284" s="73">
        <f t="shared" si="397"/>
        <v>1924</v>
      </c>
      <c r="AN284" s="73" t="str">
        <f t="shared" si="398"/>
        <v/>
      </c>
      <c r="AO284" s="31" t="str">
        <f t="shared" si="358"/>
        <v>Ljiljana</v>
      </c>
      <c r="AP284" s="66" t="str">
        <f t="shared" si="359"/>
        <v>Oršulić</v>
      </c>
      <c r="AQ284" s="47" t="s">
        <v>0</v>
      </c>
      <c r="AR284" s="82" t="str">
        <f t="shared" si="399"/>
        <v/>
      </c>
      <c r="AS284" s="47" t="s">
        <v>0</v>
      </c>
      <c r="AT284" s="19" t="str">
        <f t="shared" si="400"/>
        <v/>
      </c>
      <c r="AU284" s="47" t="s">
        <v>0</v>
      </c>
      <c r="AV284" s="103"/>
      <c r="AW284" s="105"/>
      <c r="AX284" s="47" t="s">
        <v>0</v>
      </c>
      <c r="AY284" s="259" t="str">
        <f t="shared" si="423"/>
        <v/>
      </c>
      <c r="AZ284" s="47" t="s">
        <v>0</v>
      </c>
      <c r="BA284" s="52" t="str">
        <f t="shared" si="360"/>
        <v/>
      </c>
      <c r="BB284" s="73" t="str">
        <f>IF(AV284&amp;AW284="","",MAX(BB$12:BB283)+1)</f>
        <v/>
      </c>
      <c r="BC284" s="272" t="str">
        <f t="shared" si="361"/>
        <v/>
      </c>
      <c r="BD284" s="53" t="str">
        <f>IF(AND(AM284="NEMA",AN284="NEMA",OR(AV284&amp;AW284="",BC284="NEMA")),MAX(BD$12:BD283)+1,"")</f>
        <v/>
      </c>
      <c r="BE284" s="47" t="s">
        <v>0</v>
      </c>
      <c r="BF284" s="52" t="str">
        <f t="shared" si="401"/>
        <v>Ljiljana</v>
      </c>
      <c r="BG284" s="66" t="str">
        <f t="shared" si="402"/>
        <v>Oršulić</v>
      </c>
      <c r="BH284" s="47" t="s">
        <v>0</v>
      </c>
      <c r="BI284" s="52" t="str">
        <f t="shared" si="362"/>
        <v>Vihor</v>
      </c>
      <c r="BJ284" s="31" t="str">
        <f t="shared" si="363"/>
        <v>OK Vihor</v>
      </c>
      <c r="BK284" s="73" t="str">
        <f t="shared" si="364"/>
        <v/>
      </c>
      <c r="BL284" s="31" t="str" cm="1">
        <f t="array" ref="BL284">IF(BK284="",""&amp;BJ284,IF(BK284="NEMA",BJ284,INDEX(regKlub_naziv,MATCH(INDEX(regKlub_alias_klubId,BK284),regKlub_id,0))))</f>
        <v>OK Vihor</v>
      </c>
      <c r="BM284" s="31" t="str" cm="1">
        <f t="array" ref="BM284">IFERROR(""&amp;INDEX(regNatjecatelj_klub,DV284),"")</f>
        <v>OK Vihor</v>
      </c>
      <c r="BN284" s="88" t="str">
        <f t="shared" si="403"/>
        <v/>
      </c>
      <c r="BO284" s="66" t="str">
        <f t="shared" si="404"/>
        <v>OK Vihor</v>
      </c>
      <c r="BP284" s="47" t="s">
        <v>0</v>
      </c>
      <c r="BQ284" s="52" t="str">
        <f>IF(X284&lt;&gt;"NEMA","",IF(IFERROR(MATCH(W284,W$12:W283,0),0)&lt;&gt;0,"",W284))</f>
        <v/>
      </c>
      <c r="BR284" s="73" t="str">
        <f t="shared" si="405"/>
        <v/>
      </c>
      <c r="BS284" s="31" t="str">
        <f>IF(OR(BR284="",BR284&lt;&gt;"NEMA"),"",MAX(BS$12:BS283)+1)</f>
        <v/>
      </c>
      <c r="BT284" s="66" t="str">
        <f t="shared" si="406"/>
        <v/>
      </c>
      <c r="BU284" s="47" t="s">
        <v>0</v>
      </c>
      <c r="BV284" s="19" t="str">
        <f t="shared" si="407"/>
        <v/>
      </c>
      <c r="BW284" s="47" t="s">
        <v>0</v>
      </c>
      <c r="BX284" s="82" t="str">
        <f>IF(BK284&lt;&gt;"NEMA","",IF(IFERROR(MATCH(BJ284,BJ$12:BJ283,0),0)&lt;&gt;0,"",BJ284))</f>
        <v/>
      </c>
      <c r="BY284" s="47" t="s">
        <v>0</v>
      </c>
      <c r="BZ284" s="125"/>
      <c r="CA284" s="47" t="s">
        <v>0</v>
      </c>
      <c r="CB284" s="58" t="str">
        <f t="shared" si="408"/>
        <v/>
      </c>
      <c r="CC284" s="31" t="str">
        <f t="shared" si="409"/>
        <v/>
      </c>
      <c r="CD284" s="31" t="str">
        <f>IF(CC284="","",MAX(CD$12:CD283)+1)</f>
        <v/>
      </c>
      <c r="CE284" s="31" t="str">
        <f t="shared" si="365"/>
        <v/>
      </c>
      <c r="CF284" s="31" t="str">
        <f t="shared" si="410"/>
        <v/>
      </c>
      <c r="CG284" s="31" t="str">
        <f>IF(BZ284="","",MAX(CG$12:CG283)+1)</f>
        <v/>
      </c>
      <c r="CH284" s="31" t="str">
        <f t="shared" si="411"/>
        <v/>
      </c>
      <c r="CI284" s="66" t="str">
        <f t="shared" si="412"/>
        <v/>
      </c>
      <c r="CJ284" s="47" t="s">
        <v>0</v>
      </c>
      <c r="CK284" s="73" t="str">
        <f t="shared" si="366"/>
        <v/>
      </c>
      <c r="CL284" s="47"/>
      <c r="CM284" s="19" t="str">
        <f t="shared" si="413"/>
        <v/>
      </c>
      <c r="CN284" s="47" t="s">
        <v>0</v>
      </c>
      <c r="CO284" s="143" t="str">
        <f t="shared" si="414"/>
        <v>OK Vihor</v>
      </c>
      <c r="CP284" s="47" t="s">
        <v>0</v>
      </c>
      <c r="CQ284" s="58" t="str">
        <f t="shared" si="350"/>
        <v/>
      </c>
      <c r="CR284" s="73" t="str">
        <f t="shared" si="351"/>
        <v>2</v>
      </c>
      <c r="CS284" s="229" t="str">
        <f t="shared" si="367"/>
        <v/>
      </c>
      <c r="CT284" s="230" t="str">
        <f t="shared" si="352"/>
        <v/>
      </c>
      <c r="CU284" s="163">
        <f t="shared" si="368"/>
        <v>4</v>
      </c>
      <c r="CV284" s="47" t="s">
        <v>0</v>
      </c>
      <c r="CW284" s="222" t="str">
        <f t="shared" si="415"/>
        <v xml:space="preserve">
</v>
      </c>
      <c r="CX284" s="223">
        <f t="shared" si="416"/>
        <v>5</v>
      </c>
      <c r="CY284" s="47" t="s">
        <v>0</v>
      </c>
      <c r="CZ284" s="47"/>
      <c r="DA284" s="47"/>
      <c r="DB284" s="47"/>
      <c r="DC284" s="47" t="s">
        <v>0</v>
      </c>
      <c r="DD284" s="53" t="str">
        <f t="shared" si="424"/>
        <v/>
      </c>
      <c r="DE284" t="s">
        <v>0</v>
      </c>
      <c r="DF284" s="128" t="str">
        <f t="shared" si="425"/>
        <v>Ž</v>
      </c>
      <c r="DG284" t="s">
        <v>0</v>
      </c>
      <c r="DH284" s="52" t="str">
        <f t="shared" si="426"/>
        <v/>
      </c>
      <c r="DI284" s="66" t="str">
        <f t="shared" si="427"/>
        <v/>
      </c>
      <c r="DJ284" t="s">
        <v>0</v>
      </c>
      <c r="DK284" s="19" t="str">
        <f t="shared" si="428"/>
        <v/>
      </c>
      <c r="DL284" s="47" t="s">
        <v>0</v>
      </c>
      <c r="DM284" s="19" t="str">
        <f t="shared" si="429"/>
        <v/>
      </c>
      <c r="DN284" s="47" t="s">
        <v>0</v>
      </c>
      <c r="DO284" s="52" t="str">
        <f t="shared" si="369"/>
        <v>Ljiljana – Oršulić – OK Vihor – Ž21B</v>
      </c>
      <c r="DP284" s="53">
        <f t="shared" si="370"/>
        <v>830</v>
      </c>
      <c r="DQ284" s="47" t="s">
        <v>0</v>
      </c>
      <c r="DR284" s="52" t="str">
        <f t="shared" si="371"/>
        <v>Ljiljana – Oršulić – OK Vihor</v>
      </c>
      <c r="DS284" s="53">
        <f t="shared" si="372"/>
        <v>830</v>
      </c>
      <c r="DT284" s="47" t="s">
        <v>0</v>
      </c>
      <c r="DU284" s="52" t="str">
        <f t="shared" si="373"/>
        <v>Ljiljana – Oršulić</v>
      </c>
      <c r="DV284" s="53">
        <f t="shared" si="374"/>
        <v>830</v>
      </c>
      <c r="DW284" s="47" t="s">
        <v>0</v>
      </c>
      <c r="DX284" s="58">
        <f t="shared" si="417"/>
        <v>830</v>
      </c>
      <c r="DY284" s="53" cm="1">
        <f t="array" ref="DY284">IF(DX284&lt;&gt;"",INDEX(regNatjecatelj_id,DX284,0),IF(BD284&lt;&gt;"",BD284,""))</f>
        <v>1924</v>
      </c>
      <c r="DZ284" s="47" t="s">
        <v>0</v>
      </c>
      <c r="EA284" s="58" t="str">
        <f t="shared" si="375"/>
        <v>imepre</v>
      </c>
      <c r="EB284" s="73" t="str">
        <f t="shared" si="376"/>
        <v>klu</v>
      </c>
      <c r="EC284" s="73" t="str">
        <f t="shared" si="377"/>
        <v>kat</v>
      </c>
      <c r="ED284" s="73" t="str">
        <f t="shared" si="378"/>
        <v/>
      </c>
      <c r="EE284" s="66" t="str">
        <f t="shared" si="379"/>
        <v>imepre-klu-kat</v>
      </c>
      <c r="EF284" s="47" t="s">
        <v>0</v>
      </c>
      <c r="EG284" s="58">
        <f>IF(AL284="","",MAX(EG$12:EG283)+1)</f>
        <v>434</v>
      </c>
      <c r="EH284" s="73">
        <f t="shared" si="380"/>
        <v>40</v>
      </c>
      <c r="EI284" s="73">
        <f t="shared" si="418"/>
        <v>1924</v>
      </c>
      <c r="EJ284" s="73" t="str">
        <f t="shared" si="381"/>
        <v/>
      </c>
      <c r="EK284" s="73">
        <f t="shared" si="382"/>
        <v>4</v>
      </c>
      <c r="EL284" s="73">
        <f t="shared" si="419"/>
        <v>1</v>
      </c>
      <c r="EM284" s="73">
        <f t="shared" si="420"/>
        <v>1</v>
      </c>
      <c r="EN284" s="73" t="str">
        <f t="shared" si="383"/>
        <v>2</v>
      </c>
      <c r="EO284" s="73" t="str">
        <f t="shared" si="384"/>
        <v/>
      </c>
      <c r="EP284" s="73" t="str">
        <f t="shared" si="385"/>
        <v/>
      </c>
      <c r="EQ284" s="53" t="str">
        <f t="shared" si="386"/>
        <v/>
      </c>
      <c r="ER284" s="47" t="s">
        <v>0</v>
      </c>
      <c r="ES284" s="19" t="str">
        <f t="shared" si="421"/>
        <v>INSERT INTO rezultat(id,stazakategorija_id,imeprezime_id,vrijeme_sec,status_id,registracija,uparivanje_id,originalstatus_id,imeprezimealias_id,klubalias_id,kategorijaalias_id) VALUES (434,40,1924,Null,4,1,1,2,Null,Null,Null);</v>
      </c>
      <c r="ET284" s="47" t="s">
        <v>0</v>
      </c>
      <c r="EU284" s="19" t="str">
        <f t="shared" si="422"/>
        <v>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4" s="47" t="s">
        <v>0</v>
      </c>
      <c r="EW284" s="180" t="str">
        <f t="shared" si="387"/>
        <v xml:space="preserve">
INSERT INTO rezultat(id,stazakategorija_id,imeprezime_id,vrijeme_sec,status_id,registracija,uparivanje_id,originalstatus_id,imeprezimealias_id,klubalias_id,kategorijaalias_id) VALUES (434,40,1924,Null,4,1,1,2,Null,Null,Null);
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4" s="47" t="s">
        <v>0</v>
      </c>
    </row>
    <row r="285" spans="1:154" x14ac:dyDescent="0.25">
      <c r="A285" t="s">
        <v>0</v>
      </c>
      <c r="B285" s="52" t="str">
        <f>IF(csv!F275="","",csv!T275)</f>
        <v>Ž21B</v>
      </c>
      <c r="C285" s="31" t="s">
        <v>0</v>
      </c>
      <c r="D285" s="31" t="str">
        <f>IF(csv!F275="","",csv!F275)</f>
        <v>Melita</v>
      </c>
      <c r="E285" s="31" t="str">
        <f>IF(csv!E275="","",csv!E275)</f>
        <v>Sučić</v>
      </c>
      <c r="F285" s="31" t="s">
        <v>0</v>
      </c>
      <c r="G285" s="73" t="str">
        <f>IF(csv!M275="","",csv!M275)</f>
        <v/>
      </c>
      <c r="H285" s="73" t="str">
        <f>IF(csv!N275="","",csv!N275)</f>
        <v>2</v>
      </c>
      <c r="I285" s="31" t="s">
        <v>0</v>
      </c>
      <c r="J285" s="31" t="str">
        <f>IF(csv!P275="","",csv!P275)</f>
        <v>Vihor</v>
      </c>
      <c r="K285" s="31" t="str">
        <f>IF(csv!Q275="","",csv!Q275)</f>
        <v>OK Vihor</v>
      </c>
      <c r="L285" s="31" t="s">
        <v>0</v>
      </c>
      <c r="M285" s="66" t="str">
        <f>IF(csv!R275="","",csv!R275)</f>
        <v>CRO</v>
      </c>
      <c r="N285" s="47" t="s">
        <v>0</v>
      </c>
      <c r="O285" s="246" t="str">
        <f t="shared" si="388"/>
        <v>ok</v>
      </c>
      <c r="P285" s="47"/>
      <c r="Q285" s="52" t="str">
        <f t="shared" si="389"/>
        <v>Ž21B</v>
      </c>
      <c r="R285" s="73">
        <f>IF(Q285="","",IF(COUNTIF(Q$12:Q284,Q285)=0,R284+1,R284))</f>
        <v>18</v>
      </c>
      <c r="S285" s="73">
        <f t="shared" si="390"/>
        <v>118</v>
      </c>
      <c r="T285" s="73">
        <f t="shared" si="353"/>
        <v>27</v>
      </c>
      <c r="U285" s="66" t="str">
        <f t="shared" si="354"/>
        <v>Ž21B – Ž16</v>
      </c>
      <c r="V285" s="47" t="s">
        <v>0</v>
      </c>
      <c r="W285" s="222" t="str">
        <f t="shared" si="355"/>
        <v>Ž21B</v>
      </c>
      <c r="X285" s="223">
        <f t="shared" si="356"/>
        <v>40</v>
      </c>
      <c r="Y285" s="47" t="s">
        <v>0</v>
      </c>
      <c r="Z285" s="52" t="str">
        <f t="shared" si="391"/>
        <v>CRO</v>
      </c>
      <c r="AA285" s="73">
        <f t="shared" si="357"/>
        <v>1</v>
      </c>
      <c r="AB285" s="31" t="str">
        <f t="shared" si="392"/>
        <v/>
      </c>
      <c r="AC285" s="66" t="str">
        <f>IF(AB285="","",MAX(AC$12:AC284)+1)</f>
        <v/>
      </c>
      <c r="AD285" s="47" t="s">
        <v>0</v>
      </c>
      <c r="AE285" s="125"/>
      <c r="AF285" s="47" t="s">
        <v>0</v>
      </c>
      <c r="AG285" s="19" t="str">
        <f t="shared" si="393"/>
        <v/>
      </c>
      <c r="AH285" s="47" t="s">
        <v>0</v>
      </c>
      <c r="AI285" s="143" t="str">
        <f t="shared" si="394"/>
        <v>CRO</v>
      </c>
      <c r="AJ285" s="47"/>
      <c r="AK285" s="52" t="str">
        <f t="shared" si="395"/>
        <v>Melita</v>
      </c>
      <c r="AL285" s="31" t="str">
        <f t="shared" si="396"/>
        <v>Sučić</v>
      </c>
      <c r="AM285" s="73">
        <f t="shared" si="397"/>
        <v>1141</v>
      </c>
      <c r="AN285" s="73" t="str">
        <f t="shared" si="398"/>
        <v/>
      </c>
      <c r="AO285" s="31" t="str">
        <f t="shared" si="358"/>
        <v>Melita</v>
      </c>
      <c r="AP285" s="66" t="str">
        <f t="shared" si="359"/>
        <v>Sučić</v>
      </c>
      <c r="AQ285" s="47" t="s">
        <v>0</v>
      </c>
      <c r="AR285" s="82" t="str">
        <f t="shared" si="399"/>
        <v/>
      </c>
      <c r="AS285" s="47" t="s">
        <v>0</v>
      </c>
      <c r="AT285" s="19" t="str">
        <f t="shared" si="400"/>
        <v/>
      </c>
      <c r="AU285" s="47" t="s">
        <v>0</v>
      </c>
      <c r="AV285" s="103"/>
      <c r="AW285" s="105"/>
      <c r="AX285" s="47" t="s">
        <v>0</v>
      </c>
      <c r="AY285" s="259" t="str">
        <f t="shared" si="423"/>
        <v/>
      </c>
      <c r="AZ285" s="47" t="s">
        <v>0</v>
      </c>
      <c r="BA285" s="52" t="str">
        <f t="shared" si="360"/>
        <v/>
      </c>
      <c r="BB285" s="73" t="str">
        <f>IF(AV285&amp;AW285="","",MAX(BB$12:BB284)+1)</f>
        <v/>
      </c>
      <c r="BC285" s="272" t="str">
        <f t="shared" si="361"/>
        <v/>
      </c>
      <c r="BD285" s="53" t="str">
        <f>IF(AND(AM285="NEMA",AN285="NEMA",OR(AV285&amp;AW285="",BC285="NEMA")),MAX(BD$12:BD284)+1,"")</f>
        <v/>
      </c>
      <c r="BE285" s="47" t="s">
        <v>0</v>
      </c>
      <c r="BF285" s="52" t="str">
        <f t="shared" si="401"/>
        <v>Melita</v>
      </c>
      <c r="BG285" s="66" t="str">
        <f t="shared" si="402"/>
        <v>Sučić</v>
      </c>
      <c r="BH285" s="47" t="s">
        <v>0</v>
      </c>
      <c r="BI285" s="52" t="str">
        <f t="shared" si="362"/>
        <v>Vihor</v>
      </c>
      <c r="BJ285" s="31" t="str">
        <f t="shared" si="363"/>
        <v>OK Vihor</v>
      </c>
      <c r="BK285" s="73" t="str">
        <f t="shared" si="364"/>
        <v/>
      </c>
      <c r="BL285" s="31" t="str" cm="1">
        <f t="array" ref="BL285">IF(BK285="",""&amp;BJ285,IF(BK285="NEMA",BJ285,INDEX(regKlub_naziv,MATCH(INDEX(regKlub_alias_klubId,BK285),regKlub_id,0))))</f>
        <v>OK Vihor</v>
      </c>
      <c r="BM285" s="31" t="str" cm="1">
        <f t="array" ref="BM285">IFERROR(""&amp;INDEX(regNatjecatelj_klub,DV285),"")</f>
        <v>OK Vihor</v>
      </c>
      <c r="BN285" s="88" t="str">
        <f t="shared" si="403"/>
        <v/>
      </c>
      <c r="BO285" s="66" t="str">
        <f t="shared" si="404"/>
        <v>OK Vihor</v>
      </c>
      <c r="BP285" s="47" t="s">
        <v>0</v>
      </c>
      <c r="BQ285" s="52" t="str">
        <f>IF(X285&lt;&gt;"NEMA","",IF(IFERROR(MATCH(W285,W$12:W284,0),0)&lt;&gt;0,"",W285))</f>
        <v/>
      </c>
      <c r="BR285" s="73" t="str">
        <f t="shared" si="405"/>
        <v/>
      </c>
      <c r="BS285" s="31" t="str">
        <f>IF(OR(BR285="",BR285&lt;&gt;"NEMA"),"",MAX(BS$12:BS284)+1)</f>
        <v/>
      </c>
      <c r="BT285" s="66" t="str">
        <f t="shared" si="406"/>
        <v/>
      </c>
      <c r="BU285" s="47" t="s">
        <v>0</v>
      </c>
      <c r="BV285" s="19" t="str">
        <f t="shared" si="407"/>
        <v/>
      </c>
      <c r="BW285" s="47" t="s">
        <v>0</v>
      </c>
      <c r="BX285" s="82" t="str">
        <f>IF(BK285&lt;&gt;"NEMA","",IF(IFERROR(MATCH(BJ285,BJ$12:BJ284,0),0)&lt;&gt;0,"",BJ285))</f>
        <v/>
      </c>
      <c r="BY285" s="47" t="s">
        <v>0</v>
      </c>
      <c r="BZ285" s="125"/>
      <c r="CA285" s="47" t="s">
        <v>0</v>
      </c>
      <c r="CB285" s="58" t="str">
        <f t="shared" si="408"/>
        <v/>
      </c>
      <c r="CC285" s="31" t="str">
        <f t="shared" si="409"/>
        <v/>
      </c>
      <c r="CD285" s="31" t="str">
        <f>IF(CC285="","",MAX(CD$12:CD284)+1)</f>
        <v/>
      </c>
      <c r="CE285" s="31" t="str">
        <f t="shared" si="365"/>
        <v/>
      </c>
      <c r="CF285" s="31" t="str">
        <f t="shared" si="410"/>
        <v/>
      </c>
      <c r="CG285" s="31" t="str">
        <f>IF(BZ285="","",MAX(CG$12:CG284)+1)</f>
        <v/>
      </c>
      <c r="CH285" s="31" t="str">
        <f t="shared" si="411"/>
        <v/>
      </c>
      <c r="CI285" s="66" t="str">
        <f t="shared" si="412"/>
        <v/>
      </c>
      <c r="CJ285" s="47" t="s">
        <v>0</v>
      </c>
      <c r="CK285" s="73" t="str">
        <f t="shared" si="366"/>
        <v/>
      </c>
      <c r="CL285" s="47"/>
      <c r="CM285" s="19" t="str">
        <f t="shared" si="413"/>
        <v/>
      </c>
      <c r="CN285" s="47" t="s">
        <v>0</v>
      </c>
      <c r="CO285" s="143" t="str">
        <f t="shared" si="414"/>
        <v>OK Vihor</v>
      </c>
      <c r="CP285" s="47" t="s">
        <v>0</v>
      </c>
      <c r="CQ285" s="58" t="str">
        <f t="shared" si="350"/>
        <v/>
      </c>
      <c r="CR285" s="73" t="str">
        <f t="shared" si="351"/>
        <v>2</v>
      </c>
      <c r="CS285" s="229" t="str">
        <f t="shared" si="367"/>
        <v/>
      </c>
      <c r="CT285" s="230" t="str">
        <f t="shared" si="352"/>
        <v/>
      </c>
      <c r="CU285" s="163">
        <f t="shared" si="368"/>
        <v>4</v>
      </c>
      <c r="CV285" s="47" t="s">
        <v>0</v>
      </c>
      <c r="CW285" s="222" t="str">
        <f t="shared" si="415"/>
        <v xml:space="preserve">
</v>
      </c>
      <c r="CX285" s="223">
        <f t="shared" si="416"/>
        <v>5</v>
      </c>
      <c r="CY285" s="47" t="s">
        <v>0</v>
      </c>
      <c r="CZ285" s="47"/>
      <c r="DA285" s="47"/>
      <c r="DB285" s="47"/>
      <c r="DC285" s="47" t="s">
        <v>0</v>
      </c>
      <c r="DD285" s="53" t="str">
        <f t="shared" si="424"/>
        <v/>
      </c>
      <c r="DE285" t="s">
        <v>0</v>
      </c>
      <c r="DF285" s="128" t="str">
        <f t="shared" si="425"/>
        <v>Ž</v>
      </c>
      <c r="DG285" t="s">
        <v>0</v>
      </c>
      <c r="DH285" s="52" t="str">
        <f t="shared" si="426"/>
        <v/>
      </c>
      <c r="DI285" s="66" t="str">
        <f t="shared" si="427"/>
        <v/>
      </c>
      <c r="DJ285" t="s">
        <v>0</v>
      </c>
      <c r="DK285" s="19" t="str">
        <f t="shared" si="428"/>
        <v/>
      </c>
      <c r="DL285" s="47" t="s">
        <v>0</v>
      </c>
      <c r="DM285" s="19" t="str">
        <f t="shared" si="429"/>
        <v/>
      </c>
      <c r="DN285" s="47" t="s">
        <v>0</v>
      </c>
      <c r="DO285" s="52" t="str">
        <f t="shared" si="369"/>
        <v>Melita – Sučić – OK Vihor – Ž21B</v>
      </c>
      <c r="DP285" s="53">
        <f t="shared" si="370"/>
        <v>915</v>
      </c>
      <c r="DQ285" s="47" t="s">
        <v>0</v>
      </c>
      <c r="DR285" s="52" t="str">
        <f t="shared" si="371"/>
        <v>Melita – Sučić – OK Vihor</v>
      </c>
      <c r="DS285" s="53">
        <f t="shared" si="372"/>
        <v>915</v>
      </c>
      <c r="DT285" s="47" t="s">
        <v>0</v>
      </c>
      <c r="DU285" s="52" t="str">
        <f t="shared" si="373"/>
        <v>Melita – Sučić</v>
      </c>
      <c r="DV285" s="53">
        <f t="shared" si="374"/>
        <v>915</v>
      </c>
      <c r="DW285" s="47" t="s">
        <v>0</v>
      </c>
      <c r="DX285" s="58">
        <f t="shared" si="417"/>
        <v>915</v>
      </c>
      <c r="DY285" s="53" cm="1">
        <f t="array" ref="DY285">IF(DX285&lt;&gt;"",INDEX(regNatjecatelj_id,DX285,0),IF(BD285&lt;&gt;"",BD285,""))</f>
        <v>1141</v>
      </c>
      <c r="DZ285" s="47" t="s">
        <v>0</v>
      </c>
      <c r="EA285" s="58" t="str">
        <f t="shared" si="375"/>
        <v>imepre</v>
      </c>
      <c r="EB285" s="73" t="str">
        <f t="shared" si="376"/>
        <v>klu</v>
      </c>
      <c r="EC285" s="73" t="str">
        <f t="shared" si="377"/>
        <v>kat</v>
      </c>
      <c r="ED285" s="73" t="str">
        <f t="shared" si="378"/>
        <v/>
      </c>
      <c r="EE285" s="66" t="str">
        <f t="shared" si="379"/>
        <v>imepre-klu-kat</v>
      </c>
      <c r="EF285" s="47" t="s">
        <v>0</v>
      </c>
      <c r="EG285" s="58">
        <f>IF(AL285="","",MAX(EG$12:EG284)+1)</f>
        <v>435</v>
      </c>
      <c r="EH285" s="73">
        <f t="shared" si="380"/>
        <v>40</v>
      </c>
      <c r="EI285" s="73">
        <f t="shared" si="418"/>
        <v>1141</v>
      </c>
      <c r="EJ285" s="73" t="str">
        <f t="shared" si="381"/>
        <v/>
      </c>
      <c r="EK285" s="73">
        <f t="shared" si="382"/>
        <v>4</v>
      </c>
      <c r="EL285" s="73">
        <f t="shared" si="419"/>
        <v>1</v>
      </c>
      <c r="EM285" s="73">
        <f t="shared" si="420"/>
        <v>1</v>
      </c>
      <c r="EN285" s="73" t="str">
        <f t="shared" si="383"/>
        <v>2</v>
      </c>
      <c r="EO285" s="73" t="str">
        <f t="shared" si="384"/>
        <v/>
      </c>
      <c r="EP285" s="73" t="str">
        <f t="shared" si="385"/>
        <v/>
      </c>
      <c r="EQ285" s="53" t="str">
        <f t="shared" si="386"/>
        <v/>
      </c>
      <c r="ER285" s="47" t="s">
        <v>0</v>
      </c>
      <c r="ES285" s="19" t="str">
        <f t="shared" si="421"/>
        <v>INSERT INTO rezultat(id,stazakategorija_id,imeprezime_id,vrijeme_sec,status_id,registracija,uparivanje_id,originalstatus_id,imeprezimealias_id,klubalias_id,kategorijaalias_id) VALUES (435,40,1141,Null,4,1,1,2,Null,Null,Null);</v>
      </c>
      <c r="ET285" s="47" t="s">
        <v>0</v>
      </c>
      <c r="EU285" s="19" t="str">
        <f t="shared" si="422"/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5" s="47" t="s">
        <v>0</v>
      </c>
      <c r="EW285" s="180" t="str">
        <f t="shared" si="387"/>
        <v xml:space="preserve">
INSERT INTO rezultat(id,stazakategorija_id,imeprezime_id,vrijeme_sec,status_id,registracija,uparivanje_id,originalstatus_id,imeprezimealias_id,klubalias_id,kategorijaalias_id) VALUES (435,40,1141,Null,4,1,1,2,Null,Null,Null);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5" s="47" t="s">
        <v>0</v>
      </c>
    </row>
    <row r="286" spans="1:154" x14ac:dyDescent="0.25">
      <c r="A286" t="s">
        <v>0</v>
      </c>
      <c r="B286" s="52" t="str">
        <f>IF(csv!F276="","",csv!T276)</f>
        <v>Ž21B</v>
      </c>
      <c r="C286" s="31" t="s">
        <v>0</v>
      </c>
      <c r="D286" s="31" t="str">
        <f>IF(csv!F276="","",csv!F276)</f>
        <v>Ana</v>
      </c>
      <c r="E286" s="31" t="str">
        <f>IF(csv!E276="","",csv!E276)</f>
        <v>Markulin</v>
      </c>
      <c r="F286" s="31" t="s">
        <v>0</v>
      </c>
      <c r="G286" s="73" t="str">
        <f>IF(csv!M276="","",csv!M276)</f>
        <v/>
      </c>
      <c r="H286" s="73" t="str">
        <f>IF(csv!N276="","",csv!N276)</f>
        <v>1</v>
      </c>
      <c r="I286" s="31" t="s">
        <v>0</v>
      </c>
      <c r="J286" s="31" t="str">
        <f>IF(csv!P276="","",csv!P276)</f>
        <v>Vihor</v>
      </c>
      <c r="K286" s="31" t="str">
        <f>IF(csv!Q276="","",csv!Q276)</f>
        <v>OK Vihor</v>
      </c>
      <c r="L286" s="31" t="s">
        <v>0</v>
      </c>
      <c r="M286" s="66" t="str">
        <f>IF(csv!R276="","",csv!R276)</f>
        <v>CRO</v>
      </c>
      <c r="N286" s="47" t="s">
        <v>0</v>
      </c>
      <c r="O286" s="246" t="str">
        <f t="shared" si="388"/>
        <v>ok</v>
      </c>
      <c r="P286" s="47"/>
      <c r="Q286" s="52" t="str">
        <f t="shared" si="389"/>
        <v>Ž21B</v>
      </c>
      <c r="R286" s="73">
        <f>IF(Q286="","",IF(COUNTIF(Q$12:Q285,Q286)=0,R285+1,R285))</f>
        <v>18</v>
      </c>
      <c r="S286" s="73">
        <f t="shared" si="390"/>
        <v>118</v>
      </c>
      <c r="T286" s="73">
        <f t="shared" si="353"/>
        <v>27</v>
      </c>
      <c r="U286" s="66" t="str">
        <f t="shared" si="354"/>
        <v>Ž21B – Ž16</v>
      </c>
      <c r="V286" s="47" t="s">
        <v>0</v>
      </c>
      <c r="W286" s="222" t="str">
        <f t="shared" si="355"/>
        <v>Ž21B</v>
      </c>
      <c r="X286" s="223">
        <f t="shared" si="356"/>
        <v>40</v>
      </c>
      <c r="Y286" s="47" t="s">
        <v>0</v>
      </c>
      <c r="Z286" s="52" t="str">
        <f t="shared" si="391"/>
        <v>CRO</v>
      </c>
      <c r="AA286" s="73">
        <f t="shared" si="357"/>
        <v>1</v>
      </c>
      <c r="AB286" s="31" t="str">
        <f t="shared" si="392"/>
        <v/>
      </c>
      <c r="AC286" s="66" t="str">
        <f>IF(AB286="","",MAX(AC$12:AC285)+1)</f>
        <v/>
      </c>
      <c r="AD286" s="47" t="s">
        <v>0</v>
      </c>
      <c r="AE286" s="125"/>
      <c r="AF286" s="47" t="s">
        <v>0</v>
      </c>
      <c r="AG286" s="19" t="str">
        <f t="shared" si="393"/>
        <v/>
      </c>
      <c r="AH286" s="47" t="s">
        <v>0</v>
      </c>
      <c r="AI286" s="143" t="str">
        <f t="shared" si="394"/>
        <v>CRO</v>
      </c>
      <c r="AJ286" s="47"/>
      <c r="AK286" s="52" t="str">
        <f t="shared" si="395"/>
        <v>Ana</v>
      </c>
      <c r="AL286" s="31" t="str">
        <f t="shared" si="396"/>
        <v>Markulin</v>
      </c>
      <c r="AM286" s="73">
        <f t="shared" si="397"/>
        <v>1190</v>
      </c>
      <c r="AN286" s="73" t="str">
        <f t="shared" si="398"/>
        <v/>
      </c>
      <c r="AO286" s="31" t="str">
        <f t="shared" si="358"/>
        <v>Ana</v>
      </c>
      <c r="AP286" s="66" t="str">
        <f t="shared" si="359"/>
        <v>Markulin</v>
      </c>
      <c r="AQ286" s="47" t="s">
        <v>0</v>
      </c>
      <c r="AR286" s="82" t="str">
        <f t="shared" si="399"/>
        <v/>
      </c>
      <c r="AS286" s="47" t="s">
        <v>0</v>
      </c>
      <c r="AT286" s="19" t="str">
        <f t="shared" si="400"/>
        <v/>
      </c>
      <c r="AU286" s="47" t="s">
        <v>0</v>
      </c>
      <c r="AV286" s="103"/>
      <c r="AW286" s="105"/>
      <c r="AX286" s="47" t="s">
        <v>0</v>
      </c>
      <c r="AY286" s="259" t="str">
        <f t="shared" si="423"/>
        <v/>
      </c>
      <c r="AZ286" s="47" t="s">
        <v>0</v>
      </c>
      <c r="BA286" s="52" t="str">
        <f t="shared" si="360"/>
        <v/>
      </c>
      <c r="BB286" s="73" t="str">
        <f>IF(AV286&amp;AW286="","",MAX(BB$12:BB285)+1)</f>
        <v/>
      </c>
      <c r="BC286" s="272" t="str">
        <f t="shared" si="361"/>
        <v/>
      </c>
      <c r="BD286" s="53" t="str">
        <f>IF(AND(AM286="NEMA",AN286="NEMA",OR(AV286&amp;AW286="",BC286="NEMA")),MAX(BD$12:BD285)+1,"")</f>
        <v/>
      </c>
      <c r="BE286" s="47" t="s">
        <v>0</v>
      </c>
      <c r="BF286" s="52" t="str">
        <f t="shared" si="401"/>
        <v>Ana</v>
      </c>
      <c r="BG286" s="66" t="str">
        <f t="shared" si="402"/>
        <v>Markulin</v>
      </c>
      <c r="BH286" s="47" t="s">
        <v>0</v>
      </c>
      <c r="BI286" s="52" t="str">
        <f t="shared" si="362"/>
        <v>Vihor</v>
      </c>
      <c r="BJ286" s="31" t="str">
        <f t="shared" si="363"/>
        <v>OK Vihor</v>
      </c>
      <c r="BK286" s="73" t="str">
        <f t="shared" si="364"/>
        <v/>
      </c>
      <c r="BL286" s="31" t="str" cm="1">
        <f t="array" ref="BL286">IF(BK286="",""&amp;BJ286,IF(BK286="NEMA",BJ286,INDEX(regKlub_naziv,MATCH(INDEX(regKlub_alias_klubId,BK286),regKlub_id,0))))</f>
        <v>OK Vihor</v>
      </c>
      <c r="BM286" s="31" t="str" cm="1">
        <f t="array" ref="BM286">IFERROR(""&amp;INDEX(regNatjecatelj_klub,DV286),"")</f>
        <v>OK Vihor</v>
      </c>
      <c r="BN286" s="88" t="str">
        <f t="shared" si="403"/>
        <v/>
      </c>
      <c r="BO286" s="66" t="str">
        <f t="shared" si="404"/>
        <v>OK Vihor</v>
      </c>
      <c r="BP286" s="47" t="s">
        <v>0</v>
      </c>
      <c r="BQ286" s="52" t="str">
        <f>IF(X286&lt;&gt;"NEMA","",IF(IFERROR(MATCH(W286,W$12:W285,0),0)&lt;&gt;0,"",W286))</f>
        <v/>
      </c>
      <c r="BR286" s="73" t="str">
        <f t="shared" si="405"/>
        <v/>
      </c>
      <c r="BS286" s="31" t="str">
        <f>IF(OR(BR286="",BR286&lt;&gt;"NEMA"),"",MAX(BS$12:BS285)+1)</f>
        <v/>
      </c>
      <c r="BT286" s="66" t="str">
        <f t="shared" si="406"/>
        <v/>
      </c>
      <c r="BU286" s="47" t="s">
        <v>0</v>
      </c>
      <c r="BV286" s="19" t="str">
        <f t="shared" si="407"/>
        <v/>
      </c>
      <c r="BW286" s="47" t="s">
        <v>0</v>
      </c>
      <c r="BX286" s="82" t="str">
        <f>IF(BK286&lt;&gt;"NEMA","",IF(IFERROR(MATCH(BJ286,BJ$12:BJ285,0),0)&lt;&gt;0,"",BJ286))</f>
        <v/>
      </c>
      <c r="BY286" s="47" t="s">
        <v>0</v>
      </c>
      <c r="BZ286" s="125"/>
      <c r="CA286" s="47" t="s">
        <v>0</v>
      </c>
      <c r="CB286" s="58" t="str">
        <f t="shared" si="408"/>
        <v/>
      </c>
      <c r="CC286" s="31" t="str">
        <f t="shared" si="409"/>
        <v/>
      </c>
      <c r="CD286" s="31" t="str">
        <f>IF(CC286="","",MAX(CD$12:CD285)+1)</f>
        <v/>
      </c>
      <c r="CE286" s="31" t="str">
        <f t="shared" si="365"/>
        <v/>
      </c>
      <c r="CF286" s="31" t="str">
        <f t="shared" si="410"/>
        <v/>
      </c>
      <c r="CG286" s="31" t="str">
        <f>IF(BZ286="","",MAX(CG$12:CG285)+1)</f>
        <v/>
      </c>
      <c r="CH286" s="31" t="str">
        <f t="shared" si="411"/>
        <v/>
      </c>
      <c r="CI286" s="66" t="str">
        <f t="shared" si="412"/>
        <v/>
      </c>
      <c r="CJ286" s="47" t="s">
        <v>0</v>
      </c>
      <c r="CK286" s="73" t="str">
        <f t="shared" si="366"/>
        <v/>
      </c>
      <c r="CL286" s="47"/>
      <c r="CM286" s="19" t="str">
        <f t="shared" si="413"/>
        <v/>
      </c>
      <c r="CN286" s="47" t="s">
        <v>0</v>
      </c>
      <c r="CO286" s="143" t="str">
        <f t="shared" si="414"/>
        <v>OK Vihor</v>
      </c>
      <c r="CP286" s="47" t="s">
        <v>0</v>
      </c>
      <c r="CQ286" s="58" t="str">
        <f t="shared" si="350"/>
        <v/>
      </c>
      <c r="CR286" s="73" t="str">
        <f t="shared" si="351"/>
        <v>1</v>
      </c>
      <c r="CS286" s="229" t="str">
        <f t="shared" si="367"/>
        <v/>
      </c>
      <c r="CT286" s="230" t="str">
        <f t="shared" si="352"/>
        <v/>
      </c>
      <c r="CU286" s="163">
        <f t="shared" si="368"/>
        <v>6</v>
      </c>
      <c r="CV286" s="47" t="s">
        <v>0</v>
      </c>
      <c r="CW286" s="222" t="str">
        <f t="shared" si="415"/>
        <v xml:space="preserve">
</v>
      </c>
      <c r="CX286" s="223" t="e">
        <f t="shared" si="416"/>
        <v>#N/A</v>
      </c>
      <c r="CY286" s="47" t="s">
        <v>0</v>
      </c>
      <c r="CZ286" s="47"/>
      <c r="DA286" s="47"/>
      <c r="DB286" s="47"/>
      <c r="DC286" s="47" t="s">
        <v>0</v>
      </c>
      <c r="DD286" s="53" t="str">
        <f t="shared" si="424"/>
        <v/>
      </c>
      <c r="DE286" t="s">
        <v>0</v>
      </c>
      <c r="DF286" s="128" t="str">
        <f t="shared" si="425"/>
        <v>Ž</v>
      </c>
      <c r="DG286" t="s">
        <v>0</v>
      </c>
      <c r="DH286" s="52" t="str">
        <f t="shared" si="426"/>
        <v/>
      </c>
      <c r="DI286" s="66" t="str">
        <f t="shared" si="427"/>
        <v/>
      </c>
      <c r="DJ286" t="s">
        <v>0</v>
      </c>
      <c r="DK286" s="19" t="str">
        <f t="shared" si="428"/>
        <v/>
      </c>
      <c r="DL286" s="47" t="s">
        <v>0</v>
      </c>
      <c r="DM286" s="19" t="str">
        <f t="shared" si="429"/>
        <v/>
      </c>
      <c r="DN286" s="47" t="s">
        <v>0</v>
      </c>
      <c r="DO286" s="52" t="str">
        <f t="shared" si="369"/>
        <v>Ana – Markulin – OK Vihor – Ž21B</v>
      </c>
      <c r="DP286" s="53">
        <f t="shared" si="370"/>
        <v>792</v>
      </c>
      <c r="DQ286" s="47" t="s">
        <v>0</v>
      </c>
      <c r="DR286" s="52" t="str">
        <f t="shared" si="371"/>
        <v>Ana – Markulin – OK Vihor</v>
      </c>
      <c r="DS286" s="53">
        <f t="shared" si="372"/>
        <v>792</v>
      </c>
      <c r="DT286" s="47" t="s">
        <v>0</v>
      </c>
      <c r="DU286" s="52" t="str">
        <f t="shared" si="373"/>
        <v>Ana – Markulin</v>
      </c>
      <c r="DV286" s="53">
        <f t="shared" si="374"/>
        <v>792</v>
      </c>
      <c r="DW286" s="47" t="s">
        <v>0</v>
      </c>
      <c r="DX286" s="58">
        <f t="shared" si="417"/>
        <v>792</v>
      </c>
      <c r="DY286" s="53" cm="1">
        <f t="array" ref="DY286">IF(DX286&lt;&gt;"",INDEX(regNatjecatelj_id,DX286,0),IF(BD286&lt;&gt;"",BD286,""))</f>
        <v>1190</v>
      </c>
      <c r="DZ286" s="47" t="s">
        <v>0</v>
      </c>
      <c r="EA286" s="58" t="str">
        <f t="shared" si="375"/>
        <v>imepre</v>
      </c>
      <c r="EB286" s="73" t="str">
        <f t="shared" si="376"/>
        <v>klu</v>
      </c>
      <c r="EC286" s="73" t="str">
        <f t="shared" si="377"/>
        <v>kat</v>
      </c>
      <c r="ED286" s="73" t="str">
        <f t="shared" si="378"/>
        <v/>
      </c>
      <c r="EE286" s="66" t="str">
        <f t="shared" si="379"/>
        <v>imepre-klu-kat</v>
      </c>
      <c r="EF286" s="47" t="s">
        <v>0</v>
      </c>
      <c r="EG286" s="58">
        <f>IF(AL286="","",MAX(EG$12:EG285)+1)</f>
        <v>436</v>
      </c>
      <c r="EH286" s="73">
        <f t="shared" si="380"/>
        <v>40</v>
      </c>
      <c r="EI286" s="73">
        <f t="shared" si="418"/>
        <v>1190</v>
      </c>
      <c r="EJ286" s="73" t="str">
        <f t="shared" si="381"/>
        <v/>
      </c>
      <c r="EK286" s="73">
        <f t="shared" si="382"/>
        <v>6</v>
      </c>
      <c r="EL286" s="73">
        <f t="shared" si="419"/>
        <v>1</v>
      </c>
      <c r="EM286" s="73">
        <f t="shared" si="420"/>
        <v>1</v>
      </c>
      <c r="EN286" s="73" t="str">
        <f t="shared" si="383"/>
        <v>1</v>
      </c>
      <c r="EO286" s="73" t="str">
        <f t="shared" si="384"/>
        <v/>
      </c>
      <c r="EP286" s="73" t="str">
        <f t="shared" si="385"/>
        <v/>
      </c>
      <c r="EQ286" s="53" t="str">
        <f t="shared" si="386"/>
        <v/>
      </c>
      <c r="ER286" s="47" t="s">
        <v>0</v>
      </c>
      <c r="ES286" s="19" t="str">
        <f t="shared" si="421"/>
        <v>INSERT INTO rezultat(id,stazakategorija_id,imeprezime_id,vrijeme_sec,status_id,registracija,uparivanje_id,originalstatus_id,imeprezimealias_id,klubalias_id,kategorijaalias_id) VALUES (436,40,1190,Null,6,1,1,1,Null,Null,Null);</v>
      </c>
      <c r="ET286" s="47" t="s">
        <v>0</v>
      </c>
      <c r="EU286" s="19" t="str">
        <f t="shared" si="422"/>
        <v>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6" s="47" t="s">
        <v>0</v>
      </c>
      <c r="EW286" s="180" t="str">
        <f t="shared" si="387"/>
        <v xml:space="preserve">
INSERT INTO rezultat(id,stazakategorija_id,imeprezime_id,vrijeme_sec,status_id,registracija,uparivanje_id,originalstatus_id,imeprezimealias_id,klubalias_id,kategorijaalias_id) VALUES (436,40,1190,Null,6,1,1,1,Null,Null,Null);
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6" s="47" t="s">
        <v>0</v>
      </c>
    </row>
    <row r="287" spans="1:154" x14ac:dyDescent="0.25">
      <c r="A287" t="s">
        <v>0</v>
      </c>
      <c r="B287" s="52" t="str">
        <f>IF(csv!F277="","",csv!T277)</f>
        <v>Ž21B</v>
      </c>
      <c r="C287" s="31" t="s">
        <v>0</v>
      </c>
      <c r="D287" s="31" t="str">
        <f>IF(csv!F277="","",csv!F277)</f>
        <v>Ivana</v>
      </c>
      <c r="E287" s="31" t="str">
        <f>IF(csv!E277="","",csv!E277)</f>
        <v>Stankovski</v>
      </c>
      <c r="F287" s="31" t="s">
        <v>0</v>
      </c>
      <c r="G287" s="73" t="str">
        <f>IF(csv!M277="","",csv!M277)</f>
        <v/>
      </c>
      <c r="H287" s="73" t="str">
        <f>IF(csv!N277="","",csv!N277)</f>
        <v>1</v>
      </c>
      <c r="I287" s="31" t="s">
        <v>0</v>
      </c>
      <c r="J287" s="31" t="str">
        <f>IF(csv!P277="","",csv!P277)</f>
        <v>KAP</v>
      </c>
      <c r="K287" s="31" t="str">
        <f>IF(csv!Q277="","",csv!Q277)</f>
        <v>OK Kapela</v>
      </c>
      <c r="L287" s="31" t="s">
        <v>0</v>
      </c>
      <c r="M287" s="66" t="str">
        <f>IF(csv!R277="","",csv!R277)</f>
        <v>CRO</v>
      </c>
      <c r="N287" s="47" t="s">
        <v>0</v>
      </c>
      <c r="O287" s="246" t="str">
        <f t="shared" si="388"/>
        <v>ok</v>
      </c>
      <c r="P287" s="47"/>
      <c r="Q287" s="52" t="str">
        <f t="shared" si="389"/>
        <v>Ž21B</v>
      </c>
      <c r="R287" s="73">
        <f>IF(Q287="","",IF(COUNTIF(Q$12:Q286,Q287)=0,R286+1,R286))</f>
        <v>18</v>
      </c>
      <c r="S287" s="73">
        <f t="shared" si="390"/>
        <v>118</v>
      </c>
      <c r="T287" s="73">
        <f t="shared" si="353"/>
        <v>27</v>
      </c>
      <c r="U287" s="66" t="str">
        <f t="shared" si="354"/>
        <v>Ž21B – Ž16</v>
      </c>
      <c r="V287" s="47" t="s">
        <v>0</v>
      </c>
      <c r="W287" s="222" t="str">
        <f t="shared" si="355"/>
        <v>Ž21B</v>
      </c>
      <c r="X287" s="223">
        <f t="shared" si="356"/>
        <v>40</v>
      </c>
      <c r="Y287" s="47" t="s">
        <v>0</v>
      </c>
      <c r="Z287" s="52" t="str">
        <f t="shared" si="391"/>
        <v>CRO</v>
      </c>
      <c r="AA287" s="73">
        <f t="shared" si="357"/>
        <v>1</v>
      </c>
      <c r="AB287" s="31" t="str">
        <f t="shared" si="392"/>
        <v/>
      </c>
      <c r="AC287" s="66" t="str">
        <f>IF(AB287="","",MAX(AC$12:AC286)+1)</f>
        <v/>
      </c>
      <c r="AD287" s="47" t="s">
        <v>0</v>
      </c>
      <c r="AE287" s="125"/>
      <c r="AF287" s="47" t="s">
        <v>0</v>
      </c>
      <c r="AG287" s="19" t="str">
        <f t="shared" si="393"/>
        <v/>
      </c>
      <c r="AH287" s="47" t="s">
        <v>0</v>
      </c>
      <c r="AI287" s="143" t="str">
        <f t="shared" si="394"/>
        <v>CRO</v>
      </c>
      <c r="AJ287" s="47"/>
      <c r="AK287" s="52" t="str">
        <f t="shared" si="395"/>
        <v>Ivana</v>
      </c>
      <c r="AL287" s="31" t="str">
        <f t="shared" si="396"/>
        <v>Stankovski</v>
      </c>
      <c r="AM287" s="73">
        <f t="shared" si="397"/>
        <v>1872</v>
      </c>
      <c r="AN287" s="73" t="str">
        <f t="shared" si="398"/>
        <v/>
      </c>
      <c r="AO287" s="31" t="str">
        <f t="shared" si="358"/>
        <v>Ivana</v>
      </c>
      <c r="AP287" s="66" t="str">
        <f t="shared" si="359"/>
        <v>Stankovski</v>
      </c>
      <c r="AQ287" s="47" t="s">
        <v>0</v>
      </c>
      <c r="AR287" s="82" t="str">
        <f t="shared" si="399"/>
        <v/>
      </c>
      <c r="AS287" s="47" t="s">
        <v>0</v>
      </c>
      <c r="AT287" s="19" t="str">
        <f t="shared" si="400"/>
        <v/>
      </c>
      <c r="AU287" s="47" t="s">
        <v>0</v>
      </c>
      <c r="AV287" s="103"/>
      <c r="AW287" s="105"/>
      <c r="AX287" s="47" t="s">
        <v>0</v>
      </c>
      <c r="AY287" s="259" t="str">
        <f t="shared" si="423"/>
        <v/>
      </c>
      <c r="AZ287" s="47" t="s">
        <v>0</v>
      </c>
      <c r="BA287" s="52" t="str">
        <f t="shared" si="360"/>
        <v/>
      </c>
      <c r="BB287" s="73" t="str">
        <f>IF(AV287&amp;AW287="","",MAX(BB$12:BB286)+1)</f>
        <v/>
      </c>
      <c r="BC287" s="272" t="str">
        <f t="shared" si="361"/>
        <v/>
      </c>
      <c r="BD287" s="53" t="str">
        <f>IF(AND(AM287="NEMA",AN287="NEMA",OR(AV287&amp;AW287="",BC287="NEMA")),MAX(BD$12:BD286)+1,"")</f>
        <v/>
      </c>
      <c r="BE287" s="47" t="s">
        <v>0</v>
      </c>
      <c r="BF287" s="52" t="str">
        <f t="shared" si="401"/>
        <v>Ivana</v>
      </c>
      <c r="BG287" s="66" t="str">
        <f t="shared" si="402"/>
        <v>Stankovski</v>
      </c>
      <c r="BH287" s="47" t="s">
        <v>0</v>
      </c>
      <c r="BI287" s="52" t="str">
        <f t="shared" si="362"/>
        <v>KAP</v>
      </c>
      <c r="BJ287" s="31" t="str">
        <f t="shared" si="363"/>
        <v>OK Kapela</v>
      </c>
      <c r="BK287" s="73" t="str">
        <f t="shared" si="364"/>
        <v/>
      </c>
      <c r="BL287" s="31" t="str" cm="1">
        <f t="array" ref="BL287">IF(BK287="",""&amp;BJ287,IF(BK287="NEMA",BJ287,INDEX(regKlub_naziv,MATCH(INDEX(regKlub_alias_klubId,BK287),regKlub_id,0))))</f>
        <v>OK Kapela</v>
      </c>
      <c r="BM287" s="31" t="str" cm="1">
        <f t="array" ref="BM287">IFERROR(""&amp;INDEX(regNatjecatelj_klub,DV287),"")</f>
        <v>OK Kapela</v>
      </c>
      <c r="BN287" s="88" t="str">
        <f t="shared" si="403"/>
        <v/>
      </c>
      <c r="BO287" s="66" t="str">
        <f t="shared" si="404"/>
        <v>OK Kapela</v>
      </c>
      <c r="BP287" s="47" t="s">
        <v>0</v>
      </c>
      <c r="BQ287" s="52" t="str">
        <f>IF(X287&lt;&gt;"NEMA","",IF(IFERROR(MATCH(W287,W$12:W286,0),0)&lt;&gt;0,"",W287))</f>
        <v/>
      </c>
      <c r="BR287" s="73" t="str">
        <f t="shared" si="405"/>
        <v/>
      </c>
      <c r="BS287" s="31" t="str">
        <f>IF(OR(BR287="",BR287&lt;&gt;"NEMA"),"",MAX(BS$12:BS286)+1)</f>
        <v/>
      </c>
      <c r="BT287" s="66" t="str">
        <f t="shared" si="406"/>
        <v/>
      </c>
      <c r="BU287" s="47" t="s">
        <v>0</v>
      </c>
      <c r="BV287" s="19" t="str">
        <f t="shared" si="407"/>
        <v/>
      </c>
      <c r="BW287" s="47" t="s">
        <v>0</v>
      </c>
      <c r="BX287" s="82" t="str">
        <f>IF(BK287&lt;&gt;"NEMA","",IF(IFERROR(MATCH(BJ287,BJ$12:BJ286,0),0)&lt;&gt;0,"",BJ287))</f>
        <v/>
      </c>
      <c r="BY287" s="47" t="s">
        <v>0</v>
      </c>
      <c r="BZ287" s="125"/>
      <c r="CA287" s="47" t="s">
        <v>0</v>
      </c>
      <c r="CB287" s="58" t="str">
        <f t="shared" si="408"/>
        <v/>
      </c>
      <c r="CC287" s="31" t="str">
        <f t="shared" si="409"/>
        <v/>
      </c>
      <c r="CD287" s="31" t="str">
        <f>IF(CC287="","",MAX(CD$12:CD286)+1)</f>
        <v/>
      </c>
      <c r="CE287" s="31" t="str">
        <f t="shared" si="365"/>
        <v/>
      </c>
      <c r="CF287" s="31" t="str">
        <f t="shared" si="410"/>
        <v/>
      </c>
      <c r="CG287" s="31" t="str">
        <f>IF(BZ287="","",MAX(CG$12:CG286)+1)</f>
        <v/>
      </c>
      <c r="CH287" s="31" t="str">
        <f t="shared" si="411"/>
        <v/>
      </c>
      <c r="CI287" s="66" t="str">
        <f t="shared" si="412"/>
        <v/>
      </c>
      <c r="CJ287" s="47" t="s">
        <v>0</v>
      </c>
      <c r="CK287" s="73" t="str">
        <f t="shared" si="366"/>
        <v/>
      </c>
      <c r="CL287" s="47"/>
      <c r="CM287" s="19" t="str">
        <f t="shared" si="413"/>
        <v/>
      </c>
      <c r="CN287" s="47" t="s">
        <v>0</v>
      </c>
      <c r="CO287" s="143" t="str">
        <f t="shared" si="414"/>
        <v>OK Kapela</v>
      </c>
      <c r="CP287" s="47" t="s">
        <v>0</v>
      </c>
      <c r="CQ287" s="58" t="str">
        <f t="shared" si="350"/>
        <v/>
      </c>
      <c r="CR287" s="73" t="str">
        <f t="shared" si="351"/>
        <v>1</v>
      </c>
      <c r="CS287" s="229" t="str">
        <f t="shared" si="367"/>
        <v/>
      </c>
      <c r="CT287" s="230" t="str">
        <f t="shared" si="352"/>
        <v/>
      </c>
      <c r="CU287" s="163">
        <f t="shared" si="368"/>
        <v>6</v>
      </c>
      <c r="CV287" s="47" t="s">
        <v>0</v>
      </c>
      <c r="CW287" s="222" t="str">
        <f t="shared" si="415"/>
        <v xml:space="preserve">
</v>
      </c>
      <c r="CX287" s="223" t="e">
        <f t="shared" si="416"/>
        <v>#N/A</v>
      </c>
      <c r="CY287" s="47" t="s">
        <v>0</v>
      </c>
      <c r="CZ287" s="47"/>
      <c r="DA287" s="47"/>
      <c r="DB287" s="47"/>
      <c r="DC287" s="47" t="s">
        <v>0</v>
      </c>
      <c r="DD287" s="53" t="str">
        <f t="shared" si="424"/>
        <v/>
      </c>
      <c r="DE287" t="s">
        <v>0</v>
      </c>
      <c r="DF287" s="128" t="str">
        <f t="shared" si="425"/>
        <v>Ž</v>
      </c>
      <c r="DG287" t="s">
        <v>0</v>
      </c>
      <c r="DH287" s="52" t="str">
        <f t="shared" si="426"/>
        <v/>
      </c>
      <c r="DI287" s="66" t="str">
        <f t="shared" si="427"/>
        <v/>
      </c>
      <c r="DJ287" t="s">
        <v>0</v>
      </c>
      <c r="DK287" s="19" t="str">
        <f t="shared" si="428"/>
        <v/>
      </c>
      <c r="DL287" s="47" t="s">
        <v>0</v>
      </c>
      <c r="DM287" s="19" t="str">
        <f t="shared" si="429"/>
        <v/>
      </c>
      <c r="DN287" s="47" t="s">
        <v>0</v>
      </c>
      <c r="DO287" s="52" t="str">
        <f t="shared" si="369"/>
        <v>Ivana – Stankovski – OK Kapela – Ž21B</v>
      </c>
      <c r="DP287" s="53">
        <f t="shared" si="370"/>
        <v>316</v>
      </c>
      <c r="DQ287" s="47" t="s">
        <v>0</v>
      </c>
      <c r="DR287" s="52" t="str">
        <f t="shared" si="371"/>
        <v>Ivana – Stankovski – OK Kapela</v>
      </c>
      <c r="DS287" s="53">
        <f t="shared" si="372"/>
        <v>316</v>
      </c>
      <c r="DT287" s="47" t="s">
        <v>0</v>
      </c>
      <c r="DU287" s="52" t="str">
        <f t="shared" si="373"/>
        <v>Ivana – Stankovski</v>
      </c>
      <c r="DV287" s="53">
        <f t="shared" si="374"/>
        <v>316</v>
      </c>
      <c r="DW287" s="47" t="s">
        <v>0</v>
      </c>
      <c r="DX287" s="58">
        <f t="shared" si="417"/>
        <v>316</v>
      </c>
      <c r="DY287" s="53" cm="1">
        <f t="array" ref="DY287">IF(DX287&lt;&gt;"",INDEX(regNatjecatelj_id,DX287,0),IF(BD287&lt;&gt;"",BD287,""))</f>
        <v>1872</v>
      </c>
      <c r="DZ287" s="47" t="s">
        <v>0</v>
      </c>
      <c r="EA287" s="58" t="str">
        <f t="shared" si="375"/>
        <v>imepre</v>
      </c>
      <c r="EB287" s="73" t="str">
        <f t="shared" si="376"/>
        <v>klu</v>
      </c>
      <c r="EC287" s="73" t="str">
        <f t="shared" si="377"/>
        <v>kat</v>
      </c>
      <c r="ED287" s="73" t="str">
        <f t="shared" si="378"/>
        <v/>
      </c>
      <c r="EE287" s="66" t="str">
        <f t="shared" si="379"/>
        <v>imepre-klu-kat</v>
      </c>
      <c r="EF287" s="47" t="s">
        <v>0</v>
      </c>
      <c r="EG287" s="58">
        <f>IF(AL287="","",MAX(EG$12:EG286)+1)</f>
        <v>437</v>
      </c>
      <c r="EH287" s="73">
        <f t="shared" si="380"/>
        <v>40</v>
      </c>
      <c r="EI287" s="73">
        <f t="shared" si="418"/>
        <v>1872</v>
      </c>
      <c r="EJ287" s="73" t="str">
        <f t="shared" si="381"/>
        <v/>
      </c>
      <c r="EK287" s="73">
        <f t="shared" si="382"/>
        <v>6</v>
      </c>
      <c r="EL287" s="73">
        <f t="shared" si="419"/>
        <v>1</v>
      </c>
      <c r="EM287" s="73">
        <f t="shared" si="420"/>
        <v>1</v>
      </c>
      <c r="EN287" s="73" t="str">
        <f t="shared" si="383"/>
        <v>1</v>
      </c>
      <c r="EO287" s="73" t="str">
        <f t="shared" si="384"/>
        <v/>
      </c>
      <c r="EP287" s="73" t="str">
        <f t="shared" si="385"/>
        <v/>
      </c>
      <c r="EQ287" s="53" t="str">
        <f t="shared" si="386"/>
        <v/>
      </c>
      <c r="ER287" s="47" t="s">
        <v>0</v>
      </c>
      <c r="ES287" s="19" t="str">
        <f t="shared" si="421"/>
        <v>INSERT INTO rezultat(id,stazakategorija_id,imeprezime_id,vrijeme_sec,status_id,registracija,uparivanje_id,originalstatus_id,imeprezimealias_id,klubalias_id,kategorijaalias_id) VALUES (437,40,1872,Null,6,1,1,1,Null,Null,Null);</v>
      </c>
      <c r="ET287" s="47" t="s">
        <v>0</v>
      </c>
      <c r="EU287" s="19" t="str">
        <f t="shared" si="422"/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7" s="47" t="s">
        <v>0</v>
      </c>
      <c r="EW287" s="180" t="str">
        <f t="shared" si="387"/>
        <v xml:space="preserve">
INSERT INTO rezultat(id,stazakategorija_id,imeprezime_id,vrijeme_sec,status_id,registracija,uparivanje_id,originalstatus_id,imeprezimealias_id,klubalias_id,kategorijaalias_id) VALUES (437,40,1872,Null,6,1,1,1,Null,Null,Null);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7" s="47" t="s">
        <v>0</v>
      </c>
    </row>
    <row r="288" spans="1:154" x14ac:dyDescent="0.25">
      <c r="A288" t="s">
        <v>0</v>
      </c>
      <c r="B288" s="52" t="str">
        <f>IF(csv!F278="","",csv!T278)</f>
        <v>Ž21B</v>
      </c>
      <c r="C288" s="31" t="s">
        <v>0</v>
      </c>
      <c r="D288" s="31" t="str">
        <f>IF(csv!F278="","",csv!F278)</f>
        <v>Marina</v>
      </c>
      <c r="E288" s="31" t="str">
        <f>IF(csv!E278="","",csv!E278)</f>
        <v>Tomac-Rojčević</v>
      </c>
      <c r="F288" s="31" t="s">
        <v>0</v>
      </c>
      <c r="G288" s="73" t="str">
        <f>IF(csv!M278="","",csv!M278)</f>
        <v/>
      </c>
      <c r="H288" s="73" t="str">
        <f>IF(csv!N278="","",csv!N278)</f>
        <v>2</v>
      </c>
      <c r="I288" s="31" t="s">
        <v>0</v>
      </c>
      <c r="J288" s="31" t="str">
        <f>IF(csv!P278="","",csv!P278)</f>
        <v>Vihor</v>
      </c>
      <c r="K288" s="31" t="str">
        <f>IF(csv!Q278="","",csv!Q278)</f>
        <v>OK Vihor</v>
      </c>
      <c r="L288" s="31" t="s">
        <v>0</v>
      </c>
      <c r="M288" s="66" t="str">
        <f>IF(csv!R278="","",csv!R278)</f>
        <v>CRO</v>
      </c>
      <c r="N288" s="47" t="s">
        <v>0</v>
      </c>
      <c r="O288" s="246" t="str">
        <f t="shared" si="388"/>
        <v>ok</v>
      </c>
      <c r="P288" s="47"/>
      <c r="Q288" s="52" t="str">
        <f t="shared" si="389"/>
        <v>Ž21B</v>
      </c>
      <c r="R288" s="73">
        <f>IF(Q288="","",IF(COUNTIF(Q$12:Q287,Q288)=0,R287+1,R287))</f>
        <v>18</v>
      </c>
      <c r="S288" s="73">
        <f t="shared" si="390"/>
        <v>118</v>
      </c>
      <c r="T288" s="73">
        <f t="shared" si="353"/>
        <v>27</v>
      </c>
      <c r="U288" s="66" t="str">
        <f t="shared" si="354"/>
        <v>Ž21B – Ž16</v>
      </c>
      <c r="V288" s="47" t="s">
        <v>0</v>
      </c>
      <c r="W288" s="222" t="str">
        <f t="shared" si="355"/>
        <v>Ž21B</v>
      </c>
      <c r="X288" s="223">
        <f t="shared" si="356"/>
        <v>40</v>
      </c>
      <c r="Y288" s="47" t="s">
        <v>0</v>
      </c>
      <c r="Z288" s="52" t="str">
        <f t="shared" si="391"/>
        <v>CRO</v>
      </c>
      <c r="AA288" s="73">
        <f t="shared" si="357"/>
        <v>1</v>
      </c>
      <c r="AB288" s="31" t="str">
        <f t="shared" si="392"/>
        <v/>
      </c>
      <c r="AC288" s="66" t="str">
        <f>IF(AB288="","",MAX(AC$12:AC287)+1)</f>
        <v/>
      </c>
      <c r="AD288" s="47" t="s">
        <v>0</v>
      </c>
      <c r="AE288" s="125"/>
      <c r="AF288" s="47" t="s">
        <v>0</v>
      </c>
      <c r="AG288" s="19" t="str">
        <f t="shared" si="393"/>
        <v/>
      </c>
      <c r="AH288" s="47" t="s">
        <v>0</v>
      </c>
      <c r="AI288" s="143" t="str">
        <f t="shared" si="394"/>
        <v>CRO</v>
      </c>
      <c r="AJ288" s="47"/>
      <c r="AK288" s="52" t="str">
        <f t="shared" si="395"/>
        <v>Marina</v>
      </c>
      <c r="AL288" s="31" t="str">
        <f t="shared" si="396"/>
        <v>Tomac-Rojčević</v>
      </c>
      <c r="AM288" s="73">
        <f t="shared" si="397"/>
        <v>1928</v>
      </c>
      <c r="AN288" s="73" t="str">
        <f t="shared" si="398"/>
        <v/>
      </c>
      <c r="AO288" s="31" t="str">
        <f t="shared" si="358"/>
        <v>Marina</v>
      </c>
      <c r="AP288" s="66" t="str">
        <f t="shared" si="359"/>
        <v>Tomac-Rojčević</v>
      </c>
      <c r="AQ288" s="47" t="s">
        <v>0</v>
      </c>
      <c r="AR288" s="82" t="str">
        <f t="shared" si="399"/>
        <v/>
      </c>
      <c r="AS288" s="47" t="s">
        <v>0</v>
      </c>
      <c r="AT288" s="19" t="str">
        <f t="shared" si="400"/>
        <v/>
      </c>
      <c r="AU288" s="47" t="s">
        <v>0</v>
      </c>
      <c r="AV288" s="103"/>
      <c r="AW288" s="105"/>
      <c r="AX288" s="47" t="s">
        <v>0</v>
      </c>
      <c r="AY288" s="259" t="str">
        <f t="shared" si="423"/>
        <v/>
      </c>
      <c r="AZ288" s="47" t="s">
        <v>0</v>
      </c>
      <c r="BA288" s="52" t="str">
        <f t="shared" si="360"/>
        <v/>
      </c>
      <c r="BB288" s="73" t="str">
        <f>IF(AV288&amp;AW288="","",MAX(BB$12:BB287)+1)</f>
        <v/>
      </c>
      <c r="BC288" s="272" t="str">
        <f t="shared" si="361"/>
        <v/>
      </c>
      <c r="BD288" s="53" t="str">
        <f>IF(AND(AM288="NEMA",AN288="NEMA",OR(AV288&amp;AW288="",BC288="NEMA")),MAX(BD$12:BD287)+1,"")</f>
        <v/>
      </c>
      <c r="BE288" s="47" t="s">
        <v>0</v>
      </c>
      <c r="BF288" s="52" t="str">
        <f t="shared" si="401"/>
        <v>Marina</v>
      </c>
      <c r="BG288" s="66" t="str">
        <f t="shared" si="402"/>
        <v>Tomac-Rojčević</v>
      </c>
      <c r="BH288" s="47" t="s">
        <v>0</v>
      </c>
      <c r="BI288" s="52" t="str">
        <f t="shared" si="362"/>
        <v>Vihor</v>
      </c>
      <c r="BJ288" s="31" t="str">
        <f t="shared" si="363"/>
        <v>OK Vihor</v>
      </c>
      <c r="BK288" s="73" t="str">
        <f t="shared" si="364"/>
        <v/>
      </c>
      <c r="BL288" s="31" t="str" cm="1">
        <f t="array" ref="BL288">IF(BK288="",""&amp;BJ288,IF(BK288="NEMA",BJ288,INDEX(regKlub_naziv,MATCH(INDEX(regKlub_alias_klubId,BK288),regKlub_id,0))))</f>
        <v>OK Vihor</v>
      </c>
      <c r="BM288" s="31" t="str" cm="1">
        <f t="array" ref="BM288">IFERROR(""&amp;INDEX(regNatjecatelj_klub,DV288),"")</f>
        <v>OK Vihor</v>
      </c>
      <c r="BN288" s="88" t="str">
        <f t="shared" si="403"/>
        <v/>
      </c>
      <c r="BO288" s="66" t="str">
        <f t="shared" si="404"/>
        <v>OK Vihor</v>
      </c>
      <c r="BP288" s="47" t="s">
        <v>0</v>
      </c>
      <c r="BQ288" s="52" t="str">
        <f>IF(X288&lt;&gt;"NEMA","",IF(IFERROR(MATCH(W288,W$12:W287,0),0)&lt;&gt;0,"",W288))</f>
        <v/>
      </c>
      <c r="BR288" s="73" t="str">
        <f t="shared" si="405"/>
        <v/>
      </c>
      <c r="BS288" s="31" t="str">
        <f>IF(OR(BR288="",BR288&lt;&gt;"NEMA"),"",MAX(BS$12:BS287)+1)</f>
        <v/>
      </c>
      <c r="BT288" s="66" t="str">
        <f t="shared" si="406"/>
        <v/>
      </c>
      <c r="BU288" s="47" t="s">
        <v>0</v>
      </c>
      <c r="BV288" s="19" t="str">
        <f t="shared" si="407"/>
        <v/>
      </c>
      <c r="BW288" s="47" t="s">
        <v>0</v>
      </c>
      <c r="BX288" s="82" t="str">
        <f>IF(BK288&lt;&gt;"NEMA","",IF(IFERROR(MATCH(BJ288,BJ$12:BJ287,0),0)&lt;&gt;0,"",BJ288))</f>
        <v/>
      </c>
      <c r="BY288" s="47" t="s">
        <v>0</v>
      </c>
      <c r="BZ288" s="125"/>
      <c r="CA288" s="47" t="s">
        <v>0</v>
      </c>
      <c r="CB288" s="58" t="str">
        <f t="shared" si="408"/>
        <v/>
      </c>
      <c r="CC288" s="31" t="str">
        <f t="shared" si="409"/>
        <v/>
      </c>
      <c r="CD288" s="31" t="str">
        <f>IF(CC288="","",MAX(CD$12:CD287)+1)</f>
        <v/>
      </c>
      <c r="CE288" s="31" t="str">
        <f t="shared" si="365"/>
        <v/>
      </c>
      <c r="CF288" s="31" t="str">
        <f t="shared" si="410"/>
        <v/>
      </c>
      <c r="CG288" s="31" t="str">
        <f>IF(BZ288="","",MAX(CG$12:CG287)+1)</f>
        <v/>
      </c>
      <c r="CH288" s="31" t="str">
        <f t="shared" si="411"/>
        <v/>
      </c>
      <c r="CI288" s="66" t="str">
        <f t="shared" si="412"/>
        <v/>
      </c>
      <c r="CJ288" s="47" t="s">
        <v>0</v>
      </c>
      <c r="CK288" s="73" t="str">
        <f t="shared" si="366"/>
        <v/>
      </c>
      <c r="CL288" s="47"/>
      <c r="CM288" s="19" t="str">
        <f t="shared" si="413"/>
        <v/>
      </c>
      <c r="CN288" s="47" t="s">
        <v>0</v>
      </c>
      <c r="CO288" s="143" t="str">
        <f t="shared" si="414"/>
        <v>OK Vihor</v>
      </c>
      <c r="CP288" s="47" t="s">
        <v>0</v>
      </c>
      <c r="CQ288" s="58" t="str">
        <f t="shared" si="350"/>
        <v/>
      </c>
      <c r="CR288" s="73" t="str">
        <f t="shared" si="351"/>
        <v>2</v>
      </c>
      <c r="CS288" s="229" t="str">
        <f t="shared" si="367"/>
        <v/>
      </c>
      <c r="CT288" s="230" t="str">
        <f t="shared" si="352"/>
        <v/>
      </c>
      <c r="CU288" s="163">
        <f t="shared" si="368"/>
        <v>4</v>
      </c>
      <c r="CV288" s="47" t="s">
        <v>0</v>
      </c>
      <c r="CW288" s="222" t="str">
        <f t="shared" si="415"/>
        <v xml:space="preserve">
</v>
      </c>
      <c r="CX288" s="223">
        <f t="shared" si="416"/>
        <v>5</v>
      </c>
      <c r="CY288" s="47" t="s">
        <v>0</v>
      </c>
      <c r="CZ288" s="47"/>
      <c r="DA288" s="47"/>
      <c r="DB288" s="47"/>
      <c r="DC288" s="47" t="s">
        <v>0</v>
      </c>
      <c r="DD288" s="53" t="str">
        <f t="shared" si="424"/>
        <v/>
      </c>
      <c r="DE288" t="s">
        <v>0</v>
      </c>
      <c r="DF288" s="128" t="str">
        <f t="shared" si="425"/>
        <v>Ž</v>
      </c>
      <c r="DG288" t="s">
        <v>0</v>
      </c>
      <c r="DH288" s="52" t="str">
        <f t="shared" si="426"/>
        <v/>
      </c>
      <c r="DI288" s="66" t="str">
        <f t="shared" si="427"/>
        <v/>
      </c>
      <c r="DJ288" t="s">
        <v>0</v>
      </c>
      <c r="DK288" s="19" t="str">
        <f t="shared" si="428"/>
        <v/>
      </c>
      <c r="DL288" s="47" t="s">
        <v>0</v>
      </c>
      <c r="DM288" s="19" t="str">
        <f t="shared" si="429"/>
        <v/>
      </c>
      <c r="DN288" s="47" t="s">
        <v>0</v>
      </c>
      <c r="DO288" s="52" t="str">
        <f t="shared" si="369"/>
        <v>Marina – Tomac-Rojčević – OK Vihor – Ž21B</v>
      </c>
      <c r="DP288" s="53">
        <f t="shared" si="370"/>
        <v>924</v>
      </c>
      <c r="DQ288" s="47" t="s">
        <v>0</v>
      </c>
      <c r="DR288" s="52" t="str">
        <f t="shared" si="371"/>
        <v>Marina – Tomac-Rojčević – OK Vihor</v>
      </c>
      <c r="DS288" s="53">
        <f t="shared" si="372"/>
        <v>924</v>
      </c>
      <c r="DT288" s="47" t="s">
        <v>0</v>
      </c>
      <c r="DU288" s="52" t="str">
        <f t="shared" si="373"/>
        <v>Marina – Tomac-Rojčević</v>
      </c>
      <c r="DV288" s="53">
        <f t="shared" si="374"/>
        <v>924</v>
      </c>
      <c r="DW288" s="47" t="s">
        <v>0</v>
      </c>
      <c r="DX288" s="58">
        <f t="shared" si="417"/>
        <v>924</v>
      </c>
      <c r="DY288" s="53" cm="1">
        <f t="array" ref="DY288">IF(DX288&lt;&gt;"",INDEX(regNatjecatelj_id,DX288,0),IF(BD288&lt;&gt;"",BD288,""))</f>
        <v>1928</v>
      </c>
      <c r="DZ288" s="47" t="s">
        <v>0</v>
      </c>
      <c r="EA288" s="58" t="str">
        <f t="shared" si="375"/>
        <v>imepre</v>
      </c>
      <c r="EB288" s="73" t="str">
        <f t="shared" si="376"/>
        <v>klu</v>
      </c>
      <c r="EC288" s="73" t="str">
        <f t="shared" si="377"/>
        <v>kat</v>
      </c>
      <c r="ED288" s="73" t="str">
        <f t="shared" si="378"/>
        <v/>
      </c>
      <c r="EE288" s="66" t="str">
        <f t="shared" si="379"/>
        <v>imepre-klu-kat</v>
      </c>
      <c r="EF288" s="47" t="s">
        <v>0</v>
      </c>
      <c r="EG288" s="58">
        <f>IF(AL288="","",MAX(EG$12:EG287)+1)</f>
        <v>438</v>
      </c>
      <c r="EH288" s="73">
        <f t="shared" si="380"/>
        <v>40</v>
      </c>
      <c r="EI288" s="73">
        <f t="shared" si="418"/>
        <v>1928</v>
      </c>
      <c r="EJ288" s="73" t="str">
        <f t="shared" si="381"/>
        <v/>
      </c>
      <c r="EK288" s="73">
        <f t="shared" si="382"/>
        <v>4</v>
      </c>
      <c r="EL288" s="73">
        <f t="shared" si="419"/>
        <v>1</v>
      </c>
      <c r="EM288" s="73">
        <f t="shared" si="420"/>
        <v>1</v>
      </c>
      <c r="EN288" s="73" t="str">
        <f t="shared" si="383"/>
        <v>2</v>
      </c>
      <c r="EO288" s="73" t="str">
        <f t="shared" si="384"/>
        <v/>
      </c>
      <c r="EP288" s="73" t="str">
        <f t="shared" si="385"/>
        <v/>
      </c>
      <c r="EQ288" s="53" t="str">
        <f t="shared" si="386"/>
        <v/>
      </c>
      <c r="ER288" s="47" t="s">
        <v>0</v>
      </c>
      <c r="ES288" s="19" t="str">
        <f t="shared" si="421"/>
        <v>INSERT INTO rezultat(id,stazakategorija_id,imeprezime_id,vrijeme_sec,status_id,registracija,uparivanje_id,originalstatus_id,imeprezimealias_id,klubalias_id,kategorijaalias_id) VALUES (438,40,1928,Null,4,1,1,2,Null,Null,Null);</v>
      </c>
      <c r="ET288" s="47" t="s">
        <v>0</v>
      </c>
      <c r="EU288" s="19" t="str">
        <f t="shared" si="422"/>
        <v>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8" s="47" t="s">
        <v>0</v>
      </c>
      <c r="EW288" s="180" t="str">
        <f t="shared" si="387"/>
        <v xml:space="preserve">
INSERT INTO rezultat(id,stazakategorija_id,imeprezime_id,vrijeme_sec,status_id,registracija,uparivanje_id,originalstatus_id,imeprezimealias_id,klubalias_id,kategorijaalias_id) VALUES (438,40,1928,Null,4,1,1,2,Null,Null,Null);
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8" s="47" t="s">
        <v>0</v>
      </c>
    </row>
    <row r="289" spans="1:154" x14ac:dyDescent="0.25">
      <c r="A289" t="s">
        <v>0</v>
      </c>
      <c r="B289" s="52" t="str">
        <f>IF(csv!F279="","",csv!T279)</f>
        <v>Ž21B</v>
      </c>
      <c r="C289" s="31" t="s">
        <v>0</v>
      </c>
      <c r="D289" s="31" t="str">
        <f>IF(csv!F279="","",csv!F279)</f>
        <v>Andrea</v>
      </c>
      <c r="E289" s="31" t="str">
        <f>IF(csv!E279="","",csv!E279)</f>
        <v>Funarić</v>
      </c>
      <c r="F289" s="31" t="s">
        <v>0</v>
      </c>
      <c r="G289" s="73" t="str">
        <f>IF(csv!M279="","",csv!M279)</f>
        <v/>
      </c>
      <c r="H289" s="73" t="str">
        <f>IF(csv!N279="","",csv!N279)</f>
        <v>1</v>
      </c>
      <c r="I289" s="31" t="s">
        <v>0</v>
      </c>
      <c r="J289" s="31" t="str">
        <f>IF(csv!P279="","",csv!P279)</f>
        <v>Vihor</v>
      </c>
      <c r="K289" s="31" t="str">
        <f>IF(csv!Q279="","",csv!Q279)</f>
        <v>OK Vihor</v>
      </c>
      <c r="L289" s="31" t="s">
        <v>0</v>
      </c>
      <c r="M289" s="66" t="str">
        <f>IF(csv!R279="","",csv!R279)</f>
        <v>CRO</v>
      </c>
      <c r="N289" s="47" t="s">
        <v>0</v>
      </c>
      <c r="O289" s="246" t="str">
        <f t="shared" si="388"/>
        <v>ok</v>
      </c>
      <c r="P289" s="47"/>
      <c r="Q289" s="52" t="str">
        <f t="shared" si="389"/>
        <v>Ž21B</v>
      </c>
      <c r="R289" s="73">
        <f>IF(Q289="","",IF(COUNTIF(Q$12:Q288,Q289)=0,R288+1,R288))</f>
        <v>18</v>
      </c>
      <c r="S289" s="73">
        <f t="shared" si="390"/>
        <v>118</v>
      </c>
      <c r="T289" s="73">
        <f t="shared" si="353"/>
        <v>27</v>
      </c>
      <c r="U289" s="66" t="str">
        <f t="shared" si="354"/>
        <v>Ž21B – Ž16</v>
      </c>
      <c r="V289" s="47" t="s">
        <v>0</v>
      </c>
      <c r="W289" s="222" t="str">
        <f t="shared" si="355"/>
        <v>Ž21B</v>
      </c>
      <c r="X289" s="223">
        <f t="shared" si="356"/>
        <v>40</v>
      </c>
      <c r="Y289" s="47" t="s">
        <v>0</v>
      </c>
      <c r="Z289" s="52" t="str">
        <f t="shared" si="391"/>
        <v>CRO</v>
      </c>
      <c r="AA289" s="73">
        <f t="shared" si="357"/>
        <v>1</v>
      </c>
      <c r="AB289" s="31" t="str">
        <f t="shared" si="392"/>
        <v/>
      </c>
      <c r="AC289" s="66" t="str">
        <f>IF(AB289="","",MAX(AC$12:AC288)+1)</f>
        <v/>
      </c>
      <c r="AD289" s="47" t="s">
        <v>0</v>
      </c>
      <c r="AE289" s="125"/>
      <c r="AF289" s="47" t="s">
        <v>0</v>
      </c>
      <c r="AG289" s="19" t="str">
        <f t="shared" si="393"/>
        <v/>
      </c>
      <c r="AH289" s="47" t="s">
        <v>0</v>
      </c>
      <c r="AI289" s="143" t="str">
        <f t="shared" si="394"/>
        <v>CRO</v>
      </c>
      <c r="AJ289" s="47"/>
      <c r="AK289" s="52" t="str">
        <f t="shared" si="395"/>
        <v>Andrea</v>
      </c>
      <c r="AL289" s="31" t="str">
        <f t="shared" si="396"/>
        <v>Funarić</v>
      </c>
      <c r="AM289" s="73">
        <f t="shared" si="397"/>
        <v>1886</v>
      </c>
      <c r="AN289" s="73" t="str">
        <f t="shared" si="398"/>
        <v/>
      </c>
      <c r="AO289" s="31" t="str">
        <f t="shared" si="358"/>
        <v>Andrea</v>
      </c>
      <c r="AP289" s="66" t="str">
        <f t="shared" si="359"/>
        <v>Funarić</v>
      </c>
      <c r="AQ289" s="47" t="s">
        <v>0</v>
      </c>
      <c r="AR289" s="82" t="str">
        <f t="shared" si="399"/>
        <v/>
      </c>
      <c r="AS289" s="47" t="s">
        <v>0</v>
      </c>
      <c r="AT289" s="19" t="str">
        <f t="shared" si="400"/>
        <v/>
      </c>
      <c r="AU289" s="47" t="s">
        <v>0</v>
      </c>
      <c r="AV289" s="103"/>
      <c r="AW289" s="105"/>
      <c r="AX289" s="47" t="s">
        <v>0</v>
      </c>
      <c r="AY289" s="259" t="str">
        <f t="shared" si="423"/>
        <v/>
      </c>
      <c r="AZ289" s="47" t="s">
        <v>0</v>
      </c>
      <c r="BA289" s="52" t="str">
        <f t="shared" si="360"/>
        <v/>
      </c>
      <c r="BB289" s="73" t="str">
        <f>IF(AV289&amp;AW289="","",MAX(BB$12:BB288)+1)</f>
        <v/>
      </c>
      <c r="BC289" s="272" t="str">
        <f t="shared" si="361"/>
        <v/>
      </c>
      <c r="BD289" s="53" t="str">
        <f>IF(AND(AM289="NEMA",AN289="NEMA",OR(AV289&amp;AW289="",BC289="NEMA")),MAX(BD$12:BD288)+1,"")</f>
        <v/>
      </c>
      <c r="BE289" s="47" t="s">
        <v>0</v>
      </c>
      <c r="BF289" s="52" t="str">
        <f t="shared" si="401"/>
        <v>Andrea</v>
      </c>
      <c r="BG289" s="66" t="str">
        <f t="shared" si="402"/>
        <v>Funarić</v>
      </c>
      <c r="BH289" s="47" t="s">
        <v>0</v>
      </c>
      <c r="BI289" s="52" t="str">
        <f t="shared" si="362"/>
        <v>Vihor</v>
      </c>
      <c r="BJ289" s="31" t="str">
        <f t="shared" si="363"/>
        <v>OK Vihor</v>
      </c>
      <c r="BK289" s="73" t="str">
        <f t="shared" si="364"/>
        <v/>
      </c>
      <c r="BL289" s="31" t="str" cm="1">
        <f t="array" ref="BL289">IF(BK289="",""&amp;BJ289,IF(BK289="NEMA",BJ289,INDEX(regKlub_naziv,MATCH(INDEX(regKlub_alias_klubId,BK289),regKlub_id,0))))</f>
        <v>OK Vihor</v>
      </c>
      <c r="BM289" s="31" t="str" cm="1">
        <f t="array" ref="BM289">IFERROR(""&amp;INDEX(regNatjecatelj_klub,DV289),"")</f>
        <v>OK Vihor</v>
      </c>
      <c r="BN289" s="88" t="str">
        <f t="shared" si="403"/>
        <v/>
      </c>
      <c r="BO289" s="66" t="str">
        <f t="shared" si="404"/>
        <v>OK Vihor</v>
      </c>
      <c r="BP289" s="47" t="s">
        <v>0</v>
      </c>
      <c r="BQ289" s="52" t="str">
        <f>IF(X289&lt;&gt;"NEMA","",IF(IFERROR(MATCH(W289,W$12:W288,0),0)&lt;&gt;0,"",W289))</f>
        <v/>
      </c>
      <c r="BR289" s="73" t="str">
        <f t="shared" si="405"/>
        <v/>
      </c>
      <c r="BS289" s="31" t="str">
        <f>IF(OR(BR289="",BR289&lt;&gt;"NEMA"),"",MAX(BS$12:BS288)+1)</f>
        <v/>
      </c>
      <c r="BT289" s="66" t="str">
        <f t="shared" si="406"/>
        <v/>
      </c>
      <c r="BU289" s="47" t="s">
        <v>0</v>
      </c>
      <c r="BV289" s="19" t="str">
        <f t="shared" si="407"/>
        <v/>
      </c>
      <c r="BW289" s="47" t="s">
        <v>0</v>
      </c>
      <c r="BX289" s="82" t="str">
        <f>IF(BK289&lt;&gt;"NEMA","",IF(IFERROR(MATCH(BJ289,BJ$12:BJ288,0),0)&lt;&gt;0,"",BJ289))</f>
        <v/>
      </c>
      <c r="BY289" s="47" t="s">
        <v>0</v>
      </c>
      <c r="BZ289" s="125"/>
      <c r="CA289" s="47" t="s">
        <v>0</v>
      </c>
      <c r="CB289" s="58" t="str">
        <f t="shared" si="408"/>
        <v/>
      </c>
      <c r="CC289" s="31" t="str">
        <f t="shared" si="409"/>
        <v/>
      </c>
      <c r="CD289" s="31" t="str">
        <f>IF(CC289="","",MAX(CD$12:CD288)+1)</f>
        <v/>
      </c>
      <c r="CE289" s="31" t="str">
        <f t="shared" si="365"/>
        <v/>
      </c>
      <c r="CF289" s="31" t="str">
        <f t="shared" si="410"/>
        <v/>
      </c>
      <c r="CG289" s="31" t="str">
        <f>IF(BZ289="","",MAX(CG$12:CG288)+1)</f>
        <v/>
      </c>
      <c r="CH289" s="31" t="str">
        <f t="shared" si="411"/>
        <v/>
      </c>
      <c r="CI289" s="66" t="str">
        <f t="shared" si="412"/>
        <v/>
      </c>
      <c r="CJ289" s="47" t="s">
        <v>0</v>
      </c>
      <c r="CK289" s="73" t="str">
        <f t="shared" si="366"/>
        <v/>
      </c>
      <c r="CL289" s="47"/>
      <c r="CM289" s="19" t="str">
        <f t="shared" si="413"/>
        <v/>
      </c>
      <c r="CN289" s="47" t="s">
        <v>0</v>
      </c>
      <c r="CO289" s="143" t="str">
        <f t="shared" si="414"/>
        <v>OK Vihor</v>
      </c>
      <c r="CP289" s="47" t="s">
        <v>0</v>
      </c>
      <c r="CQ289" s="58" t="str">
        <f t="shared" si="350"/>
        <v/>
      </c>
      <c r="CR289" s="73" t="str">
        <f t="shared" si="351"/>
        <v>1</v>
      </c>
      <c r="CS289" s="229" t="str">
        <f t="shared" si="367"/>
        <v/>
      </c>
      <c r="CT289" s="230" t="str">
        <f t="shared" si="352"/>
        <v/>
      </c>
      <c r="CU289" s="163">
        <f t="shared" si="368"/>
        <v>6</v>
      </c>
      <c r="CV289" s="47" t="s">
        <v>0</v>
      </c>
      <c r="CW289" s="222" t="str">
        <f t="shared" si="415"/>
        <v xml:space="preserve">
</v>
      </c>
      <c r="CX289" s="223" t="e">
        <f t="shared" si="416"/>
        <v>#N/A</v>
      </c>
      <c r="CY289" s="47" t="s">
        <v>0</v>
      </c>
      <c r="CZ289" s="47"/>
      <c r="DA289" s="47"/>
      <c r="DB289" s="47"/>
      <c r="DC289" s="47" t="s">
        <v>0</v>
      </c>
      <c r="DD289" s="53" t="str">
        <f t="shared" si="424"/>
        <v/>
      </c>
      <c r="DE289" t="s">
        <v>0</v>
      </c>
      <c r="DF289" s="128" t="str">
        <f t="shared" si="425"/>
        <v>Ž</v>
      </c>
      <c r="DG289" t="s">
        <v>0</v>
      </c>
      <c r="DH289" s="52" t="str">
        <f t="shared" si="426"/>
        <v/>
      </c>
      <c r="DI289" s="66" t="str">
        <f t="shared" si="427"/>
        <v/>
      </c>
      <c r="DJ289" t="s">
        <v>0</v>
      </c>
      <c r="DK289" s="19" t="str">
        <f t="shared" si="428"/>
        <v/>
      </c>
      <c r="DL289" s="47" t="s">
        <v>0</v>
      </c>
      <c r="DM289" s="19" t="str">
        <f t="shared" si="429"/>
        <v/>
      </c>
      <c r="DN289" s="47" t="s">
        <v>0</v>
      </c>
      <c r="DO289" s="52" t="str">
        <f t="shared" si="369"/>
        <v>Andrea – Funarić – OK Vihor – Ž21B</v>
      </c>
      <c r="DP289" s="53">
        <f t="shared" si="370"/>
        <v>669</v>
      </c>
      <c r="DQ289" s="47" t="s">
        <v>0</v>
      </c>
      <c r="DR289" s="52" t="str">
        <f t="shared" si="371"/>
        <v>Andrea – Funarić – OK Vihor</v>
      </c>
      <c r="DS289" s="53">
        <f t="shared" si="372"/>
        <v>669</v>
      </c>
      <c r="DT289" s="47" t="s">
        <v>0</v>
      </c>
      <c r="DU289" s="52" t="str">
        <f t="shared" si="373"/>
        <v>Andrea – Funarić</v>
      </c>
      <c r="DV289" s="53">
        <f t="shared" si="374"/>
        <v>669</v>
      </c>
      <c r="DW289" s="47" t="s">
        <v>0</v>
      </c>
      <c r="DX289" s="58">
        <f t="shared" si="417"/>
        <v>669</v>
      </c>
      <c r="DY289" s="53" cm="1">
        <f t="array" ref="DY289">IF(DX289&lt;&gt;"",INDEX(regNatjecatelj_id,DX289,0),IF(BD289&lt;&gt;"",BD289,""))</f>
        <v>1886</v>
      </c>
      <c r="DZ289" s="47" t="s">
        <v>0</v>
      </c>
      <c r="EA289" s="58" t="str">
        <f t="shared" si="375"/>
        <v>imepre</v>
      </c>
      <c r="EB289" s="73" t="str">
        <f t="shared" si="376"/>
        <v>klu</v>
      </c>
      <c r="EC289" s="73" t="str">
        <f t="shared" si="377"/>
        <v>kat</v>
      </c>
      <c r="ED289" s="73" t="str">
        <f t="shared" si="378"/>
        <v/>
      </c>
      <c r="EE289" s="66" t="str">
        <f t="shared" si="379"/>
        <v>imepre-klu-kat</v>
      </c>
      <c r="EF289" s="47" t="s">
        <v>0</v>
      </c>
      <c r="EG289" s="58">
        <f>IF(AL289="","",MAX(EG$12:EG288)+1)</f>
        <v>439</v>
      </c>
      <c r="EH289" s="73">
        <f t="shared" si="380"/>
        <v>40</v>
      </c>
      <c r="EI289" s="73">
        <f t="shared" si="418"/>
        <v>1886</v>
      </c>
      <c r="EJ289" s="73" t="str">
        <f t="shared" si="381"/>
        <v/>
      </c>
      <c r="EK289" s="73">
        <f t="shared" si="382"/>
        <v>6</v>
      </c>
      <c r="EL289" s="73">
        <f t="shared" si="419"/>
        <v>1</v>
      </c>
      <c r="EM289" s="73">
        <f t="shared" si="420"/>
        <v>1</v>
      </c>
      <c r="EN289" s="73" t="str">
        <f t="shared" si="383"/>
        <v>1</v>
      </c>
      <c r="EO289" s="73" t="str">
        <f t="shared" si="384"/>
        <v/>
      </c>
      <c r="EP289" s="73" t="str">
        <f t="shared" si="385"/>
        <v/>
      </c>
      <c r="EQ289" s="53" t="str">
        <f t="shared" si="386"/>
        <v/>
      </c>
      <c r="ER289" s="47" t="s">
        <v>0</v>
      </c>
      <c r="ES289" s="19" t="str">
        <f t="shared" si="421"/>
        <v>INSERT INTO rezultat(id,stazakategorija_id,imeprezime_id,vrijeme_sec,status_id,registracija,uparivanje_id,originalstatus_id,imeprezimealias_id,klubalias_id,kategorijaalias_id) VALUES (439,40,1886,Null,6,1,1,1,Null,Null,Null);</v>
      </c>
      <c r="ET289" s="47" t="s">
        <v>0</v>
      </c>
      <c r="EU289" s="19" t="str">
        <f t="shared" si="422"/>
        <v>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9" s="47" t="s">
        <v>0</v>
      </c>
      <c r="EW289" s="180" t="str">
        <f t="shared" si="387"/>
        <v xml:space="preserve">
INSERT INTO rezultat(id,stazakategorija_id,imeprezime_id,vrijeme_sec,status_id,registracija,uparivanje_id,originalstatus_id,imeprezimealias_id,klubalias_id,kategorijaalias_id) VALUES (439,40,1886,Null,6,1,1,1,Null,Null,Null);
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9" s="47" t="s">
        <v>0</v>
      </c>
    </row>
    <row r="290" spans="1:154" x14ac:dyDescent="0.25">
      <c r="A290" t="s">
        <v>0</v>
      </c>
      <c r="B290" s="52" t="str">
        <f>IF(csv!F280="","",csv!T280)</f>
        <v>Ž35</v>
      </c>
      <c r="C290" s="31" t="s">
        <v>0</v>
      </c>
      <c r="D290" s="31" t="str">
        <f>IF(csv!F280="","",csv!F280)</f>
        <v>Željka</v>
      </c>
      <c r="E290" s="31" t="str">
        <f>IF(csv!E280="","",csv!E280)</f>
        <v>Fištrek</v>
      </c>
      <c r="F290" s="31" t="s">
        <v>0</v>
      </c>
      <c r="G290" s="73" t="str">
        <f>IF(csv!M280="","",csv!M280)</f>
        <v>39:15</v>
      </c>
      <c r="H290" s="73" t="str">
        <f>IF(csv!N280="","",csv!N280)</f>
        <v>0</v>
      </c>
      <c r="I290" s="31" t="s">
        <v>0</v>
      </c>
      <c r="J290" s="31" t="str">
        <f>IF(csv!P280="","",csv!P280)</f>
        <v>KAP</v>
      </c>
      <c r="K290" s="31" t="str">
        <f>IF(csv!Q280="","",csv!Q280)</f>
        <v>OK Kapela</v>
      </c>
      <c r="L290" s="31" t="s">
        <v>0</v>
      </c>
      <c r="M290" s="66" t="str">
        <f>IF(csv!R280="","",csv!R280)</f>
        <v>CRO</v>
      </c>
      <c r="N290" s="47" t="s">
        <v>0</v>
      </c>
      <c r="O290" s="246" t="str">
        <f t="shared" si="388"/>
        <v>ok</v>
      </c>
      <c r="P290" s="47"/>
      <c r="Q290" s="52" t="str">
        <f t="shared" si="389"/>
        <v>Ž35</v>
      </c>
      <c r="R290" s="73">
        <f>IF(Q290="","",IF(COUNTIF(Q$12:Q289,Q290)=0,R289+1,R289))</f>
        <v>19</v>
      </c>
      <c r="S290" s="73">
        <f t="shared" si="390"/>
        <v>117</v>
      </c>
      <c r="T290" s="73">
        <f t="shared" si="353"/>
        <v>26</v>
      </c>
      <c r="U290" s="66" t="str">
        <f t="shared" si="354"/>
        <v>Ž35</v>
      </c>
      <c r="V290" s="47" t="s">
        <v>0</v>
      </c>
      <c r="W290" s="222" t="str">
        <f t="shared" si="355"/>
        <v>Ž35</v>
      </c>
      <c r="X290" s="223">
        <f t="shared" si="356"/>
        <v>41</v>
      </c>
      <c r="Y290" s="47" t="s">
        <v>0</v>
      </c>
      <c r="Z290" s="52" t="str">
        <f t="shared" si="391"/>
        <v>CRO</v>
      </c>
      <c r="AA290" s="73">
        <f t="shared" si="357"/>
        <v>1</v>
      </c>
      <c r="AB290" s="31" t="str">
        <f t="shared" si="392"/>
        <v/>
      </c>
      <c r="AC290" s="66" t="str">
        <f>IF(AB290="","",MAX(AC$12:AC289)+1)</f>
        <v/>
      </c>
      <c r="AD290" s="47" t="s">
        <v>0</v>
      </c>
      <c r="AE290" s="125"/>
      <c r="AF290" s="47" t="s">
        <v>0</v>
      </c>
      <c r="AG290" s="19" t="str">
        <f t="shared" si="393"/>
        <v/>
      </c>
      <c r="AH290" s="47" t="s">
        <v>0</v>
      </c>
      <c r="AI290" s="143" t="str">
        <f t="shared" si="394"/>
        <v>CRO</v>
      </c>
      <c r="AJ290" s="47"/>
      <c r="AK290" s="52" t="str">
        <f t="shared" si="395"/>
        <v>Željka</v>
      </c>
      <c r="AL290" s="31" t="str">
        <f t="shared" si="396"/>
        <v>Fištrek</v>
      </c>
      <c r="AM290" s="73">
        <f t="shared" si="397"/>
        <v>1193</v>
      </c>
      <c r="AN290" s="73" t="str">
        <f t="shared" si="398"/>
        <v/>
      </c>
      <c r="AO290" s="31" t="str">
        <f t="shared" si="358"/>
        <v>Željka</v>
      </c>
      <c r="AP290" s="66" t="str">
        <f t="shared" si="359"/>
        <v>Fištrek</v>
      </c>
      <c r="AQ290" s="47" t="s">
        <v>0</v>
      </c>
      <c r="AR290" s="82" t="str">
        <f t="shared" si="399"/>
        <v/>
      </c>
      <c r="AS290" s="47" t="s">
        <v>0</v>
      </c>
      <c r="AT290" s="19" t="str">
        <f t="shared" si="400"/>
        <v/>
      </c>
      <c r="AU290" s="47" t="s">
        <v>0</v>
      </c>
      <c r="AV290" s="103"/>
      <c r="AW290" s="105"/>
      <c r="AX290" s="47" t="s">
        <v>0</v>
      </c>
      <c r="AY290" s="259" t="str">
        <f t="shared" si="423"/>
        <v/>
      </c>
      <c r="AZ290" s="47" t="s">
        <v>0</v>
      </c>
      <c r="BA290" s="52" t="str">
        <f t="shared" si="360"/>
        <v/>
      </c>
      <c r="BB290" s="73" t="str">
        <f>IF(AV290&amp;AW290="","",MAX(BB$12:BB289)+1)</f>
        <v/>
      </c>
      <c r="BC290" s="272" t="str">
        <f t="shared" si="361"/>
        <v/>
      </c>
      <c r="BD290" s="53" t="str">
        <f>IF(AND(AM290="NEMA",AN290="NEMA",OR(AV290&amp;AW290="",BC290="NEMA")),MAX(BD$12:BD289)+1,"")</f>
        <v/>
      </c>
      <c r="BE290" s="47" t="s">
        <v>0</v>
      </c>
      <c r="BF290" s="52" t="str">
        <f t="shared" si="401"/>
        <v>Željka</v>
      </c>
      <c r="BG290" s="66" t="str">
        <f t="shared" si="402"/>
        <v>Fištrek</v>
      </c>
      <c r="BH290" s="47" t="s">
        <v>0</v>
      </c>
      <c r="BI290" s="52" t="str">
        <f t="shared" si="362"/>
        <v>KAP</v>
      </c>
      <c r="BJ290" s="31" t="str">
        <f t="shared" si="363"/>
        <v>OK Kapela</v>
      </c>
      <c r="BK290" s="73" t="str">
        <f t="shared" si="364"/>
        <v/>
      </c>
      <c r="BL290" s="31" t="str" cm="1">
        <f t="array" ref="BL290">IF(BK290="",""&amp;BJ290,IF(BK290="NEMA",BJ290,INDEX(regKlub_naziv,MATCH(INDEX(regKlub_alias_klubId,BK290),regKlub_id,0))))</f>
        <v>OK Kapela</v>
      </c>
      <c r="BM290" s="31" t="str" cm="1">
        <f t="array" ref="BM290">IFERROR(""&amp;INDEX(regNatjecatelj_klub,DV290),"")</f>
        <v>OK Kapela</v>
      </c>
      <c r="BN290" s="88" t="str">
        <f t="shared" si="403"/>
        <v/>
      </c>
      <c r="BO290" s="66" t="str">
        <f t="shared" si="404"/>
        <v>OK Kapela</v>
      </c>
      <c r="BP290" s="47" t="s">
        <v>0</v>
      </c>
      <c r="BQ290" s="52" t="str">
        <f>IF(X290&lt;&gt;"NEMA","",IF(IFERROR(MATCH(W290,W$12:W289,0),0)&lt;&gt;0,"",W290))</f>
        <v/>
      </c>
      <c r="BR290" s="73" t="str">
        <f t="shared" si="405"/>
        <v/>
      </c>
      <c r="BS290" s="31" t="str">
        <f>IF(OR(BR290="",BR290&lt;&gt;"NEMA"),"",MAX(BS$12:BS289)+1)</f>
        <v/>
      </c>
      <c r="BT290" s="66" t="str">
        <f t="shared" si="406"/>
        <v/>
      </c>
      <c r="BU290" s="47" t="s">
        <v>0</v>
      </c>
      <c r="BV290" s="19" t="str">
        <f t="shared" si="407"/>
        <v/>
      </c>
      <c r="BW290" s="47" t="s">
        <v>0</v>
      </c>
      <c r="BX290" s="82" t="str">
        <f>IF(BK290&lt;&gt;"NEMA","",IF(IFERROR(MATCH(BJ290,BJ$12:BJ289,0),0)&lt;&gt;0,"",BJ290))</f>
        <v/>
      </c>
      <c r="BY290" s="47" t="s">
        <v>0</v>
      </c>
      <c r="BZ290" s="125"/>
      <c r="CA290" s="47" t="s">
        <v>0</v>
      </c>
      <c r="CB290" s="58" t="str">
        <f t="shared" si="408"/>
        <v/>
      </c>
      <c r="CC290" s="31" t="str">
        <f t="shared" si="409"/>
        <v/>
      </c>
      <c r="CD290" s="31" t="str">
        <f>IF(CC290="","",MAX(CD$12:CD289)+1)</f>
        <v/>
      </c>
      <c r="CE290" s="31" t="str">
        <f t="shared" si="365"/>
        <v/>
      </c>
      <c r="CF290" s="31" t="str">
        <f t="shared" si="410"/>
        <v/>
      </c>
      <c r="CG290" s="31" t="str">
        <f>IF(BZ290="","",MAX(CG$12:CG289)+1)</f>
        <v/>
      </c>
      <c r="CH290" s="31" t="str">
        <f t="shared" si="411"/>
        <v/>
      </c>
      <c r="CI290" s="66" t="str">
        <f t="shared" si="412"/>
        <v/>
      </c>
      <c r="CJ290" s="47" t="s">
        <v>0</v>
      </c>
      <c r="CK290" s="73" t="str">
        <f t="shared" si="366"/>
        <v/>
      </c>
      <c r="CL290" s="47"/>
      <c r="CM290" s="19" t="str">
        <f t="shared" si="413"/>
        <v/>
      </c>
      <c r="CN290" s="47" t="s">
        <v>0</v>
      </c>
      <c r="CO290" s="143" t="str">
        <f t="shared" si="414"/>
        <v>OK Kapela</v>
      </c>
      <c r="CP290" s="47" t="s">
        <v>0</v>
      </c>
      <c r="CQ290" s="58" t="str">
        <f t="shared" si="350"/>
        <v>39:15</v>
      </c>
      <c r="CR290" s="73" t="str">
        <f t="shared" si="351"/>
        <v>0</v>
      </c>
      <c r="CS290" s="229" t="str">
        <f t="shared" si="367"/>
        <v/>
      </c>
      <c r="CT290" s="230">
        <f t="shared" si="352"/>
        <v>2355</v>
      </c>
      <c r="CU290" s="163">
        <f t="shared" si="368"/>
        <v>1</v>
      </c>
      <c r="CV290" s="47" t="s">
        <v>0</v>
      </c>
      <c r="CW290" s="222" t="str">
        <f t="shared" si="415"/>
        <v xml:space="preserve">
</v>
      </c>
      <c r="CX290" s="223">
        <f t="shared" si="416"/>
        <v>6</v>
      </c>
      <c r="CY290" s="47" t="s">
        <v>0</v>
      </c>
      <c r="CZ290" s="47"/>
      <c r="DA290" s="47"/>
      <c r="DB290" s="47"/>
      <c r="DC290" s="47" t="s">
        <v>0</v>
      </c>
      <c r="DD290" s="53" t="str">
        <f t="shared" si="424"/>
        <v/>
      </c>
      <c r="DE290" t="s">
        <v>0</v>
      </c>
      <c r="DF290" s="128" t="str">
        <f t="shared" si="425"/>
        <v>Ž</v>
      </c>
      <c r="DG290" t="s">
        <v>0</v>
      </c>
      <c r="DH290" s="52" t="str">
        <f t="shared" si="426"/>
        <v/>
      </c>
      <c r="DI290" s="66" t="str">
        <f t="shared" si="427"/>
        <v/>
      </c>
      <c r="DJ290" t="s">
        <v>0</v>
      </c>
      <c r="DK290" s="19" t="str">
        <f t="shared" si="428"/>
        <v/>
      </c>
      <c r="DL290" s="47" t="s">
        <v>0</v>
      </c>
      <c r="DM290" s="19" t="str">
        <f t="shared" si="429"/>
        <v/>
      </c>
      <c r="DN290" s="47" t="s">
        <v>0</v>
      </c>
      <c r="DO290" s="52" t="str">
        <f t="shared" si="369"/>
        <v>Željka – Fištrek – OK Kapela – Ž35</v>
      </c>
      <c r="DP290" s="53">
        <f t="shared" si="370"/>
        <v>237</v>
      </c>
      <c r="DQ290" s="47" t="s">
        <v>0</v>
      </c>
      <c r="DR290" s="52" t="str">
        <f t="shared" si="371"/>
        <v>Željka – Fištrek – OK Kapela</v>
      </c>
      <c r="DS290" s="53">
        <f t="shared" si="372"/>
        <v>237</v>
      </c>
      <c r="DT290" s="47" t="s">
        <v>0</v>
      </c>
      <c r="DU290" s="52" t="str">
        <f t="shared" si="373"/>
        <v>Željka – Fištrek</v>
      </c>
      <c r="DV290" s="53">
        <f t="shared" si="374"/>
        <v>237</v>
      </c>
      <c r="DW290" s="47" t="s">
        <v>0</v>
      </c>
      <c r="DX290" s="58">
        <f t="shared" si="417"/>
        <v>237</v>
      </c>
      <c r="DY290" s="53" cm="1">
        <f t="array" ref="DY290">IF(DX290&lt;&gt;"",INDEX(regNatjecatelj_id,DX290,0),IF(BD290&lt;&gt;"",BD290,""))</f>
        <v>1193</v>
      </c>
      <c r="DZ290" s="47" t="s">
        <v>0</v>
      </c>
      <c r="EA290" s="58" t="str">
        <f t="shared" si="375"/>
        <v>imepre</v>
      </c>
      <c r="EB290" s="73" t="str">
        <f t="shared" si="376"/>
        <v>klu</v>
      </c>
      <c r="EC290" s="73" t="str">
        <f t="shared" si="377"/>
        <v>kat</v>
      </c>
      <c r="ED290" s="73" t="str">
        <f t="shared" si="378"/>
        <v/>
      </c>
      <c r="EE290" s="66" t="str">
        <f t="shared" si="379"/>
        <v>imepre-klu-kat</v>
      </c>
      <c r="EF290" s="47" t="s">
        <v>0</v>
      </c>
      <c r="EG290" s="58">
        <f>IF(AL290="","",MAX(EG$12:EG289)+1)</f>
        <v>440</v>
      </c>
      <c r="EH290" s="73">
        <f t="shared" si="380"/>
        <v>41</v>
      </c>
      <c r="EI290" s="73">
        <f t="shared" si="418"/>
        <v>1193</v>
      </c>
      <c r="EJ290" s="73">
        <f t="shared" si="381"/>
        <v>2355</v>
      </c>
      <c r="EK290" s="73">
        <f t="shared" si="382"/>
        <v>1</v>
      </c>
      <c r="EL290" s="73">
        <f t="shared" si="419"/>
        <v>1</v>
      </c>
      <c r="EM290" s="73">
        <f t="shared" si="420"/>
        <v>1</v>
      </c>
      <c r="EN290" s="73" t="str">
        <f t="shared" si="383"/>
        <v>0</v>
      </c>
      <c r="EO290" s="73" t="str">
        <f t="shared" si="384"/>
        <v/>
      </c>
      <c r="EP290" s="73" t="str">
        <f t="shared" si="385"/>
        <v/>
      </c>
      <c r="EQ290" s="53" t="str">
        <f t="shared" si="386"/>
        <v/>
      </c>
      <c r="ER290" s="47" t="s">
        <v>0</v>
      </c>
      <c r="ES290" s="19" t="str">
        <f t="shared" si="421"/>
        <v>INSERT INTO rezultat(id,stazakategorija_id,imeprezime_id,vrijeme_sec,status_id,registracija,uparivanje_id,originalstatus_id,imeprezimealias_id,klubalias_id,kategorijaalias_id) VALUES (440,41,1193,2355,1,1,1,0,Null,Null,Null);</v>
      </c>
      <c r="ET290" s="47" t="s">
        <v>0</v>
      </c>
      <c r="EU290" s="19" t="str">
        <f t="shared" si="422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0" s="47" t="s">
        <v>0</v>
      </c>
      <c r="EW290" s="180" t="str">
        <f t="shared" si="387"/>
        <v xml:space="preserve">
INSERT INTO rezultat(id,stazakategorija_id,imeprezime_id,vrijeme_sec,status_id,registracija,uparivanje_id,originalstatus_id,imeprezimealias_id,klubalias_id,kategorijaalias_id) VALUES (440,41,1193,2355,1,1,1,0,Null,Null,Null);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0" s="47" t="s">
        <v>0</v>
      </c>
    </row>
    <row r="291" spans="1:154" x14ac:dyDescent="0.25">
      <c r="A291" t="s">
        <v>0</v>
      </c>
      <c r="B291" s="52" t="str">
        <f>IF(csv!F281="","",csv!T281)</f>
        <v>Ž35</v>
      </c>
      <c r="C291" s="31" t="s">
        <v>0</v>
      </c>
      <c r="D291" s="31" t="str">
        <f>IF(csv!F281="","",csv!F281)</f>
        <v>Sonja</v>
      </c>
      <c r="E291" s="31" t="str">
        <f>IF(csv!E281="","",csv!E281)</f>
        <v>Lesjak</v>
      </c>
      <c r="F291" s="31" t="s">
        <v>0</v>
      </c>
      <c r="G291" s="73" t="str">
        <f>IF(csv!M281="","",csv!M281)</f>
        <v>41:28</v>
      </c>
      <c r="H291" s="73" t="str">
        <f>IF(csv!N281="","",csv!N281)</f>
        <v>0</v>
      </c>
      <c r="I291" s="31" t="s">
        <v>0</v>
      </c>
      <c r="J291" s="31" t="str">
        <f>IF(csv!P281="","",csv!P281)</f>
        <v>JAP</v>
      </c>
      <c r="K291" s="31" t="str">
        <f>IF(csv!Q281="","",csv!Q281)</f>
        <v>OK Japetic</v>
      </c>
      <c r="L291" s="31" t="s">
        <v>0</v>
      </c>
      <c r="M291" s="66" t="str">
        <f>IF(csv!R281="","",csv!R281)</f>
        <v>CRO</v>
      </c>
      <c r="N291" s="47" t="s">
        <v>0</v>
      </c>
      <c r="O291" s="246" t="str">
        <f t="shared" si="388"/>
        <v>ok</v>
      </c>
      <c r="P291" s="47"/>
      <c r="Q291" s="52" t="str">
        <f t="shared" si="389"/>
        <v>Ž35</v>
      </c>
      <c r="R291" s="73">
        <f>IF(Q291="","",IF(COUNTIF(Q$12:Q290,Q291)=0,R290+1,R290))</f>
        <v>19</v>
      </c>
      <c r="S291" s="73">
        <f t="shared" si="390"/>
        <v>117</v>
      </c>
      <c r="T291" s="73">
        <f t="shared" si="353"/>
        <v>26</v>
      </c>
      <c r="U291" s="66" t="str">
        <f t="shared" si="354"/>
        <v>Ž35</v>
      </c>
      <c r="V291" s="47" t="s">
        <v>0</v>
      </c>
      <c r="W291" s="222" t="str">
        <f t="shared" si="355"/>
        <v>Ž35</v>
      </c>
      <c r="X291" s="223">
        <f t="shared" si="356"/>
        <v>41</v>
      </c>
      <c r="Y291" s="47" t="s">
        <v>0</v>
      </c>
      <c r="Z291" s="52" t="str">
        <f t="shared" si="391"/>
        <v>CRO</v>
      </c>
      <c r="AA291" s="73">
        <f t="shared" si="357"/>
        <v>1</v>
      </c>
      <c r="AB291" s="31" t="str">
        <f t="shared" si="392"/>
        <v/>
      </c>
      <c r="AC291" s="66" t="str">
        <f>IF(AB291="","",MAX(AC$12:AC290)+1)</f>
        <v/>
      </c>
      <c r="AD291" s="47" t="s">
        <v>0</v>
      </c>
      <c r="AE291" s="125"/>
      <c r="AF291" s="47" t="s">
        <v>0</v>
      </c>
      <c r="AG291" s="19" t="str">
        <f t="shared" si="393"/>
        <v/>
      </c>
      <c r="AH291" s="47" t="s">
        <v>0</v>
      </c>
      <c r="AI291" s="143" t="str">
        <f t="shared" si="394"/>
        <v>CRO</v>
      </c>
      <c r="AJ291" s="47"/>
      <c r="AK291" s="52" t="str">
        <f t="shared" si="395"/>
        <v>Sonja</v>
      </c>
      <c r="AL291" s="31" t="str">
        <f t="shared" si="396"/>
        <v>Lesjak</v>
      </c>
      <c r="AM291" s="73">
        <f t="shared" si="397"/>
        <v>1543</v>
      </c>
      <c r="AN291" s="73" t="str">
        <f t="shared" si="398"/>
        <v/>
      </c>
      <c r="AO291" s="31" t="str">
        <f t="shared" si="358"/>
        <v>Sonja</v>
      </c>
      <c r="AP291" s="66" t="str">
        <f t="shared" si="359"/>
        <v>Lesjak</v>
      </c>
      <c r="AQ291" s="47" t="s">
        <v>0</v>
      </c>
      <c r="AR291" s="82" t="str">
        <f t="shared" si="399"/>
        <v/>
      </c>
      <c r="AS291" s="47" t="s">
        <v>0</v>
      </c>
      <c r="AT291" s="19" t="str">
        <f t="shared" si="400"/>
        <v/>
      </c>
      <c r="AU291" s="47" t="s">
        <v>0</v>
      </c>
      <c r="AV291" s="103"/>
      <c r="AW291" s="105"/>
      <c r="AX291" s="47" t="s">
        <v>0</v>
      </c>
      <c r="AY291" s="259" t="str">
        <f t="shared" si="423"/>
        <v/>
      </c>
      <c r="AZ291" s="47" t="s">
        <v>0</v>
      </c>
      <c r="BA291" s="52" t="str">
        <f t="shared" si="360"/>
        <v/>
      </c>
      <c r="BB291" s="73" t="str">
        <f>IF(AV291&amp;AW291="","",MAX(BB$12:BB290)+1)</f>
        <v/>
      </c>
      <c r="BC291" s="272" t="str">
        <f t="shared" si="361"/>
        <v/>
      </c>
      <c r="BD291" s="53" t="str">
        <f>IF(AND(AM291="NEMA",AN291="NEMA",OR(AV291&amp;AW291="",BC291="NEMA")),MAX(BD$12:BD290)+1,"")</f>
        <v/>
      </c>
      <c r="BE291" s="47" t="s">
        <v>0</v>
      </c>
      <c r="BF291" s="52" t="str">
        <f t="shared" si="401"/>
        <v>Sonja</v>
      </c>
      <c r="BG291" s="66" t="str">
        <f t="shared" si="402"/>
        <v>Lesjak</v>
      </c>
      <c r="BH291" s="47" t="s">
        <v>0</v>
      </c>
      <c r="BI291" s="52" t="str">
        <f t="shared" si="362"/>
        <v>JAP</v>
      </c>
      <c r="BJ291" s="31" t="str">
        <f t="shared" si="363"/>
        <v>OK Japetic</v>
      </c>
      <c r="BK291" s="73">
        <f t="shared" si="364"/>
        <v>1</v>
      </c>
      <c r="BL291" s="31" t="str" cm="1">
        <f t="array" ref="BL291">IF(BK291="",""&amp;BJ291,IF(BK291="NEMA",BJ291,INDEX(regKlub_naziv,MATCH(INDEX(regKlub_alias_klubId,BK291),regKlub_id,0))))</f>
        <v>OK Japetić</v>
      </c>
      <c r="BM291" s="31" t="str" cm="1">
        <f t="array" ref="BM291">IFERROR(""&amp;INDEX(regNatjecatelj_klub,DV291),"")</f>
        <v>OK Japetić</v>
      </c>
      <c r="BN291" s="88" t="str">
        <f t="shared" si="403"/>
        <v/>
      </c>
      <c r="BO291" s="66" t="str">
        <f t="shared" si="404"/>
        <v>OK Japetić</v>
      </c>
      <c r="BP291" s="47" t="s">
        <v>0</v>
      </c>
      <c r="BQ291" s="52" t="str">
        <f>IF(X291&lt;&gt;"NEMA","",IF(IFERROR(MATCH(W291,W$12:W290,0),0)&lt;&gt;0,"",W291))</f>
        <v/>
      </c>
      <c r="BR291" s="73" t="str">
        <f t="shared" si="405"/>
        <v/>
      </c>
      <c r="BS291" s="31" t="str">
        <f>IF(OR(BR291="",BR291&lt;&gt;"NEMA"),"",MAX(BS$12:BS290)+1)</f>
        <v/>
      </c>
      <c r="BT291" s="66" t="str">
        <f t="shared" si="406"/>
        <v/>
      </c>
      <c r="BU291" s="47" t="s">
        <v>0</v>
      </c>
      <c r="BV291" s="19" t="str">
        <f t="shared" si="407"/>
        <v/>
      </c>
      <c r="BW291" s="47" t="s">
        <v>0</v>
      </c>
      <c r="BX291" s="82" t="str">
        <f>IF(BK291&lt;&gt;"NEMA","",IF(IFERROR(MATCH(BJ291,BJ$12:BJ290,0),0)&lt;&gt;0,"",BJ291))</f>
        <v/>
      </c>
      <c r="BY291" s="47" t="s">
        <v>0</v>
      </c>
      <c r="BZ291" s="125"/>
      <c r="CA291" s="47" t="s">
        <v>0</v>
      </c>
      <c r="CB291" s="58" t="str">
        <f t="shared" si="408"/>
        <v/>
      </c>
      <c r="CC291" s="31" t="str">
        <f t="shared" si="409"/>
        <v/>
      </c>
      <c r="CD291" s="31" t="str">
        <f>IF(CC291="","",MAX(CD$12:CD290)+1)</f>
        <v/>
      </c>
      <c r="CE291" s="31" t="str">
        <f t="shared" si="365"/>
        <v/>
      </c>
      <c r="CF291" s="31" t="str">
        <f t="shared" si="410"/>
        <v/>
      </c>
      <c r="CG291" s="31" t="str">
        <f>IF(BZ291="","",MAX(CG$12:CG290)+1)</f>
        <v/>
      </c>
      <c r="CH291" s="31" t="str">
        <f t="shared" si="411"/>
        <v/>
      </c>
      <c r="CI291" s="66" t="str">
        <f t="shared" si="412"/>
        <v/>
      </c>
      <c r="CJ291" s="47" t="s">
        <v>0</v>
      </c>
      <c r="CK291" s="73" t="str">
        <f t="shared" si="366"/>
        <v/>
      </c>
      <c r="CL291" s="47"/>
      <c r="CM291" s="19" t="str">
        <f t="shared" si="413"/>
        <v/>
      </c>
      <c r="CN291" s="47" t="s">
        <v>0</v>
      </c>
      <c r="CO291" s="143" t="str">
        <f t="shared" si="414"/>
        <v>OK Japetić</v>
      </c>
      <c r="CP291" s="47" t="s">
        <v>0</v>
      </c>
      <c r="CQ291" s="58" t="str">
        <f t="shared" si="350"/>
        <v>41:28</v>
      </c>
      <c r="CR291" s="73" t="str">
        <f t="shared" si="351"/>
        <v>0</v>
      </c>
      <c r="CS291" s="229" t="str">
        <f t="shared" si="367"/>
        <v/>
      </c>
      <c r="CT291" s="230">
        <f t="shared" si="352"/>
        <v>2488</v>
      </c>
      <c r="CU291" s="163">
        <f t="shared" si="368"/>
        <v>1</v>
      </c>
      <c r="CV291" s="47" t="s">
        <v>0</v>
      </c>
      <c r="CW291" s="222" t="str">
        <f t="shared" si="415"/>
        <v xml:space="preserve">
</v>
      </c>
      <c r="CX291" s="223">
        <f t="shared" si="416"/>
        <v>6</v>
      </c>
      <c r="CY291" s="47" t="s">
        <v>0</v>
      </c>
      <c r="CZ291" s="47"/>
      <c r="DA291" s="47"/>
      <c r="DB291" s="47"/>
      <c r="DC291" s="47" t="s">
        <v>0</v>
      </c>
      <c r="DD291" s="53" t="str">
        <f t="shared" si="424"/>
        <v/>
      </c>
      <c r="DE291" t="s">
        <v>0</v>
      </c>
      <c r="DF291" s="128" t="str">
        <f t="shared" si="425"/>
        <v>Ž</v>
      </c>
      <c r="DG291" t="s">
        <v>0</v>
      </c>
      <c r="DH291" s="52" t="str">
        <f t="shared" si="426"/>
        <v/>
      </c>
      <c r="DI291" s="66" t="str">
        <f t="shared" si="427"/>
        <v/>
      </c>
      <c r="DJ291" t="s">
        <v>0</v>
      </c>
      <c r="DK291" s="19" t="str">
        <f t="shared" si="428"/>
        <v/>
      </c>
      <c r="DL291" s="47" t="s">
        <v>0</v>
      </c>
      <c r="DM291" s="19" t="str">
        <f t="shared" si="429"/>
        <v/>
      </c>
      <c r="DN291" s="47" t="s">
        <v>0</v>
      </c>
      <c r="DO291" s="52" t="str">
        <f t="shared" si="369"/>
        <v>Sonja – Lesjak – OK Japetić – Ž35</v>
      </c>
      <c r="DP291" s="53">
        <f t="shared" si="370"/>
        <v>108</v>
      </c>
      <c r="DQ291" s="47" t="s">
        <v>0</v>
      </c>
      <c r="DR291" s="52" t="str">
        <f t="shared" si="371"/>
        <v>Sonja – Lesjak – OK Japetić</v>
      </c>
      <c r="DS291" s="53">
        <f t="shared" si="372"/>
        <v>108</v>
      </c>
      <c r="DT291" s="47" t="s">
        <v>0</v>
      </c>
      <c r="DU291" s="52" t="str">
        <f t="shared" si="373"/>
        <v>Sonja – Lesjak</v>
      </c>
      <c r="DV291" s="53">
        <f t="shared" si="374"/>
        <v>108</v>
      </c>
      <c r="DW291" s="47" t="s">
        <v>0</v>
      </c>
      <c r="DX291" s="58">
        <f t="shared" si="417"/>
        <v>108</v>
      </c>
      <c r="DY291" s="53" cm="1">
        <f t="array" ref="DY291">IF(DX291&lt;&gt;"",INDEX(regNatjecatelj_id,DX291,0),IF(BD291&lt;&gt;"",BD291,""))</f>
        <v>1543</v>
      </c>
      <c r="DZ291" s="47" t="s">
        <v>0</v>
      </c>
      <c r="EA291" s="58" t="str">
        <f t="shared" si="375"/>
        <v>imepre</v>
      </c>
      <c r="EB291" s="73" t="str">
        <f t="shared" si="376"/>
        <v>klu(ali)</v>
      </c>
      <c r="EC291" s="73" t="str">
        <f t="shared" si="377"/>
        <v>kat</v>
      </c>
      <c r="ED291" s="73" t="str">
        <f t="shared" si="378"/>
        <v/>
      </c>
      <c r="EE291" s="66" t="str">
        <f t="shared" si="379"/>
        <v>imepre-klu(ali)-kat</v>
      </c>
      <c r="EF291" s="47" t="s">
        <v>0</v>
      </c>
      <c r="EG291" s="58">
        <f>IF(AL291="","",MAX(EG$12:EG290)+1)</f>
        <v>441</v>
      </c>
      <c r="EH291" s="73">
        <f t="shared" si="380"/>
        <v>41</v>
      </c>
      <c r="EI291" s="73">
        <f t="shared" si="418"/>
        <v>1543</v>
      </c>
      <c r="EJ291" s="73">
        <f t="shared" si="381"/>
        <v>2488</v>
      </c>
      <c r="EK291" s="73">
        <f t="shared" si="382"/>
        <v>1</v>
      </c>
      <c r="EL291" s="73">
        <f t="shared" si="419"/>
        <v>1</v>
      </c>
      <c r="EM291" s="73">
        <f t="shared" si="420"/>
        <v>3</v>
      </c>
      <c r="EN291" s="73" t="str">
        <f t="shared" si="383"/>
        <v>0</v>
      </c>
      <c r="EO291" s="73" t="str">
        <f t="shared" si="384"/>
        <v/>
      </c>
      <c r="EP291" s="73">
        <f t="shared" si="385"/>
        <v>1</v>
      </c>
      <c r="EQ291" s="53" t="str">
        <f t="shared" si="386"/>
        <v/>
      </c>
      <c r="ER291" s="47" t="s">
        <v>0</v>
      </c>
      <c r="ES291" s="19" t="str">
        <f t="shared" si="421"/>
        <v>INSERT INTO rezultat(id,stazakategorija_id,imeprezime_id,vrijeme_sec,status_id,registracija,uparivanje_id,originalstatus_id,imeprezimealias_id,klubalias_id,kategorijaalias_id) VALUES (441,41,1543,2488,1,1,3,0,Null,1,Null);</v>
      </c>
      <c r="ET291" s="47" t="s">
        <v>0</v>
      </c>
      <c r="EU291" s="19" t="str">
        <f t="shared" si="422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1" s="47" t="s">
        <v>0</v>
      </c>
      <c r="EW291" s="180" t="str">
        <f t="shared" si="387"/>
        <v xml:space="preserve">
INSERT INTO rezultat(id,stazakategorija_id,imeprezime_id,vrijeme_sec,status_id,registracija,uparivanje_id,originalstatus_id,imeprezimealias_id,klubalias_id,kategorijaalias_id) VALUES (441,41,1543,2488,1,1,3,0,Null,1,Null);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1" s="47" t="s">
        <v>0</v>
      </c>
    </row>
    <row r="292" spans="1:154" x14ac:dyDescent="0.25">
      <c r="A292" t="s">
        <v>0</v>
      </c>
      <c r="B292" s="52" t="str">
        <f>IF(csv!F282="","",csv!T282)</f>
        <v>Ž35</v>
      </c>
      <c r="C292" s="31" t="s">
        <v>0</v>
      </c>
      <c r="D292" s="31" t="str">
        <f>IF(csv!F282="","",csv!F282)</f>
        <v>Martina</v>
      </c>
      <c r="E292" s="31" t="str">
        <f>IF(csv!E282="","",csv!E282)</f>
        <v>Bedeković Tanković</v>
      </c>
      <c r="F292" s="31" t="s">
        <v>0</v>
      </c>
      <c r="G292" s="73" t="str">
        <f>IF(csv!M282="","",csv!M282)</f>
        <v>45:20</v>
      </c>
      <c r="H292" s="73" t="str">
        <f>IF(csv!N282="","",csv!N282)</f>
        <v>0</v>
      </c>
      <c r="I292" s="31" t="s">
        <v>0</v>
      </c>
      <c r="J292" s="31" t="str">
        <f>IF(csv!P282="","",csv!P282)</f>
        <v>OK Jelen</v>
      </c>
      <c r="K292" s="31" t="str">
        <f>IF(csv!Q282="","",csv!Q282)</f>
        <v>OK Jelen</v>
      </c>
      <c r="L292" s="31" t="s">
        <v>0</v>
      </c>
      <c r="M292" s="66" t="str">
        <f>IF(csv!R282="","",csv!R282)</f>
        <v>CRO</v>
      </c>
      <c r="N292" s="47" t="s">
        <v>0</v>
      </c>
      <c r="O292" s="246" t="str">
        <f t="shared" si="388"/>
        <v>ok</v>
      </c>
      <c r="P292" s="47"/>
      <c r="Q292" s="52" t="str">
        <f t="shared" si="389"/>
        <v>Ž35</v>
      </c>
      <c r="R292" s="73">
        <f>IF(Q292="","",IF(COUNTIF(Q$12:Q291,Q292)=0,R291+1,R291))</f>
        <v>19</v>
      </c>
      <c r="S292" s="73">
        <f t="shared" si="390"/>
        <v>117</v>
      </c>
      <c r="T292" s="73">
        <f t="shared" si="353"/>
        <v>26</v>
      </c>
      <c r="U292" s="66" t="str">
        <f t="shared" si="354"/>
        <v>Ž35</v>
      </c>
      <c r="V292" s="47" t="s">
        <v>0</v>
      </c>
      <c r="W292" s="222" t="str">
        <f t="shared" si="355"/>
        <v>Ž35</v>
      </c>
      <c r="X292" s="223">
        <f t="shared" si="356"/>
        <v>41</v>
      </c>
      <c r="Y292" s="47" t="s">
        <v>0</v>
      </c>
      <c r="Z292" s="52" t="str">
        <f t="shared" si="391"/>
        <v>CRO</v>
      </c>
      <c r="AA292" s="73">
        <f t="shared" si="357"/>
        <v>1</v>
      </c>
      <c r="AB292" s="31" t="str">
        <f t="shared" si="392"/>
        <v/>
      </c>
      <c r="AC292" s="66" t="str">
        <f>IF(AB292="","",MAX(AC$12:AC291)+1)</f>
        <v/>
      </c>
      <c r="AD292" s="47" t="s">
        <v>0</v>
      </c>
      <c r="AE292" s="125"/>
      <c r="AF292" s="47" t="s">
        <v>0</v>
      </c>
      <c r="AG292" s="19" t="str">
        <f t="shared" si="393"/>
        <v/>
      </c>
      <c r="AH292" s="47" t="s">
        <v>0</v>
      </c>
      <c r="AI292" s="143" t="str">
        <f t="shared" si="394"/>
        <v>CRO</v>
      </c>
      <c r="AJ292" s="47"/>
      <c r="AK292" s="52" t="str">
        <f t="shared" si="395"/>
        <v>Martina</v>
      </c>
      <c r="AL292" s="31" t="str">
        <f t="shared" si="396"/>
        <v>Bedeković Tanković</v>
      </c>
      <c r="AM292" s="73">
        <f t="shared" si="397"/>
        <v>1473</v>
      </c>
      <c r="AN292" s="73" t="str">
        <f t="shared" si="398"/>
        <v/>
      </c>
      <c r="AO292" s="31" t="str">
        <f t="shared" si="358"/>
        <v>Martina</v>
      </c>
      <c r="AP292" s="66" t="str">
        <f t="shared" si="359"/>
        <v>Bedeković Tanković</v>
      </c>
      <c r="AQ292" s="47" t="s">
        <v>0</v>
      </c>
      <c r="AR292" s="82" t="str">
        <f t="shared" si="399"/>
        <v/>
      </c>
      <c r="AS292" s="47" t="s">
        <v>0</v>
      </c>
      <c r="AT292" s="19" t="str">
        <f t="shared" si="400"/>
        <v/>
      </c>
      <c r="AU292" s="47" t="s">
        <v>0</v>
      </c>
      <c r="AV292" s="103"/>
      <c r="AW292" s="105"/>
      <c r="AX292" s="47" t="s">
        <v>0</v>
      </c>
      <c r="AY292" s="259" t="str">
        <f t="shared" si="423"/>
        <v/>
      </c>
      <c r="AZ292" s="47" t="s">
        <v>0</v>
      </c>
      <c r="BA292" s="52" t="str">
        <f t="shared" si="360"/>
        <v/>
      </c>
      <c r="BB292" s="73" t="str">
        <f>IF(AV292&amp;AW292="","",MAX(BB$12:BB291)+1)</f>
        <v/>
      </c>
      <c r="BC292" s="272" t="str">
        <f t="shared" si="361"/>
        <v/>
      </c>
      <c r="BD292" s="53" t="str">
        <f>IF(AND(AM292="NEMA",AN292="NEMA",OR(AV292&amp;AW292="",BC292="NEMA")),MAX(BD$12:BD291)+1,"")</f>
        <v/>
      </c>
      <c r="BE292" s="47" t="s">
        <v>0</v>
      </c>
      <c r="BF292" s="52" t="str">
        <f t="shared" si="401"/>
        <v>Martina</v>
      </c>
      <c r="BG292" s="66" t="str">
        <f t="shared" si="402"/>
        <v>Bedeković Tanković</v>
      </c>
      <c r="BH292" s="47" t="s">
        <v>0</v>
      </c>
      <c r="BI292" s="52" t="str">
        <f t="shared" si="362"/>
        <v>OK Jelen</v>
      </c>
      <c r="BJ292" s="31" t="str">
        <f t="shared" si="363"/>
        <v>OK Jelen</v>
      </c>
      <c r="BK292" s="73" t="str">
        <f t="shared" si="364"/>
        <v/>
      </c>
      <c r="BL292" s="31" t="str" cm="1">
        <f t="array" ref="BL292">IF(BK292="",""&amp;BJ292,IF(BK292="NEMA",BJ292,INDEX(regKlub_naziv,MATCH(INDEX(regKlub_alias_klubId,BK292),regKlub_id,0))))</f>
        <v>OK Jelen</v>
      </c>
      <c r="BM292" s="31" t="str" cm="1">
        <f t="array" ref="BM292">IFERROR(""&amp;INDEX(regNatjecatelj_klub,DV292),"")</f>
        <v>OK Jelen</v>
      </c>
      <c r="BN292" s="88" t="str">
        <f t="shared" si="403"/>
        <v/>
      </c>
      <c r="BO292" s="66" t="str">
        <f t="shared" si="404"/>
        <v>OK Jelen</v>
      </c>
      <c r="BP292" s="47" t="s">
        <v>0</v>
      </c>
      <c r="BQ292" s="52" t="str">
        <f>IF(X292&lt;&gt;"NEMA","",IF(IFERROR(MATCH(W292,W$12:W291,0),0)&lt;&gt;0,"",W292))</f>
        <v/>
      </c>
      <c r="BR292" s="73" t="str">
        <f t="shared" si="405"/>
        <v/>
      </c>
      <c r="BS292" s="31" t="str">
        <f>IF(OR(BR292="",BR292&lt;&gt;"NEMA"),"",MAX(BS$12:BS291)+1)</f>
        <v/>
      </c>
      <c r="BT292" s="66" t="str">
        <f t="shared" si="406"/>
        <v/>
      </c>
      <c r="BU292" s="47" t="s">
        <v>0</v>
      </c>
      <c r="BV292" s="19" t="str">
        <f t="shared" si="407"/>
        <v/>
      </c>
      <c r="BW292" s="47" t="s">
        <v>0</v>
      </c>
      <c r="BX292" s="82" t="str">
        <f>IF(BK292&lt;&gt;"NEMA","",IF(IFERROR(MATCH(BJ292,BJ$12:BJ291,0),0)&lt;&gt;0,"",BJ292))</f>
        <v/>
      </c>
      <c r="BY292" s="47" t="s">
        <v>0</v>
      </c>
      <c r="BZ292" s="125"/>
      <c r="CA292" s="47" t="s">
        <v>0</v>
      </c>
      <c r="CB292" s="58" t="str">
        <f t="shared" si="408"/>
        <v/>
      </c>
      <c r="CC292" s="31" t="str">
        <f t="shared" si="409"/>
        <v/>
      </c>
      <c r="CD292" s="31" t="str">
        <f>IF(CC292="","",MAX(CD$12:CD291)+1)</f>
        <v/>
      </c>
      <c r="CE292" s="31" t="str">
        <f t="shared" si="365"/>
        <v/>
      </c>
      <c r="CF292" s="31" t="str">
        <f t="shared" si="410"/>
        <v/>
      </c>
      <c r="CG292" s="31" t="str">
        <f>IF(BZ292="","",MAX(CG$12:CG291)+1)</f>
        <v/>
      </c>
      <c r="CH292" s="31" t="str">
        <f t="shared" si="411"/>
        <v/>
      </c>
      <c r="CI292" s="66" t="str">
        <f t="shared" si="412"/>
        <v/>
      </c>
      <c r="CJ292" s="47" t="s">
        <v>0</v>
      </c>
      <c r="CK292" s="73" t="str">
        <f t="shared" si="366"/>
        <v/>
      </c>
      <c r="CL292" s="47"/>
      <c r="CM292" s="19" t="str">
        <f t="shared" si="413"/>
        <v/>
      </c>
      <c r="CN292" s="47" t="s">
        <v>0</v>
      </c>
      <c r="CO292" s="143" t="str">
        <f t="shared" si="414"/>
        <v>OK Jelen</v>
      </c>
      <c r="CP292" s="47" t="s">
        <v>0</v>
      </c>
      <c r="CQ292" s="58" t="str">
        <f t="shared" si="350"/>
        <v>45:20</v>
      </c>
      <c r="CR292" s="73" t="str">
        <f t="shared" si="351"/>
        <v>0</v>
      </c>
      <c r="CS292" s="229" t="str">
        <f t="shared" si="367"/>
        <v/>
      </c>
      <c r="CT292" s="230">
        <f t="shared" si="352"/>
        <v>2720</v>
      </c>
      <c r="CU292" s="163">
        <f t="shared" si="368"/>
        <v>1</v>
      </c>
      <c r="CV292" s="47" t="s">
        <v>0</v>
      </c>
      <c r="CW292" s="222" t="str">
        <f t="shared" si="415"/>
        <v xml:space="preserve">
</v>
      </c>
      <c r="CX292" s="223">
        <f t="shared" si="416"/>
        <v>6</v>
      </c>
      <c r="CY292" s="47" t="s">
        <v>0</v>
      </c>
      <c r="CZ292" s="47"/>
      <c r="DA292" s="47"/>
      <c r="DB292" s="47"/>
      <c r="DC292" s="47" t="s">
        <v>0</v>
      </c>
      <c r="DD292" s="53" t="str">
        <f t="shared" si="424"/>
        <v/>
      </c>
      <c r="DE292" t="s">
        <v>0</v>
      </c>
      <c r="DF292" s="128" t="str">
        <f t="shared" si="425"/>
        <v>Ž</v>
      </c>
      <c r="DG292" t="s">
        <v>0</v>
      </c>
      <c r="DH292" s="52" t="str">
        <f t="shared" si="426"/>
        <v/>
      </c>
      <c r="DI292" s="66" t="str">
        <f t="shared" si="427"/>
        <v/>
      </c>
      <c r="DJ292" t="s">
        <v>0</v>
      </c>
      <c r="DK292" s="19" t="str">
        <f t="shared" si="428"/>
        <v/>
      </c>
      <c r="DL292" s="47" t="s">
        <v>0</v>
      </c>
      <c r="DM292" s="19" t="str">
        <f t="shared" si="429"/>
        <v/>
      </c>
      <c r="DN292" s="47" t="s">
        <v>0</v>
      </c>
      <c r="DO292" s="52" t="str">
        <f t="shared" si="369"/>
        <v>Martina – Bedeković Tanković – OK Jelen – Ž35</v>
      </c>
      <c r="DP292" s="53">
        <f t="shared" si="370"/>
        <v>150</v>
      </c>
      <c r="DQ292" s="47" t="s">
        <v>0</v>
      </c>
      <c r="DR292" s="52" t="str">
        <f t="shared" si="371"/>
        <v>Martina – Bedeković Tanković – OK Jelen</v>
      </c>
      <c r="DS292" s="53">
        <f t="shared" si="372"/>
        <v>150</v>
      </c>
      <c r="DT292" s="47" t="s">
        <v>0</v>
      </c>
      <c r="DU292" s="52" t="str">
        <f t="shared" si="373"/>
        <v>Martina – Bedeković Tanković</v>
      </c>
      <c r="DV292" s="53">
        <f t="shared" si="374"/>
        <v>150</v>
      </c>
      <c r="DW292" s="47" t="s">
        <v>0</v>
      </c>
      <c r="DX292" s="58">
        <f t="shared" si="417"/>
        <v>150</v>
      </c>
      <c r="DY292" s="53" cm="1">
        <f t="array" ref="DY292">IF(DX292&lt;&gt;"",INDEX(regNatjecatelj_id,DX292,0),IF(BD292&lt;&gt;"",BD292,""))</f>
        <v>1473</v>
      </c>
      <c r="DZ292" s="47" t="s">
        <v>0</v>
      </c>
      <c r="EA292" s="58" t="str">
        <f t="shared" si="375"/>
        <v>imepre</v>
      </c>
      <c r="EB292" s="73" t="str">
        <f t="shared" si="376"/>
        <v>klu</v>
      </c>
      <c r="EC292" s="73" t="str">
        <f t="shared" si="377"/>
        <v>kat</v>
      </c>
      <c r="ED292" s="73" t="str">
        <f t="shared" si="378"/>
        <v/>
      </c>
      <c r="EE292" s="66" t="str">
        <f t="shared" si="379"/>
        <v>imepre-klu-kat</v>
      </c>
      <c r="EF292" s="47" t="s">
        <v>0</v>
      </c>
      <c r="EG292" s="58">
        <f>IF(AL292="","",MAX(EG$12:EG291)+1)</f>
        <v>442</v>
      </c>
      <c r="EH292" s="73">
        <f t="shared" si="380"/>
        <v>41</v>
      </c>
      <c r="EI292" s="73">
        <f t="shared" si="418"/>
        <v>1473</v>
      </c>
      <c r="EJ292" s="73">
        <f t="shared" si="381"/>
        <v>2720</v>
      </c>
      <c r="EK292" s="73">
        <f t="shared" si="382"/>
        <v>1</v>
      </c>
      <c r="EL292" s="73">
        <f t="shared" si="419"/>
        <v>1</v>
      </c>
      <c r="EM292" s="73">
        <f t="shared" si="420"/>
        <v>1</v>
      </c>
      <c r="EN292" s="73" t="str">
        <f t="shared" si="383"/>
        <v>0</v>
      </c>
      <c r="EO292" s="73" t="str">
        <f t="shared" si="384"/>
        <v/>
      </c>
      <c r="EP292" s="73" t="str">
        <f t="shared" si="385"/>
        <v/>
      </c>
      <c r="EQ292" s="53" t="str">
        <f t="shared" si="386"/>
        <v/>
      </c>
      <c r="ER292" s="47" t="s">
        <v>0</v>
      </c>
      <c r="ES292" s="19" t="str">
        <f t="shared" si="421"/>
        <v>INSERT INTO rezultat(id,stazakategorija_id,imeprezime_id,vrijeme_sec,status_id,registracija,uparivanje_id,originalstatus_id,imeprezimealias_id,klubalias_id,kategorijaalias_id) VALUES (442,41,1473,2720,1,1,1,0,Null,Null,Null);</v>
      </c>
      <c r="ET292" s="47" t="s">
        <v>0</v>
      </c>
      <c r="EU292" s="19" t="str">
        <f t="shared" si="422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2" s="47" t="s">
        <v>0</v>
      </c>
      <c r="EW292" s="180" t="str">
        <f t="shared" si="387"/>
        <v xml:space="preserve">
INSERT INTO rezultat(id,stazakategorija_id,imeprezime_id,vrijeme_sec,status_id,registracija,uparivanje_id,originalstatus_id,imeprezimealias_id,klubalias_id,kategorijaalias_id) VALUES (442,41,1473,2720,1,1,1,0,Null,Null,Null);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2" s="47" t="s">
        <v>0</v>
      </c>
    </row>
    <row r="293" spans="1:154" x14ac:dyDescent="0.25">
      <c r="A293" t="s">
        <v>0</v>
      </c>
      <c r="B293" s="52" t="str">
        <f>IF(csv!F283="","",csv!T283)</f>
        <v>Ž35</v>
      </c>
      <c r="C293" s="31" t="s">
        <v>0</v>
      </c>
      <c r="D293" s="31" t="str">
        <f>IF(csv!F283="","",csv!F283)</f>
        <v>Sanda</v>
      </c>
      <c r="E293" s="31" t="str">
        <f>IF(csv!E283="","",csv!E283)</f>
        <v>Berženji</v>
      </c>
      <c r="F293" s="31" t="s">
        <v>0</v>
      </c>
      <c r="G293" s="73" t="str">
        <f>IF(csv!M283="","",csv!M283)</f>
        <v>47:41</v>
      </c>
      <c r="H293" s="73" t="str">
        <f>IF(csv!N283="","",csv!N283)</f>
        <v>0</v>
      </c>
      <c r="I293" s="31" t="s">
        <v>0</v>
      </c>
      <c r="J293" s="31" t="str">
        <f>IF(csv!P283="","",csv!P283)</f>
        <v>KAP</v>
      </c>
      <c r="K293" s="31" t="str">
        <f>IF(csv!Q283="","",csv!Q283)</f>
        <v>OK Kapela</v>
      </c>
      <c r="L293" s="31" t="s">
        <v>0</v>
      </c>
      <c r="M293" s="66" t="str">
        <f>IF(csv!R283="","",csv!R283)</f>
        <v>CRO</v>
      </c>
      <c r="N293" s="47" t="s">
        <v>0</v>
      </c>
      <c r="O293" s="246" t="str">
        <f t="shared" si="388"/>
        <v>ok</v>
      </c>
      <c r="P293" s="47"/>
      <c r="Q293" s="52" t="str">
        <f t="shared" si="389"/>
        <v>Ž35</v>
      </c>
      <c r="R293" s="73">
        <f>IF(Q293="","",IF(COUNTIF(Q$12:Q292,Q293)=0,R292+1,R292))</f>
        <v>19</v>
      </c>
      <c r="S293" s="73">
        <f t="shared" si="390"/>
        <v>117</v>
      </c>
      <c r="T293" s="73">
        <f t="shared" si="353"/>
        <v>26</v>
      </c>
      <c r="U293" s="66" t="str">
        <f t="shared" si="354"/>
        <v>Ž35</v>
      </c>
      <c r="V293" s="47" t="s">
        <v>0</v>
      </c>
      <c r="W293" s="222" t="str">
        <f t="shared" si="355"/>
        <v>Ž35</v>
      </c>
      <c r="X293" s="223">
        <f t="shared" si="356"/>
        <v>41</v>
      </c>
      <c r="Y293" s="47" t="s">
        <v>0</v>
      </c>
      <c r="Z293" s="52" t="str">
        <f t="shared" si="391"/>
        <v>CRO</v>
      </c>
      <c r="AA293" s="73">
        <f t="shared" si="357"/>
        <v>1</v>
      </c>
      <c r="AB293" s="31" t="str">
        <f t="shared" si="392"/>
        <v/>
      </c>
      <c r="AC293" s="66" t="str">
        <f>IF(AB293="","",MAX(AC$12:AC292)+1)</f>
        <v/>
      </c>
      <c r="AD293" s="47" t="s">
        <v>0</v>
      </c>
      <c r="AE293" s="125"/>
      <c r="AF293" s="47" t="s">
        <v>0</v>
      </c>
      <c r="AG293" s="19" t="str">
        <f t="shared" si="393"/>
        <v/>
      </c>
      <c r="AH293" s="47" t="s">
        <v>0</v>
      </c>
      <c r="AI293" s="143" t="str">
        <f t="shared" si="394"/>
        <v>CRO</v>
      </c>
      <c r="AJ293" s="47"/>
      <c r="AK293" s="52" t="str">
        <f t="shared" si="395"/>
        <v>Sanda</v>
      </c>
      <c r="AL293" s="31" t="str">
        <f t="shared" si="396"/>
        <v>Berženji</v>
      </c>
      <c r="AM293" s="73">
        <f t="shared" si="397"/>
        <v>1368</v>
      </c>
      <c r="AN293" s="73" t="str">
        <f t="shared" si="398"/>
        <v/>
      </c>
      <c r="AO293" s="31" t="str">
        <f t="shared" si="358"/>
        <v>Sanda</v>
      </c>
      <c r="AP293" s="66" t="str">
        <f t="shared" si="359"/>
        <v>Berženji</v>
      </c>
      <c r="AQ293" s="47" t="s">
        <v>0</v>
      </c>
      <c r="AR293" s="82" t="str">
        <f t="shared" si="399"/>
        <v/>
      </c>
      <c r="AS293" s="47" t="s">
        <v>0</v>
      </c>
      <c r="AT293" s="19" t="str">
        <f t="shared" si="400"/>
        <v/>
      </c>
      <c r="AU293" s="47" t="s">
        <v>0</v>
      </c>
      <c r="AV293" s="103"/>
      <c r="AW293" s="105"/>
      <c r="AX293" s="47" t="s">
        <v>0</v>
      </c>
      <c r="AY293" s="259" t="str">
        <f t="shared" si="423"/>
        <v/>
      </c>
      <c r="AZ293" s="47" t="s">
        <v>0</v>
      </c>
      <c r="BA293" s="52" t="str">
        <f t="shared" si="360"/>
        <v/>
      </c>
      <c r="BB293" s="73" t="str">
        <f>IF(AV293&amp;AW293="","",MAX(BB$12:BB292)+1)</f>
        <v/>
      </c>
      <c r="BC293" s="272" t="str">
        <f t="shared" si="361"/>
        <v/>
      </c>
      <c r="BD293" s="53" t="str">
        <f>IF(AND(AM293="NEMA",AN293="NEMA",OR(AV293&amp;AW293="",BC293="NEMA")),MAX(BD$12:BD292)+1,"")</f>
        <v/>
      </c>
      <c r="BE293" s="47" t="s">
        <v>0</v>
      </c>
      <c r="BF293" s="52" t="str">
        <f t="shared" si="401"/>
        <v>Sanda</v>
      </c>
      <c r="BG293" s="66" t="str">
        <f t="shared" si="402"/>
        <v>Berženji</v>
      </c>
      <c r="BH293" s="47" t="s">
        <v>0</v>
      </c>
      <c r="BI293" s="52" t="str">
        <f t="shared" si="362"/>
        <v>KAP</v>
      </c>
      <c r="BJ293" s="31" t="str">
        <f t="shared" si="363"/>
        <v>OK Kapela</v>
      </c>
      <c r="BK293" s="73" t="str">
        <f t="shared" si="364"/>
        <v/>
      </c>
      <c r="BL293" s="31" t="str" cm="1">
        <f t="array" ref="BL293">IF(BK293="",""&amp;BJ293,IF(BK293="NEMA",BJ293,INDEX(regKlub_naziv,MATCH(INDEX(regKlub_alias_klubId,BK293),regKlub_id,0))))</f>
        <v>OK Kapela</v>
      </c>
      <c r="BM293" s="31" t="str" cm="1">
        <f t="array" ref="BM293">IFERROR(""&amp;INDEX(regNatjecatelj_klub,DV293),"")</f>
        <v>OK Kapela</v>
      </c>
      <c r="BN293" s="88" t="str">
        <f t="shared" si="403"/>
        <v/>
      </c>
      <c r="BO293" s="66" t="str">
        <f t="shared" si="404"/>
        <v>OK Kapela</v>
      </c>
      <c r="BP293" s="47" t="s">
        <v>0</v>
      </c>
      <c r="BQ293" s="52" t="str">
        <f>IF(X293&lt;&gt;"NEMA","",IF(IFERROR(MATCH(W293,W$12:W292,0),0)&lt;&gt;0,"",W293))</f>
        <v/>
      </c>
      <c r="BR293" s="73" t="str">
        <f t="shared" si="405"/>
        <v/>
      </c>
      <c r="BS293" s="31" t="str">
        <f>IF(OR(BR293="",BR293&lt;&gt;"NEMA"),"",MAX(BS$12:BS292)+1)</f>
        <v/>
      </c>
      <c r="BT293" s="66" t="str">
        <f t="shared" si="406"/>
        <v/>
      </c>
      <c r="BU293" s="47" t="s">
        <v>0</v>
      </c>
      <c r="BV293" s="19" t="str">
        <f t="shared" si="407"/>
        <v/>
      </c>
      <c r="BW293" s="47" t="s">
        <v>0</v>
      </c>
      <c r="BX293" s="82" t="str">
        <f>IF(BK293&lt;&gt;"NEMA","",IF(IFERROR(MATCH(BJ293,BJ$12:BJ292,0),0)&lt;&gt;0,"",BJ293))</f>
        <v/>
      </c>
      <c r="BY293" s="47" t="s">
        <v>0</v>
      </c>
      <c r="BZ293" s="125"/>
      <c r="CA293" s="47" t="s">
        <v>0</v>
      </c>
      <c r="CB293" s="58" t="str">
        <f t="shared" si="408"/>
        <v/>
      </c>
      <c r="CC293" s="31" t="str">
        <f t="shared" si="409"/>
        <v/>
      </c>
      <c r="CD293" s="31" t="str">
        <f>IF(CC293="","",MAX(CD$12:CD292)+1)</f>
        <v/>
      </c>
      <c r="CE293" s="31" t="str">
        <f t="shared" si="365"/>
        <v/>
      </c>
      <c r="CF293" s="31" t="str">
        <f t="shared" si="410"/>
        <v/>
      </c>
      <c r="CG293" s="31" t="str">
        <f>IF(BZ293="","",MAX(CG$12:CG292)+1)</f>
        <v/>
      </c>
      <c r="CH293" s="31" t="str">
        <f t="shared" si="411"/>
        <v/>
      </c>
      <c r="CI293" s="66" t="str">
        <f t="shared" si="412"/>
        <v/>
      </c>
      <c r="CJ293" s="47" t="s">
        <v>0</v>
      </c>
      <c r="CK293" s="73" t="str">
        <f t="shared" si="366"/>
        <v/>
      </c>
      <c r="CL293" s="47"/>
      <c r="CM293" s="19" t="str">
        <f t="shared" si="413"/>
        <v/>
      </c>
      <c r="CN293" s="47" t="s">
        <v>0</v>
      </c>
      <c r="CO293" s="143" t="str">
        <f t="shared" si="414"/>
        <v>OK Kapela</v>
      </c>
      <c r="CP293" s="47" t="s">
        <v>0</v>
      </c>
      <c r="CQ293" s="58" t="str">
        <f t="shared" si="350"/>
        <v>47:41</v>
      </c>
      <c r="CR293" s="73" t="str">
        <f t="shared" si="351"/>
        <v>0</v>
      </c>
      <c r="CS293" s="229" t="str">
        <f t="shared" si="367"/>
        <v/>
      </c>
      <c r="CT293" s="230">
        <f t="shared" si="352"/>
        <v>2861</v>
      </c>
      <c r="CU293" s="163">
        <f t="shared" si="368"/>
        <v>1</v>
      </c>
      <c r="CV293" s="47" t="s">
        <v>0</v>
      </c>
      <c r="CW293" s="222" t="str">
        <f t="shared" si="415"/>
        <v xml:space="preserve">
</v>
      </c>
      <c r="CX293" s="223">
        <f t="shared" si="416"/>
        <v>6</v>
      </c>
      <c r="CY293" s="47" t="s">
        <v>0</v>
      </c>
      <c r="CZ293" s="47"/>
      <c r="DA293" s="47"/>
      <c r="DB293" s="47"/>
      <c r="DC293" s="47" t="s">
        <v>0</v>
      </c>
      <c r="DD293" s="53" t="str">
        <f t="shared" si="424"/>
        <v/>
      </c>
      <c r="DE293" t="s">
        <v>0</v>
      </c>
      <c r="DF293" s="128" t="str">
        <f t="shared" si="425"/>
        <v>Ž</v>
      </c>
      <c r="DG293" t="s">
        <v>0</v>
      </c>
      <c r="DH293" s="52" t="str">
        <f t="shared" si="426"/>
        <v/>
      </c>
      <c r="DI293" s="66" t="str">
        <f t="shared" si="427"/>
        <v/>
      </c>
      <c r="DJ293" t="s">
        <v>0</v>
      </c>
      <c r="DK293" s="19" t="str">
        <f t="shared" si="428"/>
        <v/>
      </c>
      <c r="DL293" s="47" t="s">
        <v>0</v>
      </c>
      <c r="DM293" s="19" t="str">
        <f t="shared" si="429"/>
        <v/>
      </c>
      <c r="DN293" s="47" t="s">
        <v>0</v>
      </c>
      <c r="DO293" s="52" t="str">
        <f t="shared" si="369"/>
        <v>Sanda – Berženji – OK Kapela – Ž35</v>
      </c>
      <c r="DP293" s="53">
        <f t="shared" si="370"/>
        <v>212</v>
      </c>
      <c r="DQ293" s="47" t="s">
        <v>0</v>
      </c>
      <c r="DR293" s="52" t="str">
        <f t="shared" si="371"/>
        <v>Sanda – Berženji – OK Kapela</v>
      </c>
      <c r="DS293" s="53">
        <f t="shared" si="372"/>
        <v>212</v>
      </c>
      <c r="DT293" s="47" t="s">
        <v>0</v>
      </c>
      <c r="DU293" s="52" t="str">
        <f t="shared" si="373"/>
        <v>Sanda – Berženji</v>
      </c>
      <c r="DV293" s="53">
        <f t="shared" si="374"/>
        <v>212</v>
      </c>
      <c r="DW293" s="47" t="s">
        <v>0</v>
      </c>
      <c r="DX293" s="58">
        <f t="shared" si="417"/>
        <v>212</v>
      </c>
      <c r="DY293" s="53" cm="1">
        <f t="array" ref="DY293">IF(DX293&lt;&gt;"",INDEX(regNatjecatelj_id,DX293,0),IF(BD293&lt;&gt;"",BD293,""))</f>
        <v>1368</v>
      </c>
      <c r="DZ293" s="47" t="s">
        <v>0</v>
      </c>
      <c r="EA293" s="58" t="str">
        <f t="shared" si="375"/>
        <v>imepre</v>
      </c>
      <c r="EB293" s="73" t="str">
        <f t="shared" si="376"/>
        <v>klu</v>
      </c>
      <c r="EC293" s="73" t="str">
        <f t="shared" si="377"/>
        <v>kat</v>
      </c>
      <c r="ED293" s="73" t="str">
        <f t="shared" si="378"/>
        <v/>
      </c>
      <c r="EE293" s="66" t="str">
        <f t="shared" si="379"/>
        <v>imepre-klu-kat</v>
      </c>
      <c r="EF293" s="47" t="s">
        <v>0</v>
      </c>
      <c r="EG293" s="58">
        <f>IF(AL293="","",MAX(EG$12:EG292)+1)</f>
        <v>443</v>
      </c>
      <c r="EH293" s="73">
        <f t="shared" si="380"/>
        <v>41</v>
      </c>
      <c r="EI293" s="73">
        <f t="shared" si="418"/>
        <v>1368</v>
      </c>
      <c r="EJ293" s="73">
        <f t="shared" si="381"/>
        <v>2861</v>
      </c>
      <c r="EK293" s="73">
        <f t="shared" si="382"/>
        <v>1</v>
      </c>
      <c r="EL293" s="73">
        <f t="shared" si="419"/>
        <v>1</v>
      </c>
      <c r="EM293" s="73">
        <f t="shared" si="420"/>
        <v>1</v>
      </c>
      <c r="EN293" s="73" t="str">
        <f t="shared" si="383"/>
        <v>0</v>
      </c>
      <c r="EO293" s="73" t="str">
        <f t="shared" si="384"/>
        <v/>
      </c>
      <c r="EP293" s="73" t="str">
        <f t="shared" si="385"/>
        <v/>
      </c>
      <c r="EQ293" s="53" t="str">
        <f t="shared" si="386"/>
        <v/>
      </c>
      <c r="ER293" s="47" t="s">
        <v>0</v>
      </c>
      <c r="ES293" s="19" t="str">
        <f t="shared" si="421"/>
        <v>INSERT INTO rezultat(id,stazakategorija_id,imeprezime_id,vrijeme_sec,status_id,registracija,uparivanje_id,originalstatus_id,imeprezimealias_id,klubalias_id,kategorijaalias_id) VALUES (443,41,1368,2861,1,1,1,0,Null,Null,Null);</v>
      </c>
      <c r="ET293" s="47" t="s">
        <v>0</v>
      </c>
      <c r="EU293" s="19" t="str">
        <f t="shared" si="422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3" s="47" t="s">
        <v>0</v>
      </c>
      <c r="EW293" s="180" t="str">
        <f t="shared" si="387"/>
        <v xml:space="preserve">
INSERT INTO rezultat(id,stazakategorija_id,imeprezime_id,vrijeme_sec,status_id,registracija,uparivanje_id,originalstatus_id,imeprezimealias_id,klubalias_id,kategorijaalias_id) VALUES (443,41,1368,2861,1,1,1,0,Null,Null,Null);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3" s="47" t="s">
        <v>0</v>
      </c>
    </row>
    <row r="294" spans="1:154" x14ac:dyDescent="0.25">
      <c r="A294" t="s">
        <v>0</v>
      </c>
      <c r="B294" s="52" t="str">
        <f>IF(csv!F284="","",csv!T284)</f>
        <v>Ž35</v>
      </c>
      <c r="C294" s="31" t="s">
        <v>0</v>
      </c>
      <c r="D294" s="31" t="str">
        <f>IF(csv!F284="","",csv!F284)</f>
        <v>Antea</v>
      </c>
      <c r="E294" s="31" t="str">
        <f>IF(csv!E284="","",csv!E284)</f>
        <v>Popović</v>
      </c>
      <c r="F294" s="31" t="s">
        <v>0</v>
      </c>
      <c r="G294" s="73" t="str">
        <f>IF(csv!M284="","",csv!M284)</f>
        <v>51:11</v>
      </c>
      <c r="H294" s="73" t="str">
        <f>IF(csv!N284="","",csv!N284)</f>
        <v>0</v>
      </c>
      <c r="I294" s="31" t="s">
        <v>0</v>
      </c>
      <c r="J294" s="31" t="str">
        <f>IF(csv!P284="","",csv!P284)</f>
        <v>KAP</v>
      </c>
      <c r="K294" s="31" t="str">
        <f>IF(csv!Q284="","",csv!Q284)</f>
        <v>OK Kapela</v>
      </c>
      <c r="L294" s="31" t="s">
        <v>0</v>
      </c>
      <c r="M294" s="66" t="str">
        <f>IF(csv!R284="","",csv!R284)</f>
        <v>CRO</v>
      </c>
      <c r="N294" s="47" t="s">
        <v>0</v>
      </c>
      <c r="O294" s="246" t="str">
        <f t="shared" si="388"/>
        <v>ok</v>
      </c>
      <c r="P294" s="47"/>
      <c r="Q294" s="52" t="str">
        <f t="shared" si="389"/>
        <v>Ž35</v>
      </c>
      <c r="R294" s="73">
        <f>IF(Q294="","",IF(COUNTIF(Q$12:Q293,Q294)=0,R293+1,R293))</f>
        <v>19</v>
      </c>
      <c r="S294" s="73">
        <f t="shared" si="390"/>
        <v>117</v>
      </c>
      <c r="T294" s="73">
        <f t="shared" si="353"/>
        <v>26</v>
      </c>
      <c r="U294" s="66" t="str">
        <f t="shared" si="354"/>
        <v>Ž35</v>
      </c>
      <c r="V294" s="47" t="s">
        <v>0</v>
      </c>
      <c r="W294" s="222" t="str">
        <f t="shared" si="355"/>
        <v>Ž35</v>
      </c>
      <c r="X294" s="223">
        <f t="shared" si="356"/>
        <v>41</v>
      </c>
      <c r="Y294" s="47" t="s">
        <v>0</v>
      </c>
      <c r="Z294" s="52" t="str">
        <f t="shared" si="391"/>
        <v>CRO</v>
      </c>
      <c r="AA294" s="73">
        <f t="shared" si="357"/>
        <v>1</v>
      </c>
      <c r="AB294" s="31" t="str">
        <f t="shared" si="392"/>
        <v/>
      </c>
      <c r="AC294" s="66" t="str">
        <f>IF(AB294="","",MAX(AC$12:AC293)+1)</f>
        <v/>
      </c>
      <c r="AD294" s="47" t="s">
        <v>0</v>
      </c>
      <c r="AE294" s="125"/>
      <c r="AF294" s="47" t="s">
        <v>0</v>
      </c>
      <c r="AG294" s="19" t="str">
        <f t="shared" si="393"/>
        <v/>
      </c>
      <c r="AH294" s="47" t="s">
        <v>0</v>
      </c>
      <c r="AI294" s="143" t="str">
        <f t="shared" si="394"/>
        <v>CRO</v>
      </c>
      <c r="AJ294" s="47"/>
      <c r="AK294" s="52" t="str">
        <f t="shared" si="395"/>
        <v>Antea</v>
      </c>
      <c r="AL294" s="31" t="str">
        <f t="shared" si="396"/>
        <v>Popović</v>
      </c>
      <c r="AM294" s="73">
        <f t="shared" si="397"/>
        <v>1222</v>
      </c>
      <c r="AN294" s="73" t="str">
        <f t="shared" si="398"/>
        <v/>
      </c>
      <c r="AO294" s="31" t="str">
        <f t="shared" si="358"/>
        <v>Antea</v>
      </c>
      <c r="AP294" s="66" t="str">
        <f t="shared" si="359"/>
        <v>Popović</v>
      </c>
      <c r="AQ294" s="47" t="s">
        <v>0</v>
      </c>
      <c r="AR294" s="82" t="str">
        <f t="shared" si="399"/>
        <v/>
      </c>
      <c r="AS294" s="47" t="s">
        <v>0</v>
      </c>
      <c r="AT294" s="19" t="str">
        <f t="shared" si="400"/>
        <v/>
      </c>
      <c r="AU294" s="47" t="s">
        <v>0</v>
      </c>
      <c r="AV294" s="103"/>
      <c r="AW294" s="105"/>
      <c r="AX294" s="47" t="s">
        <v>0</v>
      </c>
      <c r="AY294" s="259" t="str">
        <f t="shared" si="423"/>
        <v/>
      </c>
      <c r="AZ294" s="47" t="s">
        <v>0</v>
      </c>
      <c r="BA294" s="52" t="str">
        <f t="shared" si="360"/>
        <v/>
      </c>
      <c r="BB294" s="73" t="str">
        <f>IF(AV294&amp;AW294="","",MAX(BB$12:BB293)+1)</f>
        <v/>
      </c>
      <c r="BC294" s="272" t="str">
        <f t="shared" si="361"/>
        <v/>
      </c>
      <c r="BD294" s="53" t="str">
        <f>IF(AND(AM294="NEMA",AN294="NEMA",OR(AV294&amp;AW294="",BC294="NEMA")),MAX(BD$12:BD293)+1,"")</f>
        <v/>
      </c>
      <c r="BE294" s="47" t="s">
        <v>0</v>
      </c>
      <c r="BF294" s="52" t="str">
        <f t="shared" si="401"/>
        <v>Antea</v>
      </c>
      <c r="BG294" s="66" t="str">
        <f t="shared" si="402"/>
        <v>Popović</v>
      </c>
      <c r="BH294" s="47" t="s">
        <v>0</v>
      </c>
      <c r="BI294" s="52" t="str">
        <f t="shared" si="362"/>
        <v>KAP</v>
      </c>
      <c r="BJ294" s="31" t="str">
        <f t="shared" si="363"/>
        <v>OK Kapela</v>
      </c>
      <c r="BK294" s="73" t="str">
        <f t="shared" si="364"/>
        <v/>
      </c>
      <c r="BL294" s="31" t="str" cm="1">
        <f t="array" ref="BL294">IF(BK294="",""&amp;BJ294,IF(BK294="NEMA",BJ294,INDEX(regKlub_naziv,MATCH(INDEX(regKlub_alias_klubId,BK294),regKlub_id,0))))</f>
        <v>OK Kapela</v>
      </c>
      <c r="BM294" s="31" t="str" cm="1">
        <f t="array" ref="BM294">IFERROR(""&amp;INDEX(regNatjecatelj_klub,DV294),"")</f>
        <v>OK Kapela</v>
      </c>
      <c r="BN294" s="88" t="str">
        <f t="shared" si="403"/>
        <v/>
      </c>
      <c r="BO294" s="66" t="str">
        <f t="shared" si="404"/>
        <v>OK Kapela</v>
      </c>
      <c r="BP294" s="47" t="s">
        <v>0</v>
      </c>
      <c r="BQ294" s="52" t="str">
        <f>IF(X294&lt;&gt;"NEMA","",IF(IFERROR(MATCH(W294,W$12:W293,0),0)&lt;&gt;0,"",W294))</f>
        <v/>
      </c>
      <c r="BR294" s="73" t="str">
        <f t="shared" si="405"/>
        <v/>
      </c>
      <c r="BS294" s="31" t="str">
        <f>IF(OR(BR294="",BR294&lt;&gt;"NEMA"),"",MAX(BS$12:BS293)+1)</f>
        <v/>
      </c>
      <c r="BT294" s="66" t="str">
        <f t="shared" si="406"/>
        <v/>
      </c>
      <c r="BU294" s="47" t="s">
        <v>0</v>
      </c>
      <c r="BV294" s="19" t="str">
        <f t="shared" si="407"/>
        <v/>
      </c>
      <c r="BW294" s="47" t="s">
        <v>0</v>
      </c>
      <c r="BX294" s="82" t="str">
        <f>IF(BK294&lt;&gt;"NEMA","",IF(IFERROR(MATCH(BJ294,BJ$12:BJ293,0),0)&lt;&gt;0,"",BJ294))</f>
        <v/>
      </c>
      <c r="BY294" s="47" t="s">
        <v>0</v>
      </c>
      <c r="BZ294" s="125"/>
      <c r="CA294" s="47" t="s">
        <v>0</v>
      </c>
      <c r="CB294" s="58" t="str">
        <f t="shared" si="408"/>
        <v/>
      </c>
      <c r="CC294" s="31" t="str">
        <f t="shared" si="409"/>
        <v/>
      </c>
      <c r="CD294" s="31" t="str">
        <f>IF(CC294="","",MAX(CD$12:CD293)+1)</f>
        <v/>
      </c>
      <c r="CE294" s="31" t="str">
        <f t="shared" si="365"/>
        <v/>
      </c>
      <c r="CF294" s="31" t="str">
        <f t="shared" si="410"/>
        <v/>
      </c>
      <c r="CG294" s="31" t="str">
        <f>IF(BZ294="","",MAX(CG$12:CG293)+1)</f>
        <v/>
      </c>
      <c r="CH294" s="31" t="str">
        <f t="shared" si="411"/>
        <v/>
      </c>
      <c r="CI294" s="66" t="str">
        <f t="shared" si="412"/>
        <v/>
      </c>
      <c r="CJ294" s="47" t="s">
        <v>0</v>
      </c>
      <c r="CK294" s="73" t="str">
        <f t="shared" si="366"/>
        <v/>
      </c>
      <c r="CL294" s="47"/>
      <c r="CM294" s="19" t="str">
        <f t="shared" si="413"/>
        <v/>
      </c>
      <c r="CN294" s="47" t="s">
        <v>0</v>
      </c>
      <c r="CO294" s="143" t="str">
        <f t="shared" si="414"/>
        <v>OK Kapela</v>
      </c>
      <c r="CP294" s="47" t="s">
        <v>0</v>
      </c>
      <c r="CQ294" s="58" t="str">
        <f t="shared" si="350"/>
        <v>51:11</v>
      </c>
      <c r="CR294" s="73" t="str">
        <f t="shared" si="351"/>
        <v>0</v>
      </c>
      <c r="CS294" s="229" t="str">
        <f t="shared" si="367"/>
        <v/>
      </c>
      <c r="CT294" s="230">
        <f t="shared" si="352"/>
        <v>3071</v>
      </c>
      <c r="CU294" s="163">
        <f t="shared" si="368"/>
        <v>1</v>
      </c>
      <c r="CV294" s="47" t="s">
        <v>0</v>
      </c>
      <c r="CW294" s="222" t="str">
        <f t="shared" si="415"/>
        <v xml:space="preserve">
</v>
      </c>
      <c r="CX294" s="223">
        <f t="shared" si="416"/>
        <v>6</v>
      </c>
      <c r="CY294" s="47" t="s">
        <v>0</v>
      </c>
      <c r="CZ294" s="47"/>
      <c r="DA294" s="47"/>
      <c r="DB294" s="47"/>
      <c r="DC294" s="47" t="s">
        <v>0</v>
      </c>
      <c r="DD294" s="53" t="str">
        <f t="shared" si="424"/>
        <v/>
      </c>
      <c r="DE294" t="s">
        <v>0</v>
      </c>
      <c r="DF294" s="128" t="str">
        <f t="shared" si="425"/>
        <v>Ž</v>
      </c>
      <c r="DG294" t="s">
        <v>0</v>
      </c>
      <c r="DH294" s="52" t="str">
        <f t="shared" si="426"/>
        <v/>
      </c>
      <c r="DI294" s="66" t="str">
        <f t="shared" si="427"/>
        <v/>
      </c>
      <c r="DJ294" t="s">
        <v>0</v>
      </c>
      <c r="DK294" s="19" t="str">
        <f t="shared" si="428"/>
        <v/>
      </c>
      <c r="DL294" s="47" t="s">
        <v>0</v>
      </c>
      <c r="DM294" s="19" t="str">
        <f t="shared" si="429"/>
        <v/>
      </c>
      <c r="DN294" s="47" t="s">
        <v>0</v>
      </c>
      <c r="DO294" s="52" t="str">
        <f t="shared" si="369"/>
        <v>Antea – Popović – OK Kapela – Ž35</v>
      </c>
      <c r="DP294" s="53">
        <f t="shared" si="370"/>
        <v>297</v>
      </c>
      <c r="DQ294" s="47" t="s">
        <v>0</v>
      </c>
      <c r="DR294" s="52" t="str">
        <f t="shared" si="371"/>
        <v>Antea – Popović – OK Kapela</v>
      </c>
      <c r="DS294" s="53">
        <f t="shared" si="372"/>
        <v>297</v>
      </c>
      <c r="DT294" s="47" t="s">
        <v>0</v>
      </c>
      <c r="DU294" s="52" t="str">
        <f t="shared" si="373"/>
        <v>Antea – Popović</v>
      </c>
      <c r="DV294" s="53">
        <f t="shared" si="374"/>
        <v>297</v>
      </c>
      <c r="DW294" s="47" t="s">
        <v>0</v>
      </c>
      <c r="DX294" s="58">
        <f t="shared" si="417"/>
        <v>297</v>
      </c>
      <c r="DY294" s="53" cm="1">
        <f t="array" ref="DY294">IF(DX294&lt;&gt;"",INDEX(regNatjecatelj_id,DX294,0),IF(BD294&lt;&gt;"",BD294,""))</f>
        <v>1222</v>
      </c>
      <c r="DZ294" s="47" t="s">
        <v>0</v>
      </c>
      <c r="EA294" s="58" t="str">
        <f t="shared" si="375"/>
        <v>imepre</v>
      </c>
      <c r="EB294" s="73" t="str">
        <f t="shared" si="376"/>
        <v>klu</v>
      </c>
      <c r="EC294" s="73" t="str">
        <f t="shared" si="377"/>
        <v>kat</v>
      </c>
      <c r="ED294" s="73" t="str">
        <f t="shared" si="378"/>
        <v/>
      </c>
      <c r="EE294" s="66" t="str">
        <f t="shared" si="379"/>
        <v>imepre-klu-kat</v>
      </c>
      <c r="EF294" s="47" t="s">
        <v>0</v>
      </c>
      <c r="EG294" s="58">
        <f>IF(AL294="","",MAX(EG$12:EG293)+1)</f>
        <v>444</v>
      </c>
      <c r="EH294" s="73">
        <f t="shared" si="380"/>
        <v>41</v>
      </c>
      <c r="EI294" s="73">
        <f t="shared" si="418"/>
        <v>1222</v>
      </c>
      <c r="EJ294" s="73">
        <f t="shared" si="381"/>
        <v>3071</v>
      </c>
      <c r="EK294" s="73">
        <f t="shared" si="382"/>
        <v>1</v>
      </c>
      <c r="EL294" s="73">
        <f t="shared" si="419"/>
        <v>1</v>
      </c>
      <c r="EM294" s="73">
        <f t="shared" si="420"/>
        <v>1</v>
      </c>
      <c r="EN294" s="73" t="str">
        <f t="shared" si="383"/>
        <v>0</v>
      </c>
      <c r="EO294" s="73" t="str">
        <f t="shared" si="384"/>
        <v/>
      </c>
      <c r="EP294" s="73" t="str">
        <f t="shared" si="385"/>
        <v/>
      </c>
      <c r="EQ294" s="53" t="str">
        <f t="shared" si="386"/>
        <v/>
      </c>
      <c r="ER294" s="47" t="s">
        <v>0</v>
      </c>
      <c r="ES294" s="19" t="str">
        <f t="shared" si="421"/>
        <v>INSERT INTO rezultat(id,stazakategorija_id,imeprezime_id,vrijeme_sec,status_id,registracija,uparivanje_id,originalstatus_id,imeprezimealias_id,klubalias_id,kategorijaalias_id) VALUES (444,41,1222,3071,1,1,1,0,Null,Null,Null);</v>
      </c>
      <c r="ET294" s="47" t="s">
        <v>0</v>
      </c>
      <c r="EU294" s="19" t="str">
        <f t="shared" si="422"/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4" s="47" t="s">
        <v>0</v>
      </c>
      <c r="EW294" s="180" t="str">
        <f t="shared" si="387"/>
        <v xml:space="preserve">
INSERT INTO rezultat(id,stazakategorija_id,imeprezime_id,vrijeme_sec,status_id,registracija,uparivanje_id,originalstatus_id,imeprezimealias_id,klubalias_id,kategorijaalias_id) VALUES (444,41,1222,3071,1,1,1,0,Null,Null,Null);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4" s="47" t="s">
        <v>0</v>
      </c>
    </row>
    <row r="295" spans="1:154" x14ac:dyDescent="0.25">
      <c r="A295" t="s">
        <v>0</v>
      </c>
      <c r="B295" s="52" t="str">
        <f>IF(csv!F285="","",csv!T285)</f>
        <v>Ž35</v>
      </c>
      <c r="C295" s="31" t="s">
        <v>0</v>
      </c>
      <c r="D295" s="31" t="str">
        <f>IF(csv!F285="","",csv!F285)</f>
        <v>Fabiana</v>
      </c>
      <c r="E295" s="31" t="str">
        <f>IF(csv!E285="","",csv!E285)</f>
        <v>Cini</v>
      </c>
      <c r="F295" s="31" t="s">
        <v>0</v>
      </c>
      <c r="G295" s="73" t="str">
        <f>IF(csv!M285="","",csv!M285)</f>
        <v>52:40</v>
      </c>
      <c r="H295" s="73" t="str">
        <f>IF(csv!N285="","",csv!N285)</f>
        <v>0</v>
      </c>
      <c r="I295" s="31" t="s">
        <v>0</v>
      </c>
      <c r="J295" s="31" t="str">
        <f>IF(csv!P285="","",csv!P285)</f>
        <v>Maksimir</v>
      </c>
      <c r="K295" s="31" t="str">
        <f>IF(csv!Q285="","",csv!Q285)</f>
        <v>OK Maksimir</v>
      </c>
      <c r="L295" s="31" t="s">
        <v>0</v>
      </c>
      <c r="M295" s="66" t="str">
        <f>IF(csv!R285="","",csv!R285)</f>
        <v>CRO</v>
      </c>
      <c r="N295" s="47" t="s">
        <v>0</v>
      </c>
      <c r="O295" s="246" t="str">
        <f t="shared" si="388"/>
        <v>ok</v>
      </c>
      <c r="P295" s="47"/>
      <c r="Q295" s="52" t="str">
        <f t="shared" si="389"/>
        <v>Ž35</v>
      </c>
      <c r="R295" s="73">
        <f>IF(Q295="","",IF(COUNTIF(Q$12:Q294,Q295)=0,R294+1,R294))</f>
        <v>19</v>
      </c>
      <c r="S295" s="73">
        <f t="shared" si="390"/>
        <v>117</v>
      </c>
      <c r="T295" s="73">
        <f t="shared" si="353"/>
        <v>26</v>
      </c>
      <c r="U295" s="66" t="str">
        <f t="shared" si="354"/>
        <v>Ž35</v>
      </c>
      <c r="V295" s="47" t="s">
        <v>0</v>
      </c>
      <c r="W295" s="222" t="str">
        <f t="shared" si="355"/>
        <v>Ž35</v>
      </c>
      <c r="X295" s="223">
        <f t="shared" si="356"/>
        <v>41</v>
      </c>
      <c r="Y295" s="47" t="s">
        <v>0</v>
      </c>
      <c r="Z295" s="52" t="str">
        <f t="shared" si="391"/>
        <v>CRO</v>
      </c>
      <c r="AA295" s="73">
        <f t="shared" si="357"/>
        <v>1</v>
      </c>
      <c r="AB295" s="31" t="str">
        <f t="shared" si="392"/>
        <v/>
      </c>
      <c r="AC295" s="66" t="str">
        <f>IF(AB295="","",MAX(AC$12:AC294)+1)</f>
        <v/>
      </c>
      <c r="AD295" s="47" t="s">
        <v>0</v>
      </c>
      <c r="AE295" s="125"/>
      <c r="AF295" s="47" t="s">
        <v>0</v>
      </c>
      <c r="AG295" s="19" t="str">
        <f t="shared" si="393"/>
        <v/>
      </c>
      <c r="AH295" s="47" t="s">
        <v>0</v>
      </c>
      <c r="AI295" s="143" t="str">
        <f t="shared" si="394"/>
        <v>CRO</v>
      </c>
      <c r="AJ295" s="47"/>
      <c r="AK295" s="52" t="str">
        <f t="shared" si="395"/>
        <v>Fabiana</v>
      </c>
      <c r="AL295" s="31" t="str">
        <f t="shared" si="396"/>
        <v>Cini</v>
      </c>
      <c r="AM295" s="73">
        <f t="shared" si="397"/>
        <v>1062</v>
      </c>
      <c r="AN295" s="73" t="str">
        <f t="shared" si="398"/>
        <v/>
      </c>
      <c r="AO295" s="31" t="str">
        <f t="shared" si="358"/>
        <v>Fabiana</v>
      </c>
      <c r="AP295" s="66" t="str">
        <f t="shared" si="359"/>
        <v>Cini</v>
      </c>
      <c r="AQ295" s="47" t="s">
        <v>0</v>
      </c>
      <c r="AR295" s="82" t="str">
        <f t="shared" si="399"/>
        <v/>
      </c>
      <c r="AS295" s="47" t="s">
        <v>0</v>
      </c>
      <c r="AT295" s="19" t="str">
        <f t="shared" si="400"/>
        <v/>
      </c>
      <c r="AU295" s="47" t="s">
        <v>0</v>
      </c>
      <c r="AV295" s="103"/>
      <c r="AW295" s="105"/>
      <c r="AX295" s="47" t="s">
        <v>0</v>
      </c>
      <c r="AY295" s="259" t="str">
        <f t="shared" si="423"/>
        <v/>
      </c>
      <c r="AZ295" s="47" t="s">
        <v>0</v>
      </c>
      <c r="BA295" s="52" t="str">
        <f t="shared" si="360"/>
        <v/>
      </c>
      <c r="BB295" s="73" t="str">
        <f>IF(AV295&amp;AW295="","",MAX(BB$12:BB294)+1)</f>
        <v/>
      </c>
      <c r="BC295" s="272" t="str">
        <f t="shared" si="361"/>
        <v/>
      </c>
      <c r="BD295" s="53" t="str">
        <f>IF(AND(AM295="NEMA",AN295="NEMA",OR(AV295&amp;AW295="",BC295="NEMA")),MAX(BD$12:BD294)+1,"")</f>
        <v/>
      </c>
      <c r="BE295" s="47" t="s">
        <v>0</v>
      </c>
      <c r="BF295" s="52" t="str">
        <f t="shared" si="401"/>
        <v>Fabiana</v>
      </c>
      <c r="BG295" s="66" t="str">
        <f t="shared" si="402"/>
        <v>Cini</v>
      </c>
      <c r="BH295" s="47" t="s">
        <v>0</v>
      </c>
      <c r="BI295" s="52" t="str">
        <f t="shared" si="362"/>
        <v>Maksimir</v>
      </c>
      <c r="BJ295" s="31" t="str">
        <f t="shared" si="363"/>
        <v>OK Maksimir</v>
      </c>
      <c r="BK295" s="73" t="str">
        <f t="shared" si="364"/>
        <v/>
      </c>
      <c r="BL295" s="31" t="str" cm="1">
        <f t="array" ref="BL295">IF(BK295="",""&amp;BJ295,IF(BK295="NEMA",BJ295,INDEX(regKlub_naziv,MATCH(INDEX(regKlub_alias_klubId,BK295),regKlub_id,0))))</f>
        <v>OK Maksimir</v>
      </c>
      <c r="BM295" s="31" t="str" cm="1">
        <f t="array" ref="BM295">IFERROR(""&amp;INDEX(regNatjecatelj_klub,DV295),"")</f>
        <v>OK Maksimir</v>
      </c>
      <c r="BN295" s="88" t="str">
        <f t="shared" si="403"/>
        <v/>
      </c>
      <c r="BO295" s="66" t="str">
        <f t="shared" si="404"/>
        <v>OK Maksimir</v>
      </c>
      <c r="BP295" s="47" t="s">
        <v>0</v>
      </c>
      <c r="BQ295" s="52" t="str">
        <f>IF(X295&lt;&gt;"NEMA","",IF(IFERROR(MATCH(W295,W$12:W294,0),0)&lt;&gt;0,"",W295))</f>
        <v/>
      </c>
      <c r="BR295" s="73" t="str">
        <f t="shared" si="405"/>
        <v/>
      </c>
      <c r="BS295" s="31" t="str">
        <f>IF(OR(BR295="",BR295&lt;&gt;"NEMA"),"",MAX(BS$12:BS294)+1)</f>
        <v/>
      </c>
      <c r="BT295" s="66" t="str">
        <f t="shared" si="406"/>
        <v/>
      </c>
      <c r="BU295" s="47" t="s">
        <v>0</v>
      </c>
      <c r="BV295" s="19" t="str">
        <f t="shared" si="407"/>
        <v/>
      </c>
      <c r="BW295" s="47" t="s">
        <v>0</v>
      </c>
      <c r="BX295" s="82" t="str">
        <f>IF(BK295&lt;&gt;"NEMA","",IF(IFERROR(MATCH(BJ295,BJ$12:BJ294,0),0)&lt;&gt;0,"",BJ295))</f>
        <v/>
      </c>
      <c r="BY295" s="47" t="s">
        <v>0</v>
      </c>
      <c r="BZ295" s="125"/>
      <c r="CA295" s="47" t="s">
        <v>0</v>
      </c>
      <c r="CB295" s="58" t="str">
        <f t="shared" si="408"/>
        <v/>
      </c>
      <c r="CC295" s="31" t="str">
        <f t="shared" si="409"/>
        <v/>
      </c>
      <c r="CD295" s="31" t="str">
        <f>IF(CC295="","",MAX(CD$12:CD294)+1)</f>
        <v/>
      </c>
      <c r="CE295" s="31" t="str">
        <f t="shared" si="365"/>
        <v/>
      </c>
      <c r="CF295" s="31" t="str">
        <f t="shared" si="410"/>
        <v/>
      </c>
      <c r="CG295" s="31" t="str">
        <f>IF(BZ295="","",MAX(CG$12:CG294)+1)</f>
        <v/>
      </c>
      <c r="CH295" s="31" t="str">
        <f t="shared" si="411"/>
        <v/>
      </c>
      <c r="CI295" s="66" t="str">
        <f t="shared" si="412"/>
        <v/>
      </c>
      <c r="CJ295" s="47" t="s">
        <v>0</v>
      </c>
      <c r="CK295" s="73" t="str">
        <f t="shared" si="366"/>
        <v/>
      </c>
      <c r="CL295" s="47"/>
      <c r="CM295" s="19" t="str">
        <f t="shared" si="413"/>
        <v/>
      </c>
      <c r="CN295" s="47" t="s">
        <v>0</v>
      </c>
      <c r="CO295" s="143" t="str">
        <f t="shared" si="414"/>
        <v>OK Maksimir</v>
      </c>
      <c r="CP295" s="47" t="s">
        <v>0</v>
      </c>
      <c r="CQ295" s="58" t="str">
        <f t="shared" ref="CQ295:CQ358" si="430">IF(G295="","",G295)</f>
        <v>52:40</v>
      </c>
      <c r="CR295" s="73" t="str">
        <f t="shared" ref="CR295:CR358" si="431">IF(H295="","",H295)</f>
        <v>0</v>
      </c>
      <c r="CS295" s="229" t="str">
        <f t="shared" si="367"/>
        <v/>
      </c>
      <c r="CT295" s="230">
        <f t="shared" si="352"/>
        <v>3160</v>
      </c>
      <c r="CU295" s="163">
        <f t="shared" si="368"/>
        <v>1</v>
      </c>
      <c r="CV295" s="47" t="s">
        <v>0</v>
      </c>
      <c r="CW295" s="222" t="str">
        <f t="shared" si="415"/>
        <v xml:space="preserve">
</v>
      </c>
      <c r="CX295" s="223">
        <f t="shared" si="416"/>
        <v>6</v>
      </c>
      <c r="CY295" s="47" t="s">
        <v>0</v>
      </c>
      <c r="CZ295" s="47"/>
      <c r="DA295" s="47"/>
      <c r="DB295" s="47"/>
      <c r="DC295" s="47" t="s">
        <v>0</v>
      </c>
      <c r="DD295" s="53" t="str">
        <f t="shared" si="424"/>
        <v/>
      </c>
      <c r="DE295" t="s">
        <v>0</v>
      </c>
      <c r="DF295" s="128" t="str">
        <f t="shared" si="425"/>
        <v>Ž</v>
      </c>
      <c r="DG295" t="s">
        <v>0</v>
      </c>
      <c r="DH295" s="52" t="str">
        <f t="shared" si="426"/>
        <v/>
      </c>
      <c r="DI295" s="66" t="str">
        <f t="shared" si="427"/>
        <v/>
      </c>
      <c r="DJ295" t="s">
        <v>0</v>
      </c>
      <c r="DK295" s="19" t="str">
        <f t="shared" si="428"/>
        <v/>
      </c>
      <c r="DL295" s="47" t="s">
        <v>0</v>
      </c>
      <c r="DM295" s="19" t="str">
        <f t="shared" si="429"/>
        <v/>
      </c>
      <c r="DN295" s="47" t="s">
        <v>0</v>
      </c>
      <c r="DO295" s="52" t="str">
        <f t="shared" si="369"/>
        <v>Fabiana – Cini – OK Maksimir – Ž35</v>
      </c>
      <c r="DP295" s="53">
        <f t="shared" si="370"/>
        <v>340</v>
      </c>
      <c r="DQ295" s="47" t="s">
        <v>0</v>
      </c>
      <c r="DR295" s="52" t="str">
        <f t="shared" si="371"/>
        <v>Fabiana – Cini – OK Maksimir</v>
      </c>
      <c r="DS295" s="53">
        <f t="shared" si="372"/>
        <v>340</v>
      </c>
      <c r="DT295" s="47" t="s">
        <v>0</v>
      </c>
      <c r="DU295" s="52" t="str">
        <f t="shared" si="373"/>
        <v>Fabiana – Cini</v>
      </c>
      <c r="DV295" s="53">
        <f t="shared" si="374"/>
        <v>340</v>
      </c>
      <c r="DW295" s="47" t="s">
        <v>0</v>
      </c>
      <c r="DX295" s="58">
        <f t="shared" si="417"/>
        <v>340</v>
      </c>
      <c r="DY295" s="53" cm="1">
        <f t="array" ref="DY295">IF(DX295&lt;&gt;"",INDEX(regNatjecatelj_id,DX295,0),IF(BD295&lt;&gt;"",BD295,""))</f>
        <v>1062</v>
      </c>
      <c r="DZ295" s="47" t="s">
        <v>0</v>
      </c>
      <c r="EA295" s="58" t="str">
        <f t="shared" si="375"/>
        <v>imepre</v>
      </c>
      <c r="EB295" s="73" t="str">
        <f t="shared" si="376"/>
        <v>klu</v>
      </c>
      <c r="EC295" s="73" t="str">
        <f t="shared" si="377"/>
        <v>kat</v>
      </c>
      <c r="ED295" s="73" t="str">
        <f t="shared" si="378"/>
        <v/>
      </c>
      <c r="EE295" s="66" t="str">
        <f t="shared" si="379"/>
        <v>imepre-klu-kat</v>
      </c>
      <c r="EF295" s="47" t="s">
        <v>0</v>
      </c>
      <c r="EG295" s="58">
        <f>IF(AL295="","",MAX(EG$12:EG294)+1)</f>
        <v>445</v>
      </c>
      <c r="EH295" s="73">
        <f t="shared" si="380"/>
        <v>41</v>
      </c>
      <c r="EI295" s="73">
        <f t="shared" si="418"/>
        <v>1062</v>
      </c>
      <c r="EJ295" s="73">
        <f t="shared" si="381"/>
        <v>3160</v>
      </c>
      <c r="EK295" s="73">
        <f t="shared" si="382"/>
        <v>1</v>
      </c>
      <c r="EL295" s="73">
        <f t="shared" si="419"/>
        <v>1</v>
      </c>
      <c r="EM295" s="73">
        <f t="shared" si="420"/>
        <v>1</v>
      </c>
      <c r="EN295" s="73" t="str">
        <f t="shared" si="383"/>
        <v>0</v>
      </c>
      <c r="EO295" s="73" t="str">
        <f t="shared" si="384"/>
        <v/>
      </c>
      <c r="EP295" s="73" t="str">
        <f t="shared" si="385"/>
        <v/>
      </c>
      <c r="EQ295" s="53" t="str">
        <f t="shared" si="386"/>
        <v/>
      </c>
      <c r="ER295" s="47" t="s">
        <v>0</v>
      </c>
      <c r="ES295" s="19" t="str">
        <f t="shared" si="421"/>
        <v>INSERT INTO rezultat(id,stazakategorija_id,imeprezime_id,vrijeme_sec,status_id,registracija,uparivanje_id,originalstatus_id,imeprezimealias_id,klubalias_id,kategorijaalias_id) VALUES (445,41,1062,3160,1,1,1,0,Null,Null,Null);</v>
      </c>
      <c r="ET295" s="47" t="s">
        <v>0</v>
      </c>
      <c r="EU295" s="19" t="str">
        <f t="shared" si="422"/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5" s="47" t="s">
        <v>0</v>
      </c>
      <c r="EW295" s="180" t="str">
        <f t="shared" si="387"/>
        <v xml:space="preserve">
INSERT INTO rezultat(id,stazakategorija_id,imeprezime_id,vrijeme_sec,status_id,registracija,uparivanje_id,originalstatus_id,imeprezimealias_id,klubalias_id,kategorijaalias_id) VALUES (445,41,1062,3160,1,1,1,0,Null,Null,Null);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5" s="47" t="s">
        <v>0</v>
      </c>
    </row>
    <row r="296" spans="1:154" x14ac:dyDescent="0.25">
      <c r="A296" t="s">
        <v>0</v>
      </c>
      <c r="B296" s="52" t="str">
        <f>IF(csv!F286="","",csv!T286)</f>
        <v>Ž35</v>
      </c>
      <c r="C296" s="31" t="s">
        <v>0</v>
      </c>
      <c r="D296" s="31" t="str">
        <f>IF(csv!F286="","",csv!F286)</f>
        <v>Nikolina</v>
      </c>
      <c r="E296" s="31" t="str">
        <f>IF(csv!E286="","",csv!E286)</f>
        <v>Šantić</v>
      </c>
      <c r="F296" s="31" t="s">
        <v>0</v>
      </c>
      <c r="G296" s="73" t="str">
        <f>IF(csv!M286="","",csv!M286)</f>
        <v>56:50</v>
      </c>
      <c r="H296" s="73" t="str">
        <f>IF(csv!N286="","",csv!N286)</f>
        <v>0</v>
      </c>
      <c r="I296" s="31" t="s">
        <v>0</v>
      </c>
      <c r="J296" s="31" t="str">
        <f>IF(csv!P286="","",csv!P286)</f>
        <v>BJE</v>
      </c>
      <c r="K296" s="31" t="str">
        <f>IF(csv!Q286="","",csv!Q286)</f>
        <v>OK Bjelovar</v>
      </c>
      <c r="L296" s="31" t="s">
        <v>0</v>
      </c>
      <c r="M296" s="66" t="str">
        <f>IF(csv!R286="","",csv!R286)</f>
        <v>CRO</v>
      </c>
      <c r="N296" s="47" t="s">
        <v>0</v>
      </c>
      <c r="O296" s="246" t="str">
        <f t="shared" si="388"/>
        <v>ok</v>
      </c>
      <c r="P296" s="47"/>
      <c r="Q296" s="52" t="str">
        <f t="shared" si="389"/>
        <v>Ž35</v>
      </c>
      <c r="R296" s="73">
        <f>IF(Q296="","",IF(COUNTIF(Q$12:Q295,Q296)=0,R295+1,R295))</f>
        <v>19</v>
      </c>
      <c r="S296" s="73">
        <f t="shared" si="390"/>
        <v>117</v>
      </c>
      <c r="T296" s="73">
        <f t="shared" si="353"/>
        <v>26</v>
      </c>
      <c r="U296" s="66" t="str">
        <f t="shared" si="354"/>
        <v>Ž35</v>
      </c>
      <c r="V296" s="47" t="s">
        <v>0</v>
      </c>
      <c r="W296" s="222" t="str">
        <f t="shared" si="355"/>
        <v>Ž35</v>
      </c>
      <c r="X296" s="223">
        <f t="shared" si="356"/>
        <v>41</v>
      </c>
      <c r="Y296" s="47" t="s">
        <v>0</v>
      </c>
      <c r="Z296" s="52" t="str">
        <f t="shared" si="391"/>
        <v>CRO</v>
      </c>
      <c r="AA296" s="73">
        <f t="shared" si="357"/>
        <v>1</v>
      </c>
      <c r="AB296" s="31" t="str">
        <f t="shared" si="392"/>
        <v/>
      </c>
      <c r="AC296" s="66" t="str">
        <f>IF(AB296="","",MAX(AC$12:AC295)+1)</f>
        <v/>
      </c>
      <c r="AD296" s="47" t="s">
        <v>0</v>
      </c>
      <c r="AE296" s="125"/>
      <c r="AF296" s="47" t="s">
        <v>0</v>
      </c>
      <c r="AG296" s="19" t="str">
        <f t="shared" si="393"/>
        <v/>
      </c>
      <c r="AH296" s="47" t="s">
        <v>0</v>
      </c>
      <c r="AI296" s="143" t="str">
        <f t="shared" si="394"/>
        <v>CRO</v>
      </c>
      <c r="AJ296" s="47"/>
      <c r="AK296" s="52" t="str">
        <f t="shared" si="395"/>
        <v>Nikolina</v>
      </c>
      <c r="AL296" s="31" t="str">
        <f t="shared" si="396"/>
        <v>Šantić</v>
      </c>
      <c r="AM296" s="73">
        <f t="shared" si="397"/>
        <v>1466</v>
      </c>
      <c r="AN296" s="73" t="str">
        <f t="shared" si="398"/>
        <v/>
      </c>
      <c r="AO296" s="31" t="str">
        <f t="shared" si="358"/>
        <v>Nikolina</v>
      </c>
      <c r="AP296" s="66" t="str">
        <f t="shared" si="359"/>
        <v>Šantić</v>
      </c>
      <c r="AQ296" s="47" t="s">
        <v>0</v>
      </c>
      <c r="AR296" s="82" t="str">
        <f t="shared" si="399"/>
        <v/>
      </c>
      <c r="AS296" s="47" t="s">
        <v>0</v>
      </c>
      <c r="AT296" s="19" t="str">
        <f t="shared" si="400"/>
        <v/>
      </c>
      <c r="AU296" s="47" t="s">
        <v>0</v>
      </c>
      <c r="AV296" s="103"/>
      <c r="AW296" s="105"/>
      <c r="AX296" s="47" t="s">
        <v>0</v>
      </c>
      <c r="AY296" s="259" t="str">
        <f t="shared" si="423"/>
        <v/>
      </c>
      <c r="AZ296" s="47" t="s">
        <v>0</v>
      </c>
      <c r="BA296" s="52" t="str">
        <f t="shared" si="360"/>
        <v/>
      </c>
      <c r="BB296" s="73" t="str">
        <f>IF(AV296&amp;AW296="","",MAX(BB$12:BB295)+1)</f>
        <v/>
      </c>
      <c r="BC296" s="272" t="str">
        <f t="shared" si="361"/>
        <v/>
      </c>
      <c r="BD296" s="53" t="str">
        <f>IF(AND(AM296="NEMA",AN296="NEMA",OR(AV296&amp;AW296="",BC296="NEMA")),MAX(BD$12:BD295)+1,"")</f>
        <v/>
      </c>
      <c r="BE296" s="47" t="s">
        <v>0</v>
      </c>
      <c r="BF296" s="52" t="str">
        <f t="shared" si="401"/>
        <v>Nikolina</v>
      </c>
      <c r="BG296" s="66" t="str">
        <f t="shared" si="402"/>
        <v>Šantić</v>
      </c>
      <c r="BH296" s="47" t="s">
        <v>0</v>
      </c>
      <c r="BI296" s="52" t="str">
        <f t="shared" si="362"/>
        <v>BJE</v>
      </c>
      <c r="BJ296" s="31" t="str">
        <f t="shared" si="363"/>
        <v>OK Bjelovar</v>
      </c>
      <c r="BK296" s="73" t="str">
        <f t="shared" si="364"/>
        <v/>
      </c>
      <c r="BL296" s="31" t="str" cm="1">
        <f t="array" ref="BL296">IF(BK296="",""&amp;BJ296,IF(BK296="NEMA",BJ296,INDEX(regKlub_naziv,MATCH(INDEX(regKlub_alias_klubId,BK296),regKlub_id,0))))</f>
        <v>OK Bjelovar</v>
      </c>
      <c r="BM296" s="31" t="str" cm="1">
        <f t="array" ref="BM296">IFERROR(""&amp;INDEX(regNatjecatelj_klub,DV296),"")</f>
        <v>OK Bjelovar</v>
      </c>
      <c r="BN296" s="88" t="str">
        <f t="shared" si="403"/>
        <v/>
      </c>
      <c r="BO296" s="66" t="str">
        <f t="shared" si="404"/>
        <v>OK Bjelovar</v>
      </c>
      <c r="BP296" s="47" t="s">
        <v>0</v>
      </c>
      <c r="BQ296" s="52" t="str">
        <f>IF(X296&lt;&gt;"NEMA","",IF(IFERROR(MATCH(W296,W$12:W295,0),0)&lt;&gt;0,"",W296))</f>
        <v/>
      </c>
      <c r="BR296" s="73" t="str">
        <f t="shared" si="405"/>
        <v/>
      </c>
      <c r="BS296" s="31" t="str">
        <f>IF(OR(BR296="",BR296&lt;&gt;"NEMA"),"",MAX(BS$12:BS295)+1)</f>
        <v/>
      </c>
      <c r="BT296" s="66" t="str">
        <f t="shared" si="406"/>
        <v/>
      </c>
      <c r="BU296" s="47" t="s">
        <v>0</v>
      </c>
      <c r="BV296" s="19" t="str">
        <f t="shared" si="407"/>
        <v/>
      </c>
      <c r="BW296" s="47" t="s">
        <v>0</v>
      </c>
      <c r="BX296" s="82" t="str">
        <f>IF(BK296&lt;&gt;"NEMA","",IF(IFERROR(MATCH(BJ296,BJ$12:BJ295,0),0)&lt;&gt;0,"",BJ296))</f>
        <v/>
      </c>
      <c r="BY296" s="47" t="s">
        <v>0</v>
      </c>
      <c r="BZ296" s="125"/>
      <c r="CA296" s="47" t="s">
        <v>0</v>
      </c>
      <c r="CB296" s="58" t="str">
        <f t="shared" si="408"/>
        <v/>
      </c>
      <c r="CC296" s="31" t="str">
        <f t="shared" si="409"/>
        <v/>
      </c>
      <c r="CD296" s="31" t="str">
        <f>IF(CC296="","",MAX(CD$12:CD295)+1)</f>
        <v/>
      </c>
      <c r="CE296" s="31" t="str">
        <f t="shared" si="365"/>
        <v/>
      </c>
      <c r="CF296" s="31" t="str">
        <f t="shared" si="410"/>
        <v/>
      </c>
      <c r="CG296" s="31" t="str">
        <f>IF(BZ296="","",MAX(CG$12:CG295)+1)</f>
        <v/>
      </c>
      <c r="CH296" s="31" t="str">
        <f t="shared" si="411"/>
        <v/>
      </c>
      <c r="CI296" s="66" t="str">
        <f t="shared" si="412"/>
        <v/>
      </c>
      <c r="CJ296" s="47" t="s">
        <v>0</v>
      </c>
      <c r="CK296" s="73" t="str">
        <f t="shared" si="366"/>
        <v/>
      </c>
      <c r="CL296" s="47"/>
      <c r="CM296" s="19" t="str">
        <f t="shared" si="413"/>
        <v/>
      </c>
      <c r="CN296" s="47" t="s">
        <v>0</v>
      </c>
      <c r="CO296" s="143" t="str">
        <f t="shared" si="414"/>
        <v>OK Bjelovar</v>
      </c>
      <c r="CP296" s="47" t="s">
        <v>0</v>
      </c>
      <c r="CQ296" s="58" t="str">
        <f t="shared" si="430"/>
        <v>56:50</v>
      </c>
      <c r="CR296" s="73" t="str">
        <f t="shared" si="431"/>
        <v>0</v>
      </c>
      <c r="CS296" s="229" t="str">
        <f t="shared" si="367"/>
        <v/>
      </c>
      <c r="CT296" s="230">
        <f t="shared" si="352"/>
        <v>3410</v>
      </c>
      <c r="CU296" s="163">
        <f t="shared" si="368"/>
        <v>1</v>
      </c>
      <c r="CV296" s="47" t="s">
        <v>0</v>
      </c>
      <c r="CW296" s="222" t="str">
        <f t="shared" si="415"/>
        <v xml:space="preserve">
</v>
      </c>
      <c r="CX296" s="223">
        <f t="shared" si="416"/>
        <v>6</v>
      </c>
      <c r="CY296" s="47" t="s">
        <v>0</v>
      </c>
      <c r="CZ296" s="47"/>
      <c r="DA296" s="47"/>
      <c r="DB296" s="47"/>
      <c r="DC296" s="47" t="s">
        <v>0</v>
      </c>
      <c r="DD296" s="53" t="str">
        <f t="shared" si="424"/>
        <v/>
      </c>
      <c r="DE296" t="s">
        <v>0</v>
      </c>
      <c r="DF296" s="128" t="str">
        <f t="shared" si="425"/>
        <v>Ž</v>
      </c>
      <c r="DG296" t="s">
        <v>0</v>
      </c>
      <c r="DH296" s="52" t="str">
        <f t="shared" si="426"/>
        <v/>
      </c>
      <c r="DI296" s="66" t="str">
        <f t="shared" si="427"/>
        <v/>
      </c>
      <c r="DJ296" t="s">
        <v>0</v>
      </c>
      <c r="DK296" s="19" t="str">
        <f t="shared" si="428"/>
        <v/>
      </c>
      <c r="DL296" s="47" t="s">
        <v>0</v>
      </c>
      <c r="DM296" s="19" t="str">
        <f t="shared" si="429"/>
        <v/>
      </c>
      <c r="DN296" s="47" t="s">
        <v>0</v>
      </c>
      <c r="DO296" s="52" t="str">
        <f t="shared" si="369"/>
        <v>Nikolina – Šantić – OK Bjelovar – Ž35</v>
      </c>
      <c r="DP296" s="53">
        <f t="shared" si="370"/>
        <v>25</v>
      </c>
      <c r="DQ296" s="47" t="s">
        <v>0</v>
      </c>
      <c r="DR296" s="52" t="str">
        <f t="shared" si="371"/>
        <v>Nikolina – Šantić – OK Bjelovar</v>
      </c>
      <c r="DS296" s="53">
        <f t="shared" si="372"/>
        <v>25</v>
      </c>
      <c r="DT296" s="47" t="s">
        <v>0</v>
      </c>
      <c r="DU296" s="52" t="str">
        <f t="shared" si="373"/>
        <v>Nikolina – Šantić</v>
      </c>
      <c r="DV296" s="53">
        <f t="shared" si="374"/>
        <v>25</v>
      </c>
      <c r="DW296" s="47" t="s">
        <v>0</v>
      </c>
      <c r="DX296" s="58">
        <f t="shared" si="417"/>
        <v>25</v>
      </c>
      <c r="DY296" s="53" cm="1">
        <f t="array" ref="DY296">IF(DX296&lt;&gt;"",INDEX(regNatjecatelj_id,DX296,0),IF(BD296&lt;&gt;"",BD296,""))</f>
        <v>1466</v>
      </c>
      <c r="DZ296" s="47" t="s">
        <v>0</v>
      </c>
      <c r="EA296" s="58" t="str">
        <f t="shared" si="375"/>
        <v>imepre</v>
      </c>
      <c r="EB296" s="73" t="str">
        <f t="shared" si="376"/>
        <v>klu</v>
      </c>
      <c r="EC296" s="73" t="str">
        <f t="shared" si="377"/>
        <v>kat</v>
      </c>
      <c r="ED296" s="73" t="str">
        <f t="shared" si="378"/>
        <v/>
      </c>
      <c r="EE296" s="66" t="str">
        <f t="shared" si="379"/>
        <v>imepre-klu-kat</v>
      </c>
      <c r="EF296" s="47" t="s">
        <v>0</v>
      </c>
      <c r="EG296" s="58">
        <f>IF(AL296="","",MAX(EG$12:EG295)+1)</f>
        <v>446</v>
      </c>
      <c r="EH296" s="73">
        <f t="shared" si="380"/>
        <v>41</v>
      </c>
      <c r="EI296" s="73">
        <f t="shared" si="418"/>
        <v>1466</v>
      </c>
      <c r="EJ296" s="73">
        <f t="shared" si="381"/>
        <v>3410</v>
      </c>
      <c r="EK296" s="73">
        <f t="shared" si="382"/>
        <v>1</v>
      </c>
      <c r="EL296" s="73">
        <f t="shared" si="419"/>
        <v>1</v>
      </c>
      <c r="EM296" s="73">
        <f t="shared" si="420"/>
        <v>1</v>
      </c>
      <c r="EN296" s="73" t="str">
        <f t="shared" si="383"/>
        <v>0</v>
      </c>
      <c r="EO296" s="73" t="str">
        <f t="shared" si="384"/>
        <v/>
      </c>
      <c r="EP296" s="73" t="str">
        <f t="shared" si="385"/>
        <v/>
      </c>
      <c r="EQ296" s="53" t="str">
        <f t="shared" si="386"/>
        <v/>
      </c>
      <c r="ER296" s="47" t="s">
        <v>0</v>
      </c>
      <c r="ES296" s="19" t="str">
        <f t="shared" si="421"/>
        <v>INSERT INTO rezultat(id,stazakategorija_id,imeprezime_id,vrijeme_sec,status_id,registracija,uparivanje_id,originalstatus_id,imeprezimealias_id,klubalias_id,kategorijaalias_id) VALUES (446,41,1466,3410,1,1,1,0,Null,Null,Null);</v>
      </c>
      <c r="ET296" s="47" t="s">
        <v>0</v>
      </c>
      <c r="EU296" s="19" t="str">
        <f t="shared" si="422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6" s="47" t="s">
        <v>0</v>
      </c>
      <c r="EW296" s="180" t="str">
        <f t="shared" si="387"/>
        <v xml:space="preserve">
INSERT INTO rezultat(id,stazakategorija_id,imeprezime_id,vrijeme_sec,status_id,registracija,uparivanje_id,originalstatus_id,imeprezimealias_id,klubalias_id,kategorijaalias_id) VALUES (446,41,1466,3410,1,1,1,0,Null,Null,Null);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6" s="47" t="s">
        <v>0</v>
      </c>
    </row>
    <row r="297" spans="1:154" x14ac:dyDescent="0.25">
      <c r="A297" t="s">
        <v>0</v>
      </c>
      <c r="B297" s="52" t="str">
        <f>IF(csv!F287="","",csv!T287)</f>
        <v>Ž35</v>
      </c>
      <c r="C297" s="31" t="s">
        <v>0</v>
      </c>
      <c r="D297" s="31" t="str">
        <f>IF(csv!F287="","",csv!F287)</f>
        <v>Sabina</v>
      </c>
      <c r="E297" s="31" t="str">
        <f>IF(csv!E287="","",csv!E287)</f>
        <v>Seražin Korper</v>
      </c>
      <c r="F297" s="31" t="s">
        <v>0</v>
      </c>
      <c r="G297" s="73" t="str">
        <f>IF(csv!M287="","",csv!M287)</f>
        <v>60:22</v>
      </c>
      <c r="H297" s="73" t="str">
        <f>IF(csv!N287="","",csv!N287)</f>
        <v>0</v>
      </c>
      <c r="I297" s="31" t="s">
        <v>0</v>
      </c>
      <c r="J297" s="31" t="str">
        <f>IF(csv!P287="","",csv!P287)</f>
        <v>OK Jelen</v>
      </c>
      <c r="K297" s="31" t="str">
        <f>IF(csv!Q287="","",csv!Q287)</f>
        <v>OK Jelen</v>
      </c>
      <c r="L297" s="31" t="s">
        <v>0</v>
      </c>
      <c r="M297" s="66" t="str">
        <f>IF(csv!R287="","",csv!R287)</f>
        <v>CRO</v>
      </c>
      <c r="N297" s="47" t="s">
        <v>0</v>
      </c>
      <c r="O297" s="246" t="str">
        <f t="shared" si="388"/>
        <v>ok</v>
      </c>
      <c r="P297" s="47"/>
      <c r="Q297" s="52" t="str">
        <f t="shared" si="389"/>
        <v>Ž35</v>
      </c>
      <c r="R297" s="73">
        <f>IF(Q297="","",IF(COUNTIF(Q$12:Q296,Q297)=0,R296+1,R296))</f>
        <v>19</v>
      </c>
      <c r="S297" s="73">
        <f t="shared" si="390"/>
        <v>117</v>
      </c>
      <c r="T297" s="73">
        <f t="shared" si="353"/>
        <v>26</v>
      </c>
      <c r="U297" s="66" t="str">
        <f t="shared" si="354"/>
        <v>Ž35</v>
      </c>
      <c r="V297" s="47" t="s">
        <v>0</v>
      </c>
      <c r="W297" s="222" t="str">
        <f t="shared" si="355"/>
        <v>Ž35</v>
      </c>
      <c r="X297" s="223">
        <f t="shared" si="356"/>
        <v>41</v>
      </c>
      <c r="Y297" s="47" t="s">
        <v>0</v>
      </c>
      <c r="Z297" s="52" t="str">
        <f t="shared" si="391"/>
        <v>CRO</v>
      </c>
      <c r="AA297" s="73">
        <f t="shared" si="357"/>
        <v>1</v>
      </c>
      <c r="AB297" s="31" t="str">
        <f t="shared" si="392"/>
        <v/>
      </c>
      <c r="AC297" s="66" t="str">
        <f>IF(AB297="","",MAX(AC$12:AC296)+1)</f>
        <v/>
      </c>
      <c r="AD297" s="47" t="s">
        <v>0</v>
      </c>
      <c r="AE297" s="125"/>
      <c r="AF297" s="47" t="s">
        <v>0</v>
      </c>
      <c r="AG297" s="19" t="str">
        <f t="shared" si="393"/>
        <v/>
      </c>
      <c r="AH297" s="47" t="s">
        <v>0</v>
      </c>
      <c r="AI297" s="143" t="str">
        <f t="shared" si="394"/>
        <v>CRO</v>
      </c>
      <c r="AJ297" s="47"/>
      <c r="AK297" s="52" t="str">
        <f t="shared" si="395"/>
        <v>Sabina</v>
      </c>
      <c r="AL297" s="31" t="str">
        <f t="shared" si="396"/>
        <v>Seražin Korper</v>
      </c>
      <c r="AM297" s="73">
        <f t="shared" si="397"/>
        <v>1381</v>
      </c>
      <c r="AN297" s="73" t="str">
        <f t="shared" si="398"/>
        <v/>
      </c>
      <c r="AO297" s="31" t="str">
        <f t="shared" si="358"/>
        <v>Sabina</v>
      </c>
      <c r="AP297" s="66" t="str">
        <f t="shared" si="359"/>
        <v>Seražin Korper</v>
      </c>
      <c r="AQ297" s="47" t="s">
        <v>0</v>
      </c>
      <c r="AR297" s="82" t="str">
        <f t="shared" si="399"/>
        <v/>
      </c>
      <c r="AS297" s="47" t="s">
        <v>0</v>
      </c>
      <c r="AT297" s="19" t="str">
        <f t="shared" si="400"/>
        <v/>
      </c>
      <c r="AU297" s="47" t="s">
        <v>0</v>
      </c>
      <c r="AV297" s="103"/>
      <c r="AW297" s="105"/>
      <c r="AX297" s="47" t="s">
        <v>0</v>
      </c>
      <c r="AY297" s="259" t="str">
        <f t="shared" si="423"/>
        <v/>
      </c>
      <c r="AZ297" s="47" t="s">
        <v>0</v>
      </c>
      <c r="BA297" s="52" t="str">
        <f t="shared" si="360"/>
        <v/>
      </c>
      <c r="BB297" s="73" t="str">
        <f>IF(AV297&amp;AW297="","",MAX(BB$12:BB296)+1)</f>
        <v/>
      </c>
      <c r="BC297" s="272" t="str">
        <f t="shared" si="361"/>
        <v/>
      </c>
      <c r="BD297" s="53" t="str">
        <f>IF(AND(AM297="NEMA",AN297="NEMA",OR(AV297&amp;AW297="",BC297="NEMA")),MAX(BD$12:BD296)+1,"")</f>
        <v/>
      </c>
      <c r="BE297" s="47" t="s">
        <v>0</v>
      </c>
      <c r="BF297" s="52" t="str">
        <f t="shared" si="401"/>
        <v>Sabina</v>
      </c>
      <c r="BG297" s="66" t="str">
        <f t="shared" si="402"/>
        <v>Seražin Korper</v>
      </c>
      <c r="BH297" s="47" t="s">
        <v>0</v>
      </c>
      <c r="BI297" s="52" t="str">
        <f t="shared" si="362"/>
        <v>OK Jelen</v>
      </c>
      <c r="BJ297" s="31" t="str">
        <f t="shared" si="363"/>
        <v>OK Jelen</v>
      </c>
      <c r="BK297" s="73" t="str">
        <f t="shared" si="364"/>
        <v/>
      </c>
      <c r="BL297" s="31" t="str" cm="1">
        <f t="array" ref="BL297">IF(BK297="",""&amp;BJ297,IF(BK297="NEMA",BJ297,INDEX(regKlub_naziv,MATCH(INDEX(regKlub_alias_klubId,BK297),regKlub_id,0))))</f>
        <v>OK Jelen</v>
      </c>
      <c r="BM297" s="31" t="str" cm="1">
        <f t="array" ref="BM297">IFERROR(""&amp;INDEX(regNatjecatelj_klub,DV297),"")</f>
        <v>OK Jelen</v>
      </c>
      <c r="BN297" s="88" t="str">
        <f t="shared" si="403"/>
        <v/>
      </c>
      <c r="BO297" s="66" t="str">
        <f t="shared" si="404"/>
        <v>OK Jelen</v>
      </c>
      <c r="BP297" s="47" t="s">
        <v>0</v>
      </c>
      <c r="BQ297" s="52" t="str">
        <f>IF(X297&lt;&gt;"NEMA","",IF(IFERROR(MATCH(W297,W$12:W296,0),0)&lt;&gt;0,"",W297))</f>
        <v/>
      </c>
      <c r="BR297" s="73" t="str">
        <f t="shared" si="405"/>
        <v/>
      </c>
      <c r="BS297" s="31" t="str">
        <f>IF(OR(BR297="",BR297&lt;&gt;"NEMA"),"",MAX(BS$12:BS296)+1)</f>
        <v/>
      </c>
      <c r="BT297" s="66" t="str">
        <f t="shared" si="406"/>
        <v/>
      </c>
      <c r="BU297" s="47" t="s">
        <v>0</v>
      </c>
      <c r="BV297" s="19" t="str">
        <f t="shared" si="407"/>
        <v/>
      </c>
      <c r="BW297" s="47" t="s">
        <v>0</v>
      </c>
      <c r="BX297" s="82" t="str">
        <f>IF(BK297&lt;&gt;"NEMA","",IF(IFERROR(MATCH(BJ297,BJ$12:BJ296,0),0)&lt;&gt;0,"",BJ297))</f>
        <v/>
      </c>
      <c r="BY297" s="47" t="s">
        <v>0</v>
      </c>
      <c r="BZ297" s="125"/>
      <c r="CA297" s="47" t="s">
        <v>0</v>
      </c>
      <c r="CB297" s="58" t="str">
        <f t="shared" si="408"/>
        <v/>
      </c>
      <c r="CC297" s="31" t="str">
        <f t="shared" si="409"/>
        <v/>
      </c>
      <c r="CD297" s="31" t="str">
        <f>IF(CC297="","",MAX(CD$12:CD296)+1)</f>
        <v/>
      </c>
      <c r="CE297" s="31" t="str">
        <f t="shared" si="365"/>
        <v/>
      </c>
      <c r="CF297" s="31" t="str">
        <f t="shared" si="410"/>
        <v/>
      </c>
      <c r="CG297" s="31" t="str">
        <f>IF(BZ297="","",MAX(CG$12:CG296)+1)</f>
        <v/>
      </c>
      <c r="CH297" s="31" t="str">
        <f t="shared" si="411"/>
        <v/>
      </c>
      <c r="CI297" s="66" t="str">
        <f t="shared" si="412"/>
        <v/>
      </c>
      <c r="CJ297" s="47" t="s">
        <v>0</v>
      </c>
      <c r="CK297" s="73" t="str">
        <f t="shared" si="366"/>
        <v/>
      </c>
      <c r="CL297" s="47"/>
      <c r="CM297" s="19" t="str">
        <f t="shared" si="413"/>
        <v/>
      </c>
      <c r="CN297" s="47" t="s">
        <v>0</v>
      </c>
      <c r="CO297" s="143" t="str">
        <f t="shared" si="414"/>
        <v>OK Jelen</v>
      </c>
      <c r="CP297" s="47" t="s">
        <v>0</v>
      </c>
      <c r="CQ297" s="58" t="str">
        <f t="shared" si="430"/>
        <v>60:22</v>
      </c>
      <c r="CR297" s="73" t="str">
        <f t="shared" si="431"/>
        <v>0</v>
      </c>
      <c r="CS297" s="229" t="str">
        <f t="shared" si="367"/>
        <v/>
      </c>
      <c r="CT297" s="230">
        <f t="shared" si="352"/>
        <v>3622</v>
      </c>
      <c r="CU297" s="163">
        <f t="shared" si="368"/>
        <v>1</v>
      </c>
      <c r="CV297" s="47" t="s">
        <v>0</v>
      </c>
      <c r="CW297" s="222" t="str">
        <f t="shared" si="415"/>
        <v xml:space="preserve">
</v>
      </c>
      <c r="CX297" s="223">
        <f t="shared" si="416"/>
        <v>6</v>
      </c>
      <c r="CY297" s="47" t="s">
        <v>0</v>
      </c>
      <c r="CZ297" s="47"/>
      <c r="DA297" s="47"/>
      <c r="DB297" s="47"/>
      <c r="DC297" s="47" t="s">
        <v>0</v>
      </c>
      <c r="DD297" s="53" t="str">
        <f t="shared" si="424"/>
        <v/>
      </c>
      <c r="DE297" t="s">
        <v>0</v>
      </c>
      <c r="DF297" s="128" t="str">
        <f t="shared" si="425"/>
        <v>Ž</v>
      </c>
      <c r="DG297" t="s">
        <v>0</v>
      </c>
      <c r="DH297" s="52" t="str">
        <f t="shared" si="426"/>
        <v/>
      </c>
      <c r="DI297" s="66" t="str">
        <f t="shared" si="427"/>
        <v/>
      </c>
      <c r="DJ297" t="s">
        <v>0</v>
      </c>
      <c r="DK297" s="19" t="str">
        <f t="shared" si="428"/>
        <v/>
      </c>
      <c r="DL297" s="47" t="s">
        <v>0</v>
      </c>
      <c r="DM297" s="19" t="str">
        <f t="shared" si="429"/>
        <v/>
      </c>
      <c r="DN297" s="47" t="s">
        <v>0</v>
      </c>
      <c r="DO297" s="52" t="str">
        <f t="shared" si="369"/>
        <v>Sabina – Seražin Korper – OK Jelen – Ž35</v>
      </c>
      <c r="DP297" s="53">
        <f t="shared" si="370"/>
        <v>190</v>
      </c>
      <c r="DQ297" s="47" t="s">
        <v>0</v>
      </c>
      <c r="DR297" s="52" t="str">
        <f t="shared" si="371"/>
        <v>Sabina – Seražin Korper – OK Jelen</v>
      </c>
      <c r="DS297" s="53">
        <f t="shared" si="372"/>
        <v>190</v>
      </c>
      <c r="DT297" s="47" t="s">
        <v>0</v>
      </c>
      <c r="DU297" s="52" t="str">
        <f t="shared" si="373"/>
        <v>Sabina – Seražin Korper</v>
      </c>
      <c r="DV297" s="53">
        <f t="shared" si="374"/>
        <v>190</v>
      </c>
      <c r="DW297" s="47" t="s">
        <v>0</v>
      </c>
      <c r="DX297" s="58">
        <f t="shared" si="417"/>
        <v>190</v>
      </c>
      <c r="DY297" s="53" cm="1">
        <f t="array" ref="DY297">IF(DX297&lt;&gt;"",INDEX(regNatjecatelj_id,DX297,0),IF(BD297&lt;&gt;"",BD297,""))</f>
        <v>1381</v>
      </c>
      <c r="DZ297" s="47" t="s">
        <v>0</v>
      </c>
      <c r="EA297" s="58" t="str">
        <f t="shared" si="375"/>
        <v>imepre</v>
      </c>
      <c r="EB297" s="73" t="str">
        <f t="shared" si="376"/>
        <v>klu</v>
      </c>
      <c r="EC297" s="73" t="str">
        <f t="shared" si="377"/>
        <v>kat</v>
      </c>
      <c r="ED297" s="73" t="str">
        <f t="shared" si="378"/>
        <v/>
      </c>
      <c r="EE297" s="66" t="str">
        <f t="shared" si="379"/>
        <v>imepre-klu-kat</v>
      </c>
      <c r="EF297" s="47" t="s">
        <v>0</v>
      </c>
      <c r="EG297" s="58">
        <f>IF(AL297="","",MAX(EG$12:EG296)+1)</f>
        <v>447</v>
      </c>
      <c r="EH297" s="73">
        <f t="shared" si="380"/>
        <v>41</v>
      </c>
      <c r="EI297" s="73">
        <f t="shared" si="418"/>
        <v>1381</v>
      </c>
      <c r="EJ297" s="73">
        <f t="shared" si="381"/>
        <v>3622</v>
      </c>
      <c r="EK297" s="73">
        <f t="shared" si="382"/>
        <v>1</v>
      </c>
      <c r="EL297" s="73">
        <f t="shared" si="419"/>
        <v>1</v>
      </c>
      <c r="EM297" s="73">
        <f t="shared" si="420"/>
        <v>1</v>
      </c>
      <c r="EN297" s="73" t="str">
        <f t="shared" si="383"/>
        <v>0</v>
      </c>
      <c r="EO297" s="73" t="str">
        <f t="shared" si="384"/>
        <v/>
      </c>
      <c r="EP297" s="73" t="str">
        <f t="shared" si="385"/>
        <v/>
      </c>
      <c r="EQ297" s="53" t="str">
        <f t="shared" si="386"/>
        <v/>
      </c>
      <c r="ER297" s="47" t="s">
        <v>0</v>
      </c>
      <c r="ES297" s="19" t="str">
        <f t="shared" si="421"/>
        <v>INSERT INTO rezultat(id,stazakategorija_id,imeprezime_id,vrijeme_sec,status_id,registracija,uparivanje_id,originalstatus_id,imeprezimealias_id,klubalias_id,kategorijaalias_id) VALUES (447,41,1381,3622,1,1,1,0,Null,Null,Null);</v>
      </c>
      <c r="ET297" s="47" t="s">
        <v>0</v>
      </c>
      <c r="EU297" s="19" t="str">
        <f t="shared" si="422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7" s="47" t="s">
        <v>0</v>
      </c>
      <c r="EW297" s="180" t="str">
        <f t="shared" si="387"/>
        <v xml:space="preserve">
INSERT INTO rezultat(id,stazakategorija_id,imeprezime_id,vrijeme_sec,status_id,registracija,uparivanje_id,originalstatus_id,imeprezimealias_id,klubalias_id,kategorijaalias_id) VALUES (447,41,1381,3622,1,1,1,0,Null,Null,Null);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7" s="47" t="s">
        <v>0</v>
      </c>
    </row>
    <row r="298" spans="1:154" x14ac:dyDescent="0.25">
      <c r="A298" t="s">
        <v>0</v>
      </c>
      <c r="B298" s="52" t="str">
        <f>IF(csv!F288="","",csv!T288)</f>
        <v>Ž35</v>
      </c>
      <c r="C298" s="31" t="s">
        <v>0</v>
      </c>
      <c r="D298" s="31" t="str">
        <f>IF(csv!F288="","",csv!F288)</f>
        <v>Monika</v>
      </c>
      <c r="E298" s="31" t="str">
        <f>IF(csv!E288="","",csv!E288)</f>
        <v>Kovaljesko</v>
      </c>
      <c r="F298" s="31" t="s">
        <v>0</v>
      </c>
      <c r="G298" s="73" t="str">
        <f>IF(csv!M288="","",csv!M288)</f>
        <v>60:50</v>
      </c>
      <c r="H298" s="73" t="str">
        <f>IF(csv!N288="","",csv!N288)</f>
        <v>0</v>
      </c>
      <c r="I298" s="31" t="s">
        <v>0</v>
      </c>
      <c r="J298" s="31" t="str">
        <f>IF(csv!P288="","",csv!P288)</f>
        <v>KAP</v>
      </c>
      <c r="K298" s="31" t="str">
        <f>IF(csv!Q288="","",csv!Q288)</f>
        <v>OK Kapela</v>
      </c>
      <c r="L298" s="31" t="s">
        <v>0</v>
      </c>
      <c r="M298" s="66" t="str">
        <f>IF(csv!R288="","",csv!R288)</f>
        <v>CRO</v>
      </c>
      <c r="N298" s="47" t="s">
        <v>0</v>
      </c>
      <c r="O298" s="246" t="str">
        <f t="shared" si="388"/>
        <v>ok</v>
      </c>
      <c r="P298" s="47"/>
      <c r="Q298" s="52" t="str">
        <f t="shared" si="389"/>
        <v>Ž35</v>
      </c>
      <c r="R298" s="73">
        <f>IF(Q298="","",IF(COUNTIF(Q$12:Q297,Q298)=0,R297+1,R297))</f>
        <v>19</v>
      </c>
      <c r="S298" s="73">
        <f t="shared" si="390"/>
        <v>117</v>
      </c>
      <c r="T298" s="73">
        <f t="shared" si="353"/>
        <v>26</v>
      </c>
      <c r="U298" s="66" t="str">
        <f t="shared" si="354"/>
        <v>Ž35</v>
      </c>
      <c r="V298" s="47" t="s">
        <v>0</v>
      </c>
      <c r="W298" s="222" t="str">
        <f t="shared" si="355"/>
        <v>Ž35</v>
      </c>
      <c r="X298" s="223">
        <f t="shared" si="356"/>
        <v>41</v>
      </c>
      <c r="Y298" s="47" t="s">
        <v>0</v>
      </c>
      <c r="Z298" s="52" t="str">
        <f t="shared" si="391"/>
        <v>CRO</v>
      </c>
      <c r="AA298" s="73">
        <f t="shared" si="357"/>
        <v>1</v>
      </c>
      <c r="AB298" s="31" t="str">
        <f t="shared" si="392"/>
        <v/>
      </c>
      <c r="AC298" s="66" t="str">
        <f>IF(AB298="","",MAX(AC$12:AC297)+1)</f>
        <v/>
      </c>
      <c r="AD298" s="47" t="s">
        <v>0</v>
      </c>
      <c r="AE298" s="125"/>
      <c r="AF298" s="47" t="s">
        <v>0</v>
      </c>
      <c r="AG298" s="19" t="str">
        <f t="shared" si="393"/>
        <v/>
      </c>
      <c r="AH298" s="47" t="s">
        <v>0</v>
      </c>
      <c r="AI298" s="143" t="str">
        <f t="shared" si="394"/>
        <v>CRO</v>
      </c>
      <c r="AJ298" s="47"/>
      <c r="AK298" s="52" t="str">
        <f t="shared" si="395"/>
        <v>Monika</v>
      </c>
      <c r="AL298" s="31" t="str">
        <f t="shared" si="396"/>
        <v>Kovaljesko</v>
      </c>
      <c r="AM298" s="73">
        <f t="shared" si="397"/>
        <v>1541</v>
      </c>
      <c r="AN298" s="73" t="str">
        <f t="shared" si="398"/>
        <v/>
      </c>
      <c r="AO298" s="31" t="str">
        <f t="shared" si="358"/>
        <v>Monika</v>
      </c>
      <c r="AP298" s="66" t="str">
        <f t="shared" si="359"/>
        <v>Kovaljesko</v>
      </c>
      <c r="AQ298" s="47" t="s">
        <v>0</v>
      </c>
      <c r="AR298" s="82" t="str">
        <f t="shared" si="399"/>
        <v/>
      </c>
      <c r="AS298" s="47" t="s">
        <v>0</v>
      </c>
      <c r="AT298" s="19" t="str">
        <f t="shared" si="400"/>
        <v/>
      </c>
      <c r="AU298" s="47" t="s">
        <v>0</v>
      </c>
      <c r="AV298" s="103"/>
      <c r="AW298" s="105"/>
      <c r="AX298" s="47" t="s">
        <v>0</v>
      </c>
      <c r="AY298" s="259" t="str">
        <f t="shared" si="423"/>
        <v/>
      </c>
      <c r="AZ298" s="47" t="s">
        <v>0</v>
      </c>
      <c r="BA298" s="52" t="str">
        <f t="shared" si="360"/>
        <v/>
      </c>
      <c r="BB298" s="73" t="str">
        <f>IF(AV298&amp;AW298="","",MAX(BB$12:BB297)+1)</f>
        <v/>
      </c>
      <c r="BC298" s="272" t="str">
        <f t="shared" si="361"/>
        <v/>
      </c>
      <c r="BD298" s="53" t="str">
        <f>IF(AND(AM298="NEMA",AN298="NEMA",OR(AV298&amp;AW298="",BC298="NEMA")),MAX(BD$12:BD297)+1,"")</f>
        <v/>
      </c>
      <c r="BE298" s="47" t="s">
        <v>0</v>
      </c>
      <c r="BF298" s="52" t="str">
        <f t="shared" si="401"/>
        <v>Monika</v>
      </c>
      <c r="BG298" s="66" t="str">
        <f t="shared" si="402"/>
        <v>Kovaljesko</v>
      </c>
      <c r="BH298" s="47" t="s">
        <v>0</v>
      </c>
      <c r="BI298" s="52" t="str">
        <f t="shared" si="362"/>
        <v>KAP</v>
      </c>
      <c r="BJ298" s="31" t="str">
        <f t="shared" si="363"/>
        <v>OK Kapela</v>
      </c>
      <c r="BK298" s="73" t="str">
        <f t="shared" si="364"/>
        <v/>
      </c>
      <c r="BL298" s="31" t="str" cm="1">
        <f t="array" ref="BL298">IF(BK298="",""&amp;BJ298,IF(BK298="NEMA",BJ298,INDEX(regKlub_naziv,MATCH(INDEX(regKlub_alias_klubId,BK298),regKlub_id,0))))</f>
        <v>OK Kapela</v>
      </c>
      <c r="BM298" s="31" t="str" cm="1">
        <f t="array" ref="BM298">IFERROR(""&amp;INDEX(regNatjecatelj_klub,DV298),"")</f>
        <v>OK Kapela</v>
      </c>
      <c r="BN298" s="88" t="str">
        <f t="shared" si="403"/>
        <v/>
      </c>
      <c r="BO298" s="66" t="str">
        <f t="shared" si="404"/>
        <v>OK Kapela</v>
      </c>
      <c r="BP298" s="47" t="s">
        <v>0</v>
      </c>
      <c r="BQ298" s="52" t="str">
        <f>IF(X298&lt;&gt;"NEMA","",IF(IFERROR(MATCH(W298,W$12:W297,0),0)&lt;&gt;0,"",W298))</f>
        <v/>
      </c>
      <c r="BR298" s="73" t="str">
        <f t="shared" si="405"/>
        <v/>
      </c>
      <c r="BS298" s="31" t="str">
        <f>IF(OR(BR298="",BR298&lt;&gt;"NEMA"),"",MAX(BS$12:BS297)+1)</f>
        <v/>
      </c>
      <c r="BT298" s="66" t="str">
        <f t="shared" si="406"/>
        <v/>
      </c>
      <c r="BU298" s="47" t="s">
        <v>0</v>
      </c>
      <c r="BV298" s="19" t="str">
        <f t="shared" si="407"/>
        <v/>
      </c>
      <c r="BW298" s="47" t="s">
        <v>0</v>
      </c>
      <c r="BX298" s="82" t="str">
        <f>IF(BK298&lt;&gt;"NEMA","",IF(IFERROR(MATCH(BJ298,BJ$12:BJ297,0),0)&lt;&gt;0,"",BJ298))</f>
        <v/>
      </c>
      <c r="BY298" s="47" t="s">
        <v>0</v>
      </c>
      <c r="BZ298" s="125"/>
      <c r="CA298" s="47" t="s">
        <v>0</v>
      </c>
      <c r="CB298" s="58" t="str">
        <f t="shared" si="408"/>
        <v/>
      </c>
      <c r="CC298" s="31" t="str">
        <f t="shared" si="409"/>
        <v/>
      </c>
      <c r="CD298" s="31" t="str">
        <f>IF(CC298="","",MAX(CD$12:CD297)+1)</f>
        <v/>
      </c>
      <c r="CE298" s="31" t="str">
        <f t="shared" si="365"/>
        <v/>
      </c>
      <c r="CF298" s="31" t="str">
        <f t="shared" si="410"/>
        <v/>
      </c>
      <c r="CG298" s="31" t="str">
        <f>IF(BZ298="","",MAX(CG$12:CG297)+1)</f>
        <v/>
      </c>
      <c r="CH298" s="31" t="str">
        <f t="shared" si="411"/>
        <v/>
      </c>
      <c r="CI298" s="66" t="str">
        <f t="shared" si="412"/>
        <v/>
      </c>
      <c r="CJ298" s="47" t="s">
        <v>0</v>
      </c>
      <c r="CK298" s="73" t="str">
        <f t="shared" si="366"/>
        <v/>
      </c>
      <c r="CL298" s="47"/>
      <c r="CM298" s="19" t="str">
        <f t="shared" si="413"/>
        <v/>
      </c>
      <c r="CN298" s="47" t="s">
        <v>0</v>
      </c>
      <c r="CO298" s="143" t="str">
        <f t="shared" si="414"/>
        <v>OK Kapela</v>
      </c>
      <c r="CP298" s="47" t="s">
        <v>0</v>
      </c>
      <c r="CQ298" s="58" t="str">
        <f t="shared" si="430"/>
        <v>60:50</v>
      </c>
      <c r="CR298" s="73" t="str">
        <f t="shared" si="431"/>
        <v>0</v>
      </c>
      <c r="CS298" s="229" t="str">
        <f t="shared" si="367"/>
        <v/>
      </c>
      <c r="CT298" s="230">
        <f t="shared" si="352"/>
        <v>3650</v>
      </c>
      <c r="CU298" s="163">
        <f t="shared" si="368"/>
        <v>1</v>
      </c>
      <c r="CV298" s="47" t="s">
        <v>0</v>
      </c>
      <c r="CW298" s="222" t="str">
        <f t="shared" si="415"/>
        <v xml:space="preserve">
</v>
      </c>
      <c r="CX298" s="223">
        <f t="shared" si="416"/>
        <v>6</v>
      </c>
      <c r="CY298" s="47" t="s">
        <v>0</v>
      </c>
      <c r="CZ298" s="47"/>
      <c r="DA298" s="47"/>
      <c r="DB298" s="47"/>
      <c r="DC298" s="47" t="s">
        <v>0</v>
      </c>
      <c r="DD298" s="53" t="str">
        <f t="shared" si="424"/>
        <v/>
      </c>
      <c r="DE298" t="s">
        <v>0</v>
      </c>
      <c r="DF298" s="128" t="str">
        <f t="shared" si="425"/>
        <v>Ž</v>
      </c>
      <c r="DG298" t="s">
        <v>0</v>
      </c>
      <c r="DH298" s="52" t="str">
        <f t="shared" si="426"/>
        <v/>
      </c>
      <c r="DI298" s="66" t="str">
        <f t="shared" si="427"/>
        <v/>
      </c>
      <c r="DJ298" t="s">
        <v>0</v>
      </c>
      <c r="DK298" s="19" t="str">
        <f t="shared" si="428"/>
        <v/>
      </c>
      <c r="DL298" s="47" t="s">
        <v>0</v>
      </c>
      <c r="DM298" s="19" t="str">
        <f t="shared" si="429"/>
        <v/>
      </c>
      <c r="DN298" s="47" t="s">
        <v>0</v>
      </c>
      <c r="DO298" s="52" t="str">
        <f t="shared" si="369"/>
        <v>Monika – Kovaljesko – OK Kapela – Ž35</v>
      </c>
      <c r="DP298" s="53">
        <f t="shared" si="370"/>
        <v>270</v>
      </c>
      <c r="DQ298" s="47" t="s">
        <v>0</v>
      </c>
      <c r="DR298" s="52" t="str">
        <f t="shared" si="371"/>
        <v>Monika – Kovaljesko – OK Kapela</v>
      </c>
      <c r="DS298" s="53">
        <f t="shared" si="372"/>
        <v>270</v>
      </c>
      <c r="DT298" s="47" t="s">
        <v>0</v>
      </c>
      <c r="DU298" s="52" t="str">
        <f t="shared" si="373"/>
        <v>Monika – Kovaljesko</v>
      </c>
      <c r="DV298" s="53">
        <f t="shared" si="374"/>
        <v>270</v>
      </c>
      <c r="DW298" s="47" t="s">
        <v>0</v>
      </c>
      <c r="DX298" s="58">
        <f t="shared" si="417"/>
        <v>270</v>
      </c>
      <c r="DY298" s="53" cm="1">
        <f t="array" ref="DY298">IF(DX298&lt;&gt;"",INDEX(regNatjecatelj_id,DX298,0),IF(BD298&lt;&gt;"",BD298,""))</f>
        <v>1541</v>
      </c>
      <c r="DZ298" s="47" t="s">
        <v>0</v>
      </c>
      <c r="EA298" s="58" t="str">
        <f t="shared" si="375"/>
        <v>imepre</v>
      </c>
      <c r="EB298" s="73" t="str">
        <f t="shared" si="376"/>
        <v>klu</v>
      </c>
      <c r="EC298" s="73" t="str">
        <f t="shared" si="377"/>
        <v>kat</v>
      </c>
      <c r="ED298" s="73" t="str">
        <f t="shared" si="378"/>
        <v/>
      </c>
      <c r="EE298" s="66" t="str">
        <f t="shared" si="379"/>
        <v>imepre-klu-kat</v>
      </c>
      <c r="EF298" s="47" t="s">
        <v>0</v>
      </c>
      <c r="EG298" s="58">
        <f>IF(AL298="","",MAX(EG$12:EG297)+1)</f>
        <v>448</v>
      </c>
      <c r="EH298" s="73">
        <f t="shared" si="380"/>
        <v>41</v>
      </c>
      <c r="EI298" s="73">
        <f t="shared" si="418"/>
        <v>1541</v>
      </c>
      <c r="EJ298" s="73">
        <f t="shared" si="381"/>
        <v>3650</v>
      </c>
      <c r="EK298" s="73">
        <f t="shared" si="382"/>
        <v>1</v>
      </c>
      <c r="EL298" s="73">
        <f t="shared" si="419"/>
        <v>1</v>
      </c>
      <c r="EM298" s="73">
        <f t="shared" si="420"/>
        <v>1</v>
      </c>
      <c r="EN298" s="73" t="str">
        <f t="shared" si="383"/>
        <v>0</v>
      </c>
      <c r="EO298" s="73" t="str">
        <f t="shared" si="384"/>
        <v/>
      </c>
      <c r="EP298" s="73" t="str">
        <f t="shared" si="385"/>
        <v/>
      </c>
      <c r="EQ298" s="53" t="str">
        <f t="shared" si="386"/>
        <v/>
      </c>
      <c r="ER298" s="47" t="s">
        <v>0</v>
      </c>
      <c r="ES298" s="19" t="str">
        <f t="shared" si="421"/>
        <v>INSERT INTO rezultat(id,stazakategorija_id,imeprezime_id,vrijeme_sec,status_id,registracija,uparivanje_id,originalstatus_id,imeprezimealias_id,klubalias_id,kategorijaalias_id) VALUES (448,41,1541,3650,1,1,1,0,Null,Null,Null);</v>
      </c>
      <c r="ET298" s="47" t="s">
        <v>0</v>
      </c>
      <c r="EU298" s="19" t="str">
        <f t="shared" si="422"/>
        <v>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8" s="47" t="s">
        <v>0</v>
      </c>
      <c r="EW298" s="180" t="str">
        <f t="shared" si="387"/>
        <v xml:space="preserve">
INSERT INTO rezultat(id,stazakategorija_id,imeprezime_id,vrijeme_sec,status_id,registracija,uparivanje_id,originalstatus_id,imeprezimealias_id,klubalias_id,kategorijaalias_id) VALUES (448,41,1541,3650,1,1,1,0,Null,Null,Null);
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8" s="47" t="s">
        <v>0</v>
      </c>
    </row>
    <row r="299" spans="1:154" x14ac:dyDescent="0.25">
      <c r="A299" t="s">
        <v>0</v>
      </c>
      <c r="B299" s="52" t="str">
        <f>IF(csv!F289="","",csv!T289)</f>
        <v>Ž35</v>
      </c>
      <c r="C299" s="31" t="s">
        <v>0</v>
      </c>
      <c r="D299" s="31" t="str">
        <f>IF(csv!F289="","",csv!F289)</f>
        <v>Vlatka</v>
      </c>
      <c r="E299" s="31" t="str">
        <f>IF(csv!E289="","",csv!E289)</f>
        <v>Stupalo</v>
      </c>
      <c r="F299" s="31" t="s">
        <v>0</v>
      </c>
      <c r="G299" s="73" t="str">
        <f>IF(csv!M289="","",csv!M289)</f>
        <v>64:07</v>
      </c>
      <c r="H299" s="73" t="str">
        <f>IF(csv!N289="","",csv!N289)</f>
        <v>0</v>
      </c>
      <c r="I299" s="31" t="s">
        <v>0</v>
      </c>
      <c r="J299" s="31" t="str">
        <f>IF(csv!P289="","",csv!P289)</f>
        <v>Vihor</v>
      </c>
      <c r="K299" s="31" t="str">
        <f>IF(csv!Q289="","",csv!Q289)</f>
        <v>OK Vihor</v>
      </c>
      <c r="L299" s="31" t="s">
        <v>0</v>
      </c>
      <c r="M299" s="66" t="str">
        <f>IF(csv!R289="","",csv!R289)</f>
        <v>CRO</v>
      </c>
      <c r="N299" s="47" t="s">
        <v>0</v>
      </c>
      <c r="O299" s="246" t="str">
        <f t="shared" si="388"/>
        <v>ok</v>
      </c>
      <c r="P299" s="47"/>
      <c r="Q299" s="52" t="str">
        <f t="shared" si="389"/>
        <v>Ž35</v>
      </c>
      <c r="R299" s="73">
        <f>IF(Q299="","",IF(COUNTIF(Q$12:Q298,Q299)=0,R298+1,R298))</f>
        <v>19</v>
      </c>
      <c r="S299" s="73">
        <f t="shared" si="390"/>
        <v>117</v>
      </c>
      <c r="T299" s="73">
        <f t="shared" si="353"/>
        <v>26</v>
      </c>
      <c r="U299" s="66" t="str">
        <f t="shared" si="354"/>
        <v>Ž35</v>
      </c>
      <c r="V299" s="47" t="s">
        <v>0</v>
      </c>
      <c r="W299" s="222" t="str">
        <f t="shared" si="355"/>
        <v>Ž35</v>
      </c>
      <c r="X299" s="223">
        <f t="shared" si="356"/>
        <v>41</v>
      </c>
      <c r="Y299" s="47" t="s">
        <v>0</v>
      </c>
      <c r="Z299" s="52" t="str">
        <f t="shared" si="391"/>
        <v>CRO</v>
      </c>
      <c r="AA299" s="73">
        <f t="shared" si="357"/>
        <v>1</v>
      </c>
      <c r="AB299" s="31" t="str">
        <f t="shared" si="392"/>
        <v/>
      </c>
      <c r="AC299" s="66" t="str">
        <f>IF(AB299="","",MAX(AC$12:AC298)+1)</f>
        <v/>
      </c>
      <c r="AD299" s="47" t="s">
        <v>0</v>
      </c>
      <c r="AE299" s="125"/>
      <c r="AF299" s="47" t="s">
        <v>0</v>
      </c>
      <c r="AG299" s="19" t="str">
        <f t="shared" si="393"/>
        <v/>
      </c>
      <c r="AH299" s="47" t="s">
        <v>0</v>
      </c>
      <c r="AI299" s="143" t="str">
        <f t="shared" si="394"/>
        <v>CRO</v>
      </c>
      <c r="AJ299" s="47"/>
      <c r="AK299" s="52" t="str">
        <f t="shared" si="395"/>
        <v>Vlatka</v>
      </c>
      <c r="AL299" s="31" t="str">
        <f t="shared" si="396"/>
        <v>Stupalo</v>
      </c>
      <c r="AM299" s="73">
        <f t="shared" si="397"/>
        <v>1262</v>
      </c>
      <c r="AN299" s="73" t="str">
        <f t="shared" si="398"/>
        <v/>
      </c>
      <c r="AO299" s="31" t="str">
        <f t="shared" si="358"/>
        <v>Vlatka</v>
      </c>
      <c r="AP299" s="66" t="str">
        <f t="shared" si="359"/>
        <v>Stupalo</v>
      </c>
      <c r="AQ299" s="47" t="s">
        <v>0</v>
      </c>
      <c r="AR299" s="82" t="str">
        <f t="shared" si="399"/>
        <v/>
      </c>
      <c r="AS299" s="47" t="s">
        <v>0</v>
      </c>
      <c r="AT299" s="19" t="str">
        <f t="shared" si="400"/>
        <v/>
      </c>
      <c r="AU299" s="47" t="s">
        <v>0</v>
      </c>
      <c r="AV299" s="103"/>
      <c r="AW299" s="105"/>
      <c r="AX299" s="47" t="s">
        <v>0</v>
      </c>
      <c r="AY299" s="259" t="str">
        <f t="shared" si="423"/>
        <v/>
      </c>
      <c r="AZ299" s="47" t="s">
        <v>0</v>
      </c>
      <c r="BA299" s="52" t="str">
        <f t="shared" si="360"/>
        <v/>
      </c>
      <c r="BB299" s="73" t="str">
        <f>IF(AV299&amp;AW299="","",MAX(BB$12:BB298)+1)</f>
        <v/>
      </c>
      <c r="BC299" s="272" t="str">
        <f t="shared" si="361"/>
        <v/>
      </c>
      <c r="BD299" s="53" t="str">
        <f>IF(AND(AM299="NEMA",AN299="NEMA",OR(AV299&amp;AW299="",BC299="NEMA")),MAX(BD$12:BD298)+1,"")</f>
        <v/>
      </c>
      <c r="BE299" s="47" t="s">
        <v>0</v>
      </c>
      <c r="BF299" s="52" t="str">
        <f t="shared" si="401"/>
        <v>Vlatka</v>
      </c>
      <c r="BG299" s="66" t="str">
        <f t="shared" si="402"/>
        <v>Stupalo</v>
      </c>
      <c r="BH299" s="47" t="s">
        <v>0</v>
      </c>
      <c r="BI299" s="52" t="str">
        <f t="shared" si="362"/>
        <v>Vihor</v>
      </c>
      <c r="BJ299" s="31" t="str">
        <f t="shared" si="363"/>
        <v>OK Vihor</v>
      </c>
      <c r="BK299" s="73" t="str">
        <f t="shared" si="364"/>
        <v/>
      </c>
      <c r="BL299" s="31" t="str" cm="1">
        <f t="array" ref="BL299">IF(BK299="",""&amp;BJ299,IF(BK299="NEMA",BJ299,INDEX(regKlub_naziv,MATCH(INDEX(regKlub_alias_klubId,BK299),regKlub_id,0))))</f>
        <v>OK Vihor</v>
      </c>
      <c r="BM299" s="31" t="str" cm="1">
        <f t="array" ref="BM299">IFERROR(""&amp;INDEX(regNatjecatelj_klub,DV299),"")</f>
        <v>OK Vihor</v>
      </c>
      <c r="BN299" s="88" t="str">
        <f t="shared" si="403"/>
        <v/>
      </c>
      <c r="BO299" s="66" t="str">
        <f t="shared" si="404"/>
        <v>OK Vihor</v>
      </c>
      <c r="BP299" s="47" t="s">
        <v>0</v>
      </c>
      <c r="BQ299" s="52" t="str">
        <f>IF(X299&lt;&gt;"NEMA","",IF(IFERROR(MATCH(W299,W$12:W298,0),0)&lt;&gt;0,"",W299))</f>
        <v/>
      </c>
      <c r="BR299" s="73" t="str">
        <f t="shared" si="405"/>
        <v/>
      </c>
      <c r="BS299" s="31" t="str">
        <f>IF(OR(BR299="",BR299&lt;&gt;"NEMA"),"",MAX(BS$12:BS298)+1)</f>
        <v/>
      </c>
      <c r="BT299" s="66" t="str">
        <f t="shared" si="406"/>
        <v/>
      </c>
      <c r="BU299" s="47" t="s">
        <v>0</v>
      </c>
      <c r="BV299" s="19" t="str">
        <f t="shared" si="407"/>
        <v/>
      </c>
      <c r="BW299" s="47" t="s">
        <v>0</v>
      </c>
      <c r="BX299" s="82" t="str">
        <f>IF(BK299&lt;&gt;"NEMA","",IF(IFERROR(MATCH(BJ299,BJ$12:BJ298,0),0)&lt;&gt;0,"",BJ299))</f>
        <v/>
      </c>
      <c r="BY299" s="47" t="s">
        <v>0</v>
      </c>
      <c r="BZ299" s="125"/>
      <c r="CA299" s="47" t="s">
        <v>0</v>
      </c>
      <c r="CB299" s="58" t="str">
        <f t="shared" si="408"/>
        <v/>
      </c>
      <c r="CC299" s="31" t="str">
        <f t="shared" si="409"/>
        <v/>
      </c>
      <c r="CD299" s="31" t="str">
        <f>IF(CC299="","",MAX(CD$12:CD298)+1)</f>
        <v/>
      </c>
      <c r="CE299" s="31" t="str">
        <f t="shared" si="365"/>
        <v/>
      </c>
      <c r="CF299" s="31" t="str">
        <f t="shared" si="410"/>
        <v/>
      </c>
      <c r="CG299" s="31" t="str">
        <f>IF(BZ299="","",MAX(CG$12:CG298)+1)</f>
        <v/>
      </c>
      <c r="CH299" s="31" t="str">
        <f t="shared" si="411"/>
        <v/>
      </c>
      <c r="CI299" s="66" t="str">
        <f t="shared" si="412"/>
        <v/>
      </c>
      <c r="CJ299" s="47" t="s">
        <v>0</v>
      </c>
      <c r="CK299" s="73" t="str">
        <f t="shared" si="366"/>
        <v/>
      </c>
      <c r="CL299" s="47"/>
      <c r="CM299" s="19" t="str">
        <f t="shared" si="413"/>
        <v/>
      </c>
      <c r="CN299" s="47" t="s">
        <v>0</v>
      </c>
      <c r="CO299" s="143" t="str">
        <f t="shared" si="414"/>
        <v>OK Vihor</v>
      </c>
      <c r="CP299" s="47" t="s">
        <v>0</v>
      </c>
      <c r="CQ299" s="58" t="str">
        <f t="shared" si="430"/>
        <v>64:07</v>
      </c>
      <c r="CR299" s="73" t="str">
        <f t="shared" si="431"/>
        <v>0</v>
      </c>
      <c r="CS299" s="229" t="str">
        <f t="shared" si="367"/>
        <v/>
      </c>
      <c r="CT299" s="230">
        <f t="shared" si="352"/>
        <v>3847</v>
      </c>
      <c r="CU299" s="163">
        <f t="shared" si="368"/>
        <v>1</v>
      </c>
      <c r="CV299" s="47" t="s">
        <v>0</v>
      </c>
      <c r="CW299" s="222" t="str">
        <f t="shared" si="415"/>
        <v xml:space="preserve">
</v>
      </c>
      <c r="CX299" s="223">
        <f t="shared" si="416"/>
        <v>6</v>
      </c>
      <c r="CY299" s="47" t="s">
        <v>0</v>
      </c>
      <c r="CZ299" s="47"/>
      <c r="DA299" s="47"/>
      <c r="DB299" s="47"/>
      <c r="DC299" s="47" t="s">
        <v>0</v>
      </c>
      <c r="DD299" s="53" t="str">
        <f t="shared" si="424"/>
        <v/>
      </c>
      <c r="DE299" t="s">
        <v>0</v>
      </c>
      <c r="DF299" s="128" t="str">
        <f t="shared" si="425"/>
        <v>Ž</v>
      </c>
      <c r="DG299" t="s">
        <v>0</v>
      </c>
      <c r="DH299" s="52" t="str">
        <f t="shared" si="426"/>
        <v/>
      </c>
      <c r="DI299" s="66" t="str">
        <f t="shared" si="427"/>
        <v/>
      </c>
      <c r="DJ299" t="s">
        <v>0</v>
      </c>
      <c r="DK299" s="19" t="str">
        <f t="shared" si="428"/>
        <v/>
      </c>
      <c r="DL299" s="47" t="s">
        <v>0</v>
      </c>
      <c r="DM299" s="19" t="str">
        <f t="shared" si="429"/>
        <v/>
      </c>
      <c r="DN299" s="47" t="s">
        <v>0</v>
      </c>
      <c r="DO299" s="52" t="str">
        <f t="shared" si="369"/>
        <v>Vlatka – Stupalo – OK Vihor – Ž35</v>
      </c>
      <c r="DP299" s="53">
        <f t="shared" si="370"/>
        <v>913</v>
      </c>
      <c r="DQ299" s="47" t="s">
        <v>0</v>
      </c>
      <c r="DR299" s="52" t="str">
        <f t="shared" si="371"/>
        <v>Vlatka – Stupalo – OK Vihor</v>
      </c>
      <c r="DS299" s="53">
        <f t="shared" si="372"/>
        <v>913</v>
      </c>
      <c r="DT299" s="47" t="s">
        <v>0</v>
      </c>
      <c r="DU299" s="52" t="str">
        <f t="shared" si="373"/>
        <v>Vlatka – Stupalo</v>
      </c>
      <c r="DV299" s="53">
        <f t="shared" si="374"/>
        <v>913</v>
      </c>
      <c r="DW299" s="47" t="s">
        <v>0</v>
      </c>
      <c r="DX299" s="58">
        <f t="shared" si="417"/>
        <v>913</v>
      </c>
      <c r="DY299" s="53" cm="1">
        <f t="array" ref="DY299">IF(DX299&lt;&gt;"",INDEX(regNatjecatelj_id,DX299,0),IF(BD299&lt;&gt;"",BD299,""))</f>
        <v>1262</v>
      </c>
      <c r="DZ299" s="47" t="s">
        <v>0</v>
      </c>
      <c r="EA299" s="58" t="str">
        <f t="shared" si="375"/>
        <v>imepre</v>
      </c>
      <c r="EB299" s="73" t="str">
        <f t="shared" si="376"/>
        <v>klu</v>
      </c>
      <c r="EC299" s="73" t="str">
        <f t="shared" si="377"/>
        <v>kat</v>
      </c>
      <c r="ED299" s="73" t="str">
        <f t="shared" si="378"/>
        <v/>
      </c>
      <c r="EE299" s="66" t="str">
        <f t="shared" si="379"/>
        <v>imepre-klu-kat</v>
      </c>
      <c r="EF299" s="47" t="s">
        <v>0</v>
      </c>
      <c r="EG299" s="58">
        <f>IF(AL299="","",MAX(EG$12:EG298)+1)</f>
        <v>449</v>
      </c>
      <c r="EH299" s="73">
        <f t="shared" si="380"/>
        <v>41</v>
      </c>
      <c r="EI299" s="73">
        <f t="shared" si="418"/>
        <v>1262</v>
      </c>
      <c r="EJ299" s="73">
        <f t="shared" si="381"/>
        <v>3847</v>
      </c>
      <c r="EK299" s="73">
        <f t="shared" si="382"/>
        <v>1</v>
      </c>
      <c r="EL299" s="73">
        <f t="shared" si="419"/>
        <v>1</v>
      </c>
      <c r="EM299" s="73">
        <f t="shared" si="420"/>
        <v>1</v>
      </c>
      <c r="EN299" s="73" t="str">
        <f t="shared" si="383"/>
        <v>0</v>
      </c>
      <c r="EO299" s="73" t="str">
        <f t="shared" si="384"/>
        <v/>
      </c>
      <c r="EP299" s="73" t="str">
        <f t="shared" si="385"/>
        <v/>
      </c>
      <c r="EQ299" s="53" t="str">
        <f t="shared" si="386"/>
        <v/>
      </c>
      <c r="ER299" s="47" t="s">
        <v>0</v>
      </c>
      <c r="ES299" s="19" t="str">
        <f t="shared" si="421"/>
        <v>INSERT INTO rezultat(id,stazakategorija_id,imeprezime_id,vrijeme_sec,status_id,registracija,uparivanje_id,originalstatus_id,imeprezimealias_id,klubalias_id,kategorijaalias_id) VALUES (449,41,1262,3847,1,1,1,0,Null,Null,Null);</v>
      </c>
      <c r="ET299" s="47" t="s">
        <v>0</v>
      </c>
      <c r="EU299" s="19" t="str">
        <f t="shared" si="422"/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9" s="47" t="s">
        <v>0</v>
      </c>
      <c r="EW299" s="180" t="str">
        <f t="shared" si="387"/>
        <v xml:space="preserve">
INSERT INTO rezultat(id,stazakategorija_id,imeprezime_id,vrijeme_sec,status_id,registracija,uparivanje_id,originalstatus_id,imeprezimealias_id,klubalias_id,kategorijaalias_id) VALUES (449,41,1262,3847,1,1,1,0,Null,Null,Null);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9" s="47" t="s">
        <v>0</v>
      </c>
    </row>
    <row r="300" spans="1:154" x14ac:dyDescent="0.25">
      <c r="A300" t="s">
        <v>0</v>
      </c>
      <c r="B300" s="52" t="str">
        <f>IF(csv!F290="","",csv!T290)</f>
        <v>Ž35</v>
      </c>
      <c r="C300" s="31" t="s">
        <v>0</v>
      </c>
      <c r="D300" s="31" t="str">
        <f>IF(csv!F290="","",csv!F290)</f>
        <v>Bernardica</v>
      </c>
      <c r="E300" s="31" t="str">
        <f>IF(csv!E290="","",csv!E290)</f>
        <v>Stipić</v>
      </c>
      <c r="F300" s="31" t="s">
        <v>0</v>
      </c>
      <c r="G300" s="73" t="str">
        <f>IF(csv!M290="","",csv!M290)</f>
        <v>64:51</v>
      </c>
      <c r="H300" s="73" t="str">
        <f>IF(csv!N290="","",csv!N290)</f>
        <v>0</v>
      </c>
      <c r="I300" s="31" t="s">
        <v>0</v>
      </c>
      <c r="J300" s="31" t="str">
        <f>IF(csv!P290="","",csv!P290)</f>
        <v>Vihor</v>
      </c>
      <c r="K300" s="31" t="str">
        <f>IF(csv!Q290="","",csv!Q290)</f>
        <v>OK Vihor</v>
      </c>
      <c r="L300" s="31" t="s">
        <v>0</v>
      </c>
      <c r="M300" s="66" t="str">
        <f>IF(csv!R290="","",csv!R290)</f>
        <v>CRO</v>
      </c>
      <c r="N300" s="47" t="s">
        <v>0</v>
      </c>
      <c r="O300" s="246" t="str">
        <f t="shared" si="388"/>
        <v>ok</v>
      </c>
      <c r="P300" s="47"/>
      <c r="Q300" s="52" t="str">
        <f t="shared" si="389"/>
        <v>Ž35</v>
      </c>
      <c r="R300" s="73">
        <f>IF(Q300="","",IF(COUNTIF(Q$12:Q299,Q300)=0,R299+1,R299))</f>
        <v>19</v>
      </c>
      <c r="S300" s="73">
        <f t="shared" si="390"/>
        <v>117</v>
      </c>
      <c r="T300" s="73">
        <f t="shared" si="353"/>
        <v>26</v>
      </c>
      <c r="U300" s="66" t="str">
        <f t="shared" si="354"/>
        <v>Ž35</v>
      </c>
      <c r="V300" s="47" t="s">
        <v>0</v>
      </c>
      <c r="W300" s="222" t="str">
        <f t="shared" si="355"/>
        <v>Ž35</v>
      </c>
      <c r="X300" s="223">
        <f t="shared" si="356"/>
        <v>41</v>
      </c>
      <c r="Y300" s="47" t="s">
        <v>0</v>
      </c>
      <c r="Z300" s="52" t="str">
        <f t="shared" si="391"/>
        <v>CRO</v>
      </c>
      <c r="AA300" s="73">
        <f t="shared" si="357"/>
        <v>1</v>
      </c>
      <c r="AB300" s="31" t="str">
        <f t="shared" si="392"/>
        <v/>
      </c>
      <c r="AC300" s="66" t="str">
        <f>IF(AB300="","",MAX(AC$12:AC299)+1)</f>
        <v/>
      </c>
      <c r="AD300" s="47" t="s">
        <v>0</v>
      </c>
      <c r="AE300" s="125"/>
      <c r="AF300" s="47" t="s">
        <v>0</v>
      </c>
      <c r="AG300" s="19" t="str">
        <f t="shared" si="393"/>
        <v/>
      </c>
      <c r="AH300" s="47" t="s">
        <v>0</v>
      </c>
      <c r="AI300" s="143" t="str">
        <f t="shared" si="394"/>
        <v>CRO</v>
      </c>
      <c r="AJ300" s="47"/>
      <c r="AK300" s="52" t="str">
        <f t="shared" si="395"/>
        <v>Bernardica</v>
      </c>
      <c r="AL300" s="31" t="str">
        <f t="shared" si="396"/>
        <v>Stipić</v>
      </c>
      <c r="AM300" s="73">
        <f t="shared" si="397"/>
        <v>1326</v>
      </c>
      <c r="AN300" s="73" t="str">
        <f t="shared" si="398"/>
        <v/>
      </c>
      <c r="AO300" s="31" t="str">
        <f t="shared" si="358"/>
        <v>Bernardica</v>
      </c>
      <c r="AP300" s="66" t="str">
        <f t="shared" si="359"/>
        <v>Stipić</v>
      </c>
      <c r="AQ300" s="47" t="s">
        <v>0</v>
      </c>
      <c r="AR300" s="82" t="str">
        <f t="shared" si="399"/>
        <v/>
      </c>
      <c r="AS300" s="47" t="s">
        <v>0</v>
      </c>
      <c r="AT300" s="19" t="str">
        <f t="shared" si="400"/>
        <v/>
      </c>
      <c r="AU300" s="47" t="s">
        <v>0</v>
      </c>
      <c r="AV300" s="103"/>
      <c r="AW300" s="105"/>
      <c r="AX300" s="47" t="s">
        <v>0</v>
      </c>
      <c r="AY300" s="259" t="str">
        <f t="shared" si="423"/>
        <v/>
      </c>
      <c r="AZ300" s="47" t="s">
        <v>0</v>
      </c>
      <c r="BA300" s="52" t="str">
        <f t="shared" si="360"/>
        <v/>
      </c>
      <c r="BB300" s="73" t="str">
        <f>IF(AV300&amp;AW300="","",MAX(BB$12:BB299)+1)</f>
        <v/>
      </c>
      <c r="BC300" s="272" t="str">
        <f t="shared" si="361"/>
        <v/>
      </c>
      <c r="BD300" s="53" t="str">
        <f>IF(AND(AM300="NEMA",AN300="NEMA",OR(AV300&amp;AW300="",BC300="NEMA")),MAX(BD$12:BD299)+1,"")</f>
        <v/>
      </c>
      <c r="BE300" s="47" t="s">
        <v>0</v>
      </c>
      <c r="BF300" s="52" t="str">
        <f t="shared" si="401"/>
        <v>Bernardica</v>
      </c>
      <c r="BG300" s="66" t="str">
        <f t="shared" si="402"/>
        <v>Stipić</v>
      </c>
      <c r="BH300" s="47" t="s">
        <v>0</v>
      </c>
      <c r="BI300" s="52" t="str">
        <f t="shared" si="362"/>
        <v>Vihor</v>
      </c>
      <c r="BJ300" s="31" t="str">
        <f t="shared" si="363"/>
        <v>OK Vihor</v>
      </c>
      <c r="BK300" s="73" t="str">
        <f t="shared" si="364"/>
        <v/>
      </c>
      <c r="BL300" s="31" t="str" cm="1">
        <f t="array" ref="BL300">IF(BK300="",""&amp;BJ300,IF(BK300="NEMA",BJ300,INDEX(regKlub_naziv,MATCH(INDEX(regKlub_alias_klubId,BK300),regKlub_id,0))))</f>
        <v>OK Vihor</v>
      </c>
      <c r="BM300" s="31" t="str" cm="1">
        <f t="array" ref="BM300">IFERROR(""&amp;INDEX(regNatjecatelj_klub,DV300),"")</f>
        <v>OK Vihor</v>
      </c>
      <c r="BN300" s="88" t="str">
        <f t="shared" si="403"/>
        <v/>
      </c>
      <c r="BO300" s="66" t="str">
        <f t="shared" si="404"/>
        <v>OK Vihor</v>
      </c>
      <c r="BP300" s="47" t="s">
        <v>0</v>
      </c>
      <c r="BQ300" s="52" t="str">
        <f>IF(X300&lt;&gt;"NEMA","",IF(IFERROR(MATCH(W300,W$12:W299,0),0)&lt;&gt;0,"",W300))</f>
        <v/>
      </c>
      <c r="BR300" s="73" t="str">
        <f t="shared" si="405"/>
        <v/>
      </c>
      <c r="BS300" s="31" t="str">
        <f>IF(OR(BR300="",BR300&lt;&gt;"NEMA"),"",MAX(BS$12:BS299)+1)</f>
        <v/>
      </c>
      <c r="BT300" s="66" t="str">
        <f t="shared" si="406"/>
        <v/>
      </c>
      <c r="BU300" s="47" t="s">
        <v>0</v>
      </c>
      <c r="BV300" s="19" t="str">
        <f t="shared" si="407"/>
        <v/>
      </c>
      <c r="BW300" s="47" t="s">
        <v>0</v>
      </c>
      <c r="BX300" s="82" t="str">
        <f>IF(BK300&lt;&gt;"NEMA","",IF(IFERROR(MATCH(BJ300,BJ$12:BJ299,0),0)&lt;&gt;0,"",BJ300))</f>
        <v/>
      </c>
      <c r="BY300" s="47" t="s">
        <v>0</v>
      </c>
      <c r="BZ300" s="125"/>
      <c r="CA300" s="47" t="s">
        <v>0</v>
      </c>
      <c r="CB300" s="58" t="str">
        <f t="shared" si="408"/>
        <v/>
      </c>
      <c r="CC300" s="31" t="str">
        <f t="shared" si="409"/>
        <v/>
      </c>
      <c r="CD300" s="31" t="str">
        <f>IF(CC300="","",MAX(CD$12:CD299)+1)</f>
        <v/>
      </c>
      <c r="CE300" s="31" t="str">
        <f t="shared" si="365"/>
        <v/>
      </c>
      <c r="CF300" s="31" t="str">
        <f t="shared" si="410"/>
        <v/>
      </c>
      <c r="CG300" s="31" t="str">
        <f>IF(BZ300="","",MAX(CG$12:CG299)+1)</f>
        <v/>
      </c>
      <c r="CH300" s="31" t="str">
        <f t="shared" si="411"/>
        <v/>
      </c>
      <c r="CI300" s="66" t="str">
        <f t="shared" si="412"/>
        <v/>
      </c>
      <c r="CJ300" s="47" t="s">
        <v>0</v>
      </c>
      <c r="CK300" s="73" t="str">
        <f t="shared" si="366"/>
        <v/>
      </c>
      <c r="CL300" s="47"/>
      <c r="CM300" s="19" t="str">
        <f t="shared" si="413"/>
        <v/>
      </c>
      <c r="CN300" s="47" t="s">
        <v>0</v>
      </c>
      <c r="CO300" s="143" t="str">
        <f t="shared" si="414"/>
        <v>OK Vihor</v>
      </c>
      <c r="CP300" s="47" t="s">
        <v>0</v>
      </c>
      <c r="CQ300" s="58" t="str">
        <f t="shared" si="430"/>
        <v>64:51</v>
      </c>
      <c r="CR300" s="73" t="str">
        <f t="shared" si="431"/>
        <v>0</v>
      </c>
      <c r="CS300" s="229" t="str">
        <f t="shared" si="367"/>
        <v/>
      </c>
      <c r="CT300" s="230">
        <f t="shared" si="352"/>
        <v>3891</v>
      </c>
      <c r="CU300" s="163">
        <f t="shared" si="368"/>
        <v>1</v>
      </c>
      <c r="CV300" s="47" t="s">
        <v>0</v>
      </c>
      <c r="CW300" s="222" t="str">
        <f t="shared" si="415"/>
        <v xml:space="preserve">
</v>
      </c>
      <c r="CX300" s="223">
        <f t="shared" si="416"/>
        <v>6</v>
      </c>
      <c r="CY300" s="47" t="s">
        <v>0</v>
      </c>
      <c r="CZ300" s="47"/>
      <c r="DA300" s="47"/>
      <c r="DB300" s="47"/>
      <c r="DC300" s="47" t="s">
        <v>0</v>
      </c>
      <c r="DD300" s="53" t="str">
        <f t="shared" si="424"/>
        <v/>
      </c>
      <c r="DE300" t="s">
        <v>0</v>
      </c>
      <c r="DF300" s="128" t="str">
        <f t="shared" si="425"/>
        <v>Ž</v>
      </c>
      <c r="DG300" t="s">
        <v>0</v>
      </c>
      <c r="DH300" s="52" t="str">
        <f t="shared" si="426"/>
        <v/>
      </c>
      <c r="DI300" s="66" t="str">
        <f t="shared" si="427"/>
        <v/>
      </c>
      <c r="DJ300" t="s">
        <v>0</v>
      </c>
      <c r="DK300" s="19" t="str">
        <f t="shared" si="428"/>
        <v/>
      </c>
      <c r="DL300" s="47" t="s">
        <v>0</v>
      </c>
      <c r="DM300" s="19" t="str">
        <f t="shared" si="429"/>
        <v/>
      </c>
      <c r="DN300" s="47" t="s">
        <v>0</v>
      </c>
      <c r="DO300" s="52" t="str">
        <f t="shared" si="369"/>
        <v>Bernardica – Stipić – OK Vihor – Ž35</v>
      </c>
      <c r="DP300" s="53">
        <f t="shared" si="370"/>
        <v>912</v>
      </c>
      <c r="DQ300" s="47" t="s">
        <v>0</v>
      </c>
      <c r="DR300" s="52" t="str">
        <f t="shared" si="371"/>
        <v>Bernardica – Stipić – OK Vihor</v>
      </c>
      <c r="DS300" s="53">
        <f t="shared" si="372"/>
        <v>912</v>
      </c>
      <c r="DT300" s="47" t="s">
        <v>0</v>
      </c>
      <c r="DU300" s="52" t="str">
        <f t="shared" si="373"/>
        <v>Bernardica – Stipić</v>
      </c>
      <c r="DV300" s="53">
        <f t="shared" si="374"/>
        <v>912</v>
      </c>
      <c r="DW300" s="47" t="s">
        <v>0</v>
      </c>
      <c r="DX300" s="58">
        <f t="shared" si="417"/>
        <v>912</v>
      </c>
      <c r="DY300" s="53" cm="1">
        <f t="array" ref="DY300">IF(DX300&lt;&gt;"",INDEX(regNatjecatelj_id,DX300,0),IF(BD300&lt;&gt;"",BD300,""))</f>
        <v>1326</v>
      </c>
      <c r="DZ300" s="47" t="s">
        <v>0</v>
      </c>
      <c r="EA300" s="58" t="str">
        <f t="shared" si="375"/>
        <v>imepre</v>
      </c>
      <c r="EB300" s="73" t="str">
        <f t="shared" si="376"/>
        <v>klu</v>
      </c>
      <c r="EC300" s="73" t="str">
        <f t="shared" si="377"/>
        <v>kat</v>
      </c>
      <c r="ED300" s="73" t="str">
        <f t="shared" si="378"/>
        <v/>
      </c>
      <c r="EE300" s="66" t="str">
        <f t="shared" si="379"/>
        <v>imepre-klu-kat</v>
      </c>
      <c r="EF300" s="47" t="s">
        <v>0</v>
      </c>
      <c r="EG300" s="58">
        <f>IF(AL300="","",MAX(EG$12:EG299)+1)</f>
        <v>450</v>
      </c>
      <c r="EH300" s="73">
        <f t="shared" si="380"/>
        <v>41</v>
      </c>
      <c r="EI300" s="73">
        <f t="shared" si="418"/>
        <v>1326</v>
      </c>
      <c r="EJ300" s="73">
        <f t="shared" si="381"/>
        <v>3891</v>
      </c>
      <c r="EK300" s="73">
        <f t="shared" si="382"/>
        <v>1</v>
      </c>
      <c r="EL300" s="73">
        <f t="shared" si="419"/>
        <v>1</v>
      </c>
      <c r="EM300" s="73">
        <f t="shared" si="420"/>
        <v>1</v>
      </c>
      <c r="EN300" s="73" t="str">
        <f t="shared" si="383"/>
        <v>0</v>
      </c>
      <c r="EO300" s="73" t="str">
        <f t="shared" si="384"/>
        <v/>
      </c>
      <c r="EP300" s="73" t="str">
        <f t="shared" si="385"/>
        <v/>
      </c>
      <c r="EQ300" s="53" t="str">
        <f t="shared" si="386"/>
        <v/>
      </c>
      <c r="ER300" s="47" t="s">
        <v>0</v>
      </c>
      <c r="ES300" s="19" t="str">
        <f t="shared" si="421"/>
        <v>INSERT INTO rezultat(id,stazakategorija_id,imeprezime_id,vrijeme_sec,status_id,registracija,uparivanje_id,originalstatus_id,imeprezimealias_id,klubalias_id,kategorijaalias_id) VALUES (450,41,1326,3891,1,1,1,0,Null,Null,Null);</v>
      </c>
      <c r="ET300" s="47" t="s">
        <v>0</v>
      </c>
      <c r="EU300" s="19" t="str">
        <f t="shared" si="422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0" s="47" t="s">
        <v>0</v>
      </c>
      <c r="EW300" s="180" t="str">
        <f t="shared" si="387"/>
        <v xml:space="preserve">
INSERT INTO rezultat(id,stazakategorija_id,imeprezime_id,vrijeme_sec,status_id,registracija,uparivanje_id,originalstatus_id,imeprezimealias_id,klubalias_id,kategorijaalias_id) VALUES (450,41,1326,3891,1,1,1,0,Null,Null,Null);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0" s="47" t="s">
        <v>0</v>
      </c>
    </row>
    <row r="301" spans="1:154" x14ac:dyDescent="0.25">
      <c r="A301" t="s">
        <v>0</v>
      </c>
      <c r="B301" s="52" t="str">
        <f>IF(csv!F291="","",csv!T291)</f>
        <v>Ž35</v>
      </c>
      <c r="C301" s="31" t="s">
        <v>0</v>
      </c>
      <c r="D301" s="31" t="str">
        <f>IF(csv!F291="","",csv!F291)</f>
        <v>Daniela</v>
      </c>
      <c r="E301" s="31" t="str">
        <f>IF(csv!E291="","",csv!E291)</f>
        <v>Popović Budi</v>
      </c>
      <c r="F301" s="31" t="s">
        <v>0</v>
      </c>
      <c r="G301" s="73" t="str">
        <f>IF(csv!M291="","",csv!M291)</f>
        <v>67:08</v>
      </c>
      <c r="H301" s="73" t="str">
        <f>IF(csv!N291="","",csv!N291)</f>
        <v>0</v>
      </c>
      <c r="I301" s="31" t="s">
        <v>0</v>
      </c>
      <c r="J301" s="31" t="str">
        <f>IF(csv!P291="","",csv!P291)</f>
        <v>JAP</v>
      </c>
      <c r="K301" s="31" t="str">
        <f>IF(csv!Q291="","",csv!Q291)</f>
        <v>OK Japetic</v>
      </c>
      <c r="L301" s="31" t="s">
        <v>0</v>
      </c>
      <c r="M301" s="66" t="str">
        <f>IF(csv!R291="","",csv!R291)</f>
        <v>CRO</v>
      </c>
      <c r="N301" s="47" t="s">
        <v>0</v>
      </c>
      <c r="O301" s="246" t="str">
        <f t="shared" si="388"/>
        <v>ok</v>
      </c>
      <c r="P301" s="47"/>
      <c r="Q301" s="52" t="str">
        <f t="shared" si="389"/>
        <v>Ž35</v>
      </c>
      <c r="R301" s="73">
        <f>IF(Q301="","",IF(COUNTIF(Q$12:Q300,Q301)=0,R300+1,R300))</f>
        <v>19</v>
      </c>
      <c r="S301" s="73">
        <f t="shared" si="390"/>
        <v>117</v>
      </c>
      <c r="T301" s="73">
        <f t="shared" si="353"/>
        <v>26</v>
      </c>
      <c r="U301" s="66" t="str">
        <f t="shared" si="354"/>
        <v>Ž35</v>
      </c>
      <c r="V301" s="47" t="s">
        <v>0</v>
      </c>
      <c r="W301" s="222" t="str">
        <f t="shared" si="355"/>
        <v>Ž35</v>
      </c>
      <c r="X301" s="223">
        <f t="shared" si="356"/>
        <v>41</v>
      </c>
      <c r="Y301" s="47" t="s">
        <v>0</v>
      </c>
      <c r="Z301" s="52" t="str">
        <f t="shared" si="391"/>
        <v>CRO</v>
      </c>
      <c r="AA301" s="73">
        <f t="shared" si="357"/>
        <v>1</v>
      </c>
      <c r="AB301" s="31" t="str">
        <f t="shared" si="392"/>
        <v/>
      </c>
      <c r="AC301" s="66" t="str">
        <f>IF(AB301="","",MAX(AC$12:AC300)+1)</f>
        <v/>
      </c>
      <c r="AD301" s="47" t="s">
        <v>0</v>
      </c>
      <c r="AE301" s="125"/>
      <c r="AF301" s="47" t="s">
        <v>0</v>
      </c>
      <c r="AG301" s="19" t="str">
        <f t="shared" si="393"/>
        <v/>
      </c>
      <c r="AH301" s="47" t="s">
        <v>0</v>
      </c>
      <c r="AI301" s="143" t="str">
        <f t="shared" si="394"/>
        <v>CRO</v>
      </c>
      <c r="AJ301" s="47"/>
      <c r="AK301" s="52" t="str">
        <f t="shared" si="395"/>
        <v>Daniela</v>
      </c>
      <c r="AL301" s="31" t="str">
        <f t="shared" si="396"/>
        <v>Popović Budi</v>
      </c>
      <c r="AM301" s="73">
        <f t="shared" si="397"/>
        <v>1316</v>
      </c>
      <c r="AN301" s="73" t="str">
        <f t="shared" si="398"/>
        <v/>
      </c>
      <c r="AO301" s="31" t="str">
        <f t="shared" si="358"/>
        <v>Daniela</v>
      </c>
      <c r="AP301" s="66" t="str">
        <f t="shared" si="359"/>
        <v>Popović Budi</v>
      </c>
      <c r="AQ301" s="47" t="s">
        <v>0</v>
      </c>
      <c r="AR301" s="82" t="str">
        <f t="shared" si="399"/>
        <v/>
      </c>
      <c r="AS301" s="47" t="s">
        <v>0</v>
      </c>
      <c r="AT301" s="19" t="str">
        <f t="shared" si="400"/>
        <v/>
      </c>
      <c r="AU301" s="47" t="s">
        <v>0</v>
      </c>
      <c r="AV301" s="103"/>
      <c r="AW301" s="105"/>
      <c r="AX301" s="47" t="s">
        <v>0</v>
      </c>
      <c r="AY301" s="259" t="str">
        <f t="shared" si="423"/>
        <v/>
      </c>
      <c r="AZ301" s="47" t="s">
        <v>0</v>
      </c>
      <c r="BA301" s="52" t="str">
        <f t="shared" si="360"/>
        <v/>
      </c>
      <c r="BB301" s="73" t="str">
        <f>IF(AV301&amp;AW301="","",MAX(BB$12:BB300)+1)</f>
        <v/>
      </c>
      <c r="BC301" s="272" t="str">
        <f t="shared" si="361"/>
        <v/>
      </c>
      <c r="BD301" s="53" t="str">
        <f>IF(AND(AM301="NEMA",AN301="NEMA",OR(AV301&amp;AW301="",BC301="NEMA")),MAX(BD$12:BD300)+1,"")</f>
        <v/>
      </c>
      <c r="BE301" s="47" t="s">
        <v>0</v>
      </c>
      <c r="BF301" s="52" t="str">
        <f t="shared" si="401"/>
        <v>Daniela</v>
      </c>
      <c r="BG301" s="66" t="str">
        <f t="shared" si="402"/>
        <v>Popović Budi</v>
      </c>
      <c r="BH301" s="47" t="s">
        <v>0</v>
      </c>
      <c r="BI301" s="52" t="str">
        <f t="shared" si="362"/>
        <v>JAP</v>
      </c>
      <c r="BJ301" s="31" t="str">
        <f t="shared" si="363"/>
        <v>OK Japetic</v>
      </c>
      <c r="BK301" s="73">
        <f t="shared" si="364"/>
        <v>1</v>
      </c>
      <c r="BL301" s="31" t="str" cm="1">
        <f t="array" ref="BL301">IF(BK301="",""&amp;BJ301,IF(BK301="NEMA",BJ301,INDEX(regKlub_naziv,MATCH(INDEX(regKlub_alias_klubId,BK301),regKlub_id,0))))</f>
        <v>OK Japetić</v>
      </c>
      <c r="BM301" s="31" t="str" cm="1">
        <f t="array" ref="BM301">IFERROR(""&amp;INDEX(regNatjecatelj_klub,DV301),"")</f>
        <v>OK Japetić</v>
      </c>
      <c r="BN301" s="88" t="str">
        <f t="shared" si="403"/>
        <v/>
      </c>
      <c r="BO301" s="66" t="str">
        <f t="shared" si="404"/>
        <v>OK Japetić</v>
      </c>
      <c r="BP301" s="47" t="s">
        <v>0</v>
      </c>
      <c r="BQ301" s="52" t="str">
        <f>IF(X301&lt;&gt;"NEMA","",IF(IFERROR(MATCH(W301,W$12:W300,0),0)&lt;&gt;0,"",W301))</f>
        <v/>
      </c>
      <c r="BR301" s="73" t="str">
        <f t="shared" si="405"/>
        <v/>
      </c>
      <c r="BS301" s="31" t="str">
        <f>IF(OR(BR301="",BR301&lt;&gt;"NEMA"),"",MAX(BS$12:BS300)+1)</f>
        <v/>
      </c>
      <c r="BT301" s="66" t="str">
        <f t="shared" si="406"/>
        <v/>
      </c>
      <c r="BU301" s="47" t="s">
        <v>0</v>
      </c>
      <c r="BV301" s="19" t="str">
        <f t="shared" si="407"/>
        <v/>
      </c>
      <c r="BW301" s="47" t="s">
        <v>0</v>
      </c>
      <c r="BX301" s="82" t="str">
        <f>IF(BK301&lt;&gt;"NEMA","",IF(IFERROR(MATCH(BJ301,BJ$12:BJ300,0),0)&lt;&gt;0,"",BJ301))</f>
        <v/>
      </c>
      <c r="BY301" s="47" t="s">
        <v>0</v>
      </c>
      <c r="BZ301" s="125"/>
      <c r="CA301" s="47" t="s">
        <v>0</v>
      </c>
      <c r="CB301" s="58" t="str">
        <f t="shared" si="408"/>
        <v/>
      </c>
      <c r="CC301" s="31" t="str">
        <f t="shared" si="409"/>
        <v/>
      </c>
      <c r="CD301" s="31" t="str">
        <f>IF(CC301="","",MAX(CD$12:CD300)+1)</f>
        <v/>
      </c>
      <c r="CE301" s="31" t="str">
        <f t="shared" si="365"/>
        <v/>
      </c>
      <c r="CF301" s="31" t="str">
        <f t="shared" si="410"/>
        <v/>
      </c>
      <c r="CG301" s="31" t="str">
        <f>IF(BZ301="","",MAX(CG$12:CG300)+1)</f>
        <v/>
      </c>
      <c r="CH301" s="31" t="str">
        <f t="shared" si="411"/>
        <v/>
      </c>
      <c r="CI301" s="66" t="str">
        <f t="shared" si="412"/>
        <v/>
      </c>
      <c r="CJ301" s="47" t="s">
        <v>0</v>
      </c>
      <c r="CK301" s="73" t="str">
        <f t="shared" si="366"/>
        <v/>
      </c>
      <c r="CL301" s="47"/>
      <c r="CM301" s="19" t="str">
        <f t="shared" si="413"/>
        <v/>
      </c>
      <c r="CN301" s="47" t="s">
        <v>0</v>
      </c>
      <c r="CO301" s="143" t="str">
        <f t="shared" si="414"/>
        <v>OK Japetić</v>
      </c>
      <c r="CP301" s="47" t="s">
        <v>0</v>
      </c>
      <c r="CQ301" s="58" t="str">
        <f t="shared" si="430"/>
        <v>67:08</v>
      </c>
      <c r="CR301" s="73" t="str">
        <f t="shared" si="431"/>
        <v>0</v>
      </c>
      <c r="CS301" s="229" t="str">
        <f t="shared" si="367"/>
        <v/>
      </c>
      <c r="CT301" s="230">
        <f t="shared" si="352"/>
        <v>4028</v>
      </c>
      <c r="CU301" s="163">
        <f t="shared" si="368"/>
        <v>1</v>
      </c>
      <c r="CV301" s="47" t="s">
        <v>0</v>
      </c>
      <c r="CW301" s="222" t="str">
        <f t="shared" si="415"/>
        <v xml:space="preserve">
</v>
      </c>
      <c r="CX301" s="223">
        <f t="shared" si="416"/>
        <v>6</v>
      </c>
      <c r="CY301" s="47" t="s">
        <v>0</v>
      </c>
      <c r="CZ301" s="47"/>
      <c r="DA301" s="47"/>
      <c r="DB301" s="47"/>
      <c r="DC301" s="47" t="s">
        <v>0</v>
      </c>
      <c r="DD301" s="53" t="str">
        <f t="shared" si="424"/>
        <v/>
      </c>
      <c r="DE301" t="s">
        <v>0</v>
      </c>
      <c r="DF301" s="128" t="str">
        <f t="shared" si="425"/>
        <v>Ž</v>
      </c>
      <c r="DG301" t="s">
        <v>0</v>
      </c>
      <c r="DH301" s="52" t="str">
        <f t="shared" si="426"/>
        <v/>
      </c>
      <c r="DI301" s="66" t="str">
        <f t="shared" si="427"/>
        <v/>
      </c>
      <c r="DJ301" t="s">
        <v>0</v>
      </c>
      <c r="DK301" s="19" t="str">
        <f t="shared" si="428"/>
        <v/>
      </c>
      <c r="DL301" s="47" t="s">
        <v>0</v>
      </c>
      <c r="DM301" s="19" t="str">
        <f t="shared" si="429"/>
        <v/>
      </c>
      <c r="DN301" s="47" t="s">
        <v>0</v>
      </c>
      <c r="DO301" s="52" t="str">
        <f t="shared" si="369"/>
        <v>Daniela – Popović Budi – OK Japetić – Ž35</v>
      </c>
      <c r="DP301" s="53">
        <f t="shared" si="370"/>
        <v>133</v>
      </c>
      <c r="DQ301" s="47" t="s">
        <v>0</v>
      </c>
      <c r="DR301" s="52" t="str">
        <f t="shared" si="371"/>
        <v>Daniela – Popović Budi – OK Japetić</v>
      </c>
      <c r="DS301" s="53">
        <f t="shared" si="372"/>
        <v>133</v>
      </c>
      <c r="DT301" s="47" t="s">
        <v>0</v>
      </c>
      <c r="DU301" s="52" t="str">
        <f t="shared" si="373"/>
        <v>Daniela – Popović Budi</v>
      </c>
      <c r="DV301" s="53">
        <f t="shared" si="374"/>
        <v>133</v>
      </c>
      <c r="DW301" s="47" t="s">
        <v>0</v>
      </c>
      <c r="DX301" s="58">
        <f t="shared" si="417"/>
        <v>133</v>
      </c>
      <c r="DY301" s="53" cm="1">
        <f t="array" ref="DY301">IF(DX301&lt;&gt;"",INDEX(regNatjecatelj_id,DX301,0),IF(BD301&lt;&gt;"",BD301,""))</f>
        <v>1316</v>
      </c>
      <c r="DZ301" s="47" t="s">
        <v>0</v>
      </c>
      <c r="EA301" s="58" t="str">
        <f t="shared" si="375"/>
        <v>imepre</v>
      </c>
      <c r="EB301" s="73" t="str">
        <f t="shared" si="376"/>
        <v>klu(ali)</v>
      </c>
      <c r="EC301" s="73" t="str">
        <f t="shared" si="377"/>
        <v>kat</v>
      </c>
      <c r="ED301" s="73" t="str">
        <f t="shared" si="378"/>
        <v/>
      </c>
      <c r="EE301" s="66" t="str">
        <f t="shared" si="379"/>
        <v>imepre-klu(ali)-kat</v>
      </c>
      <c r="EF301" s="47" t="s">
        <v>0</v>
      </c>
      <c r="EG301" s="58">
        <f>IF(AL301="","",MAX(EG$12:EG300)+1)</f>
        <v>451</v>
      </c>
      <c r="EH301" s="73">
        <f t="shared" si="380"/>
        <v>41</v>
      </c>
      <c r="EI301" s="73">
        <f t="shared" si="418"/>
        <v>1316</v>
      </c>
      <c r="EJ301" s="73">
        <f t="shared" si="381"/>
        <v>4028</v>
      </c>
      <c r="EK301" s="73">
        <f t="shared" si="382"/>
        <v>1</v>
      </c>
      <c r="EL301" s="73">
        <f t="shared" si="419"/>
        <v>1</v>
      </c>
      <c r="EM301" s="73">
        <f t="shared" si="420"/>
        <v>3</v>
      </c>
      <c r="EN301" s="73" t="str">
        <f t="shared" si="383"/>
        <v>0</v>
      </c>
      <c r="EO301" s="73" t="str">
        <f t="shared" si="384"/>
        <v/>
      </c>
      <c r="EP301" s="73">
        <f t="shared" si="385"/>
        <v>1</v>
      </c>
      <c r="EQ301" s="53" t="str">
        <f t="shared" si="386"/>
        <v/>
      </c>
      <c r="ER301" s="47" t="s">
        <v>0</v>
      </c>
      <c r="ES301" s="19" t="str">
        <f t="shared" si="421"/>
        <v>INSERT INTO rezultat(id,stazakategorija_id,imeprezime_id,vrijeme_sec,status_id,registracija,uparivanje_id,originalstatus_id,imeprezimealias_id,klubalias_id,kategorijaalias_id) VALUES (451,41,1316,4028,1,1,3,0,Null,1,Null);</v>
      </c>
      <c r="ET301" s="47" t="s">
        <v>0</v>
      </c>
      <c r="EU301" s="19" t="str">
        <f t="shared" si="422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1" s="47" t="s">
        <v>0</v>
      </c>
      <c r="EW301" s="180" t="str">
        <f t="shared" si="387"/>
        <v xml:space="preserve">
INSERT INTO rezultat(id,stazakategorija_id,imeprezime_id,vrijeme_sec,status_id,registracija,uparivanje_id,originalstatus_id,imeprezimealias_id,klubalias_id,kategorijaalias_id) VALUES (451,41,1316,4028,1,1,3,0,Null,1,Null);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1" s="47" t="s">
        <v>0</v>
      </c>
    </row>
    <row r="302" spans="1:154" x14ac:dyDescent="0.25">
      <c r="A302" t="s">
        <v>0</v>
      </c>
      <c r="B302" s="52" t="str">
        <f>IF(csv!F292="","",csv!T292)</f>
        <v>Ž35</v>
      </c>
      <c r="C302" s="31" t="s">
        <v>0</v>
      </c>
      <c r="D302" s="31" t="str">
        <f>IF(csv!F292="","",csv!F292)</f>
        <v>Sandra</v>
      </c>
      <c r="E302" s="31" t="str">
        <f>IF(csv!E292="","",csv!E292)</f>
        <v>Bergant Vidaković</v>
      </c>
      <c r="F302" s="31" t="s">
        <v>0</v>
      </c>
      <c r="G302" s="73" t="str">
        <f>IF(csv!M292="","",csv!M292)</f>
        <v>72:27</v>
      </c>
      <c r="H302" s="73" t="str">
        <f>IF(csv!N292="","",csv!N292)</f>
        <v>0</v>
      </c>
      <c r="I302" s="31" t="s">
        <v>0</v>
      </c>
      <c r="J302" s="31" t="str">
        <f>IF(csv!P292="","",csv!P292)</f>
        <v>KAP</v>
      </c>
      <c r="K302" s="31" t="str">
        <f>IF(csv!Q292="","",csv!Q292)</f>
        <v>OK Kapela</v>
      </c>
      <c r="L302" s="31" t="s">
        <v>0</v>
      </c>
      <c r="M302" s="66" t="str">
        <f>IF(csv!R292="","",csv!R292)</f>
        <v>CRO</v>
      </c>
      <c r="N302" s="47" t="s">
        <v>0</v>
      </c>
      <c r="O302" s="246" t="str">
        <f t="shared" si="388"/>
        <v>ok</v>
      </c>
      <c r="P302" s="47"/>
      <c r="Q302" s="52" t="str">
        <f t="shared" si="389"/>
        <v>Ž35</v>
      </c>
      <c r="R302" s="73">
        <f>IF(Q302="","",IF(COUNTIF(Q$12:Q301,Q302)=0,R301+1,R301))</f>
        <v>19</v>
      </c>
      <c r="S302" s="73">
        <f t="shared" si="390"/>
        <v>117</v>
      </c>
      <c r="T302" s="73">
        <f t="shared" si="353"/>
        <v>26</v>
      </c>
      <c r="U302" s="66" t="str">
        <f t="shared" si="354"/>
        <v>Ž35</v>
      </c>
      <c r="V302" s="47" t="s">
        <v>0</v>
      </c>
      <c r="W302" s="222" t="str">
        <f t="shared" si="355"/>
        <v>Ž35</v>
      </c>
      <c r="X302" s="223">
        <f t="shared" si="356"/>
        <v>41</v>
      </c>
      <c r="Y302" s="47" t="s">
        <v>0</v>
      </c>
      <c r="Z302" s="52" t="str">
        <f t="shared" si="391"/>
        <v>CRO</v>
      </c>
      <c r="AA302" s="73">
        <f t="shared" si="357"/>
        <v>1</v>
      </c>
      <c r="AB302" s="31" t="str">
        <f t="shared" si="392"/>
        <v/>
      </c>
      <c r="AC302" s="66" t="str">
        <f>IF(AB302="","",MAX(AC$12:AC301)+1)</f>
        <v/>
      </c>
      <c r="AD302" s="47" t="s">
        <v>0</v>
      </c>
      <c r="AE302" s="125"/>
      <c r="AF302" s="47" t="s">
        <v>0</v>
      </c>
      <c r="AG302" s="19" t="str">
        <f t="shared" si="393"/>
        <v/>
      </c>
      <c r="AH302" s="47" t="s">
        <v>0</v>
      </c>
      <c r="AI302" s="143" t="str">
        <f t="shared" si="394"/>
        <v>CRO</v>
      </c>
      <c r="AJ302" s="47"/>
      <c r="AK302" s="52" t="str">
        <f t="shared" si="395"/>
        <v>Sandra</v>
      </c>
      <c r="AL302" s="31" t="str">
        <f t="shared" si="396"/>
        <v>Bergant Vidaković</v>
      </c>
      <c r="AM302" s="73">
        <f t="shared" si="397"/>
        <v>1175</v>
      </c>
      <c r="AN302" s="73" t="str">
        <f t="shared" si="398"/>
        <v/>
      </c>
      <c r="AO302" s="31" t="str">
        <f t="shared" si="358"/>
        <v>Sandra</v>
      </c>
      <c r="AP302" s="66" t="str">
        <f t="shared" si="359"/>
        <v>Bergant Vidaković</v>
      </c>
      <c r="AQ302" s="47" t="s">
        <v>0</v>
      </c>
      <c r="AR302" s="82" t="str">
        <f t="shared" si="399"/>
        <v/>
      </c>
      <c r="AS302" s="47" t="s">
        <v>0</v>
      </c>
      <c r="AT302" s="19" t="str">
        <f t="shared" si="400"/>
        <v/>
      </c>
      <c r="AU302" s="47" t="s">
        <v>0</v>
      </c>
      <c r="AV302" s="103"/>
      <c r="AW302" s="105"/>
      <c r="AX302" s="47" t="s">
        <v>0</v>
      </c>
      <c r="AY302" s="259" t="str">
        <f t="shared" si="423"/>
        <v/>
      </c>
      <c r="AZ302" s="47" t="s">
        <v>0</v>
      </c>
      <c r="BA302" s="52" t="str">
        <f t="shared" si="360"/>
        <v/>
      </c>
      <c r="BB302" s="73" t="str">
        <f>IF(AV302&amp;AW302="","",MAX(BB$12:BB301)+1)</f>
        <v/>
      </c>
      <c r="BC302" s="272" t="str">
        <f t="shared" si="361"/>
        <v/>
      </c>
      <c r="BD302" s="53" t="str">
        <f>IF(AND(AM302="NEMA",AN302="NEMA",OR(AV302&amp;AW302="",BC302="NEMA")),MAX(BD$12:BD301)+1,"")</f>
        <v/>
      </c>
      <c r="BE302" s="47" t="s">
        <v>0</v>
      </c>
      <c r="BF302" s="52" t="str">
        <f t="shared" si="401"/>
        <v>Sandra</v>
      </c>
      <c r="BG302" s="66" t="str">
        <f t="shared" si="402"/>
        <v>Bergant Vidaković</v>
      </c>
      <c r="BH302" s="47" t="s">
        <v>0</v>
      </c>
      <c r="BI302" s="52" t="str">
        <f t="shared" si="362"/>
        <v>KAP</v>
      </c>
      <c r="BJ302" s="31" t="str">
        <f t="shared" si="363"/>
        <v>OK Kapela</v>
      </c>
      <c r="BK302" s="73" t="str">
        <f t="shared" si="364"/>
        <v/>
      </c>
      <c r="BL302" s="31" t="str" cm="1">
        <f t="array" ref="BL302">IF(BK302="",""&amp;BJ302,IF(BK302="NEMA",BJ302,INDEX(regKlub_naziv,MATCH(INDEX(regKlub_alias_klubId,BK302),regKlub_id,0))))</f>
        <v>OK Kapela</v>
      </c>
      <c r="BM302" s="31" t="str" cm="1">
        <f t="array" ref="BM302">IFERROR(""&amp;INDEX(regNatjecatelj_klub,DV302),"")</f>
        <v>OK Kapela</v>
      </c>
      <c r="BN302" s="88" t="str">
        <f t="shared" si="403"/>
        <v/>
      </c>
      <c r="BO302" s="66" t="str">
        <f t="shared" si="404"/>
        <v>OK Kapela</v>
      </c>
      <c r="BP302" s="47" t="s">
        <v>0</v>
      </c>
      <c r="BQ302" s="52" t="str">
        <f>IF(X302&lt;&gt;"NEMA","",IF(IFERROR(MATCH(W302,W$12:W301,0),0)&lt;&gt;0,"",W302))</f>
        <v/>
      </c>
      <c r="BR302" s="73" t="str">
        <f t="shared" si="405"/>
        <v/>
      </c>
      <c r="BS302" s="31" t="str">
        <f>IF(OR(BR302="",BR302&lt;&gt;"NEMA"),"",MAX(BS$12:BS301)+1)</f>
        <v/>
      </c>
      <c r="BT302" s="66" t="str">
        <f t="shared" si="406"/>
        <v/>
      </c>
      <c r="BU302" s="47" t="s">
        <v>0</v>
      </c>
      <c r="BV302" s="19" t="str">
        <f t="shared" si="407"/>
        <v/>
      </c>
      <c r="BW302" s="47" t="s">
        <v>0</v>
      </c>
      <c r="BX302" s="82" t="str">
        <f>IF(BK302&lt;&gt;"NEMA","",IF(IFERROR(MATCH(BJ302,BJ$12:BJ301,0),0)&lt;&gt;0,"",BJ302))</f>
        <v/>
      </c>
      <c r="BY302" s="47" t="s">
        <v>0</v>
      </c>
      <c r="BZ302" s="125"/>
      <c r="CA302" s="47" t="s">
        <v>0</v>
      </c>
      <c r="CB302" s="58" t="str">
        <f t="shared" si="408"/>
        <v/>
      </c>
      <c r="CC302" s="31" t="str">
        <f t="shared" si="409"/>
        <v/>
      </c>
      <c r="CD302" s="31" t="str">
        <f>IF(CC302="","",MAX(CD$12:CD301)+1)</f>
        <v/>
      </c>
      <c r="CE302" s="31" t="str">
        <f t="shared" si="365"/>
        <v/>
      </c>
      <c r="CF302" s="31" t="str">
        <f t="shared" si="410"/>
        <v/>
      </c>
      <c r="CG302" s="31" t="str">
        <f>IF(BZ302="","",MAX(CG$12:CG301)+1)</f>
        <v/>
      </c>
      <c r="CH302" s="31" t="str">
        <f t="shared" si="411"/>
        <v/>
      </c>
      <c r="CI302" s="66" t="str">
        <f t="shared" si="412"/>
        <v/>
      </c>
      <c r="CJ302" s="47" t="s">
        <v>0</v>
      </c>
      <c r="CK302" s="73" t="str">
        <f t="shared" si="366"/>
        <v/>
      </c>
      <c r="CL302" s="47"/>
      <c r="CM302" s="19" t="str">
        <f t="shared" si="413"/>
        <v/>
      </c>
      <c r="CN302" s="47" t="s">
        <v>0</v>
      </c>
      <c r="CO302" s="143" t="str">
        <f t="shared" si="414"/>
        <v>OK Kapela</v>
      </c>
      <c r="CP302" s="47" t="s">
        <v>0</v>
      </c>
      <c r="CQ302" s="58" t="str">
        <f t="shared" si="430"/>
        <v>72:27</v>
      </c>
      <c r="CR302" s="73" t="str">
        <f t="shared" si="431"/>
        <v>0</v>
      </c>
      <c r="CS302" s="229" t="str">
        <f t="shared" si="367"/>
        <v/>
      </c>
      <c r="CT302" s="230">
        <f t="shared" si="352"/>
        <v>4347</v>
      </c>
      <c r="CU302" s="163">
        <f t="shared" si="368"/>
        <v>1</v>
      </c>
      <c r="CV302" s="47" t="s">
        <v>0</v>
      </c>
      <c r="CW302" s="222" t="str">
        <f t="shared" si="415"/>
        <v xml:space="preserve">
</v>
      </c>
      <c r="CX302" s="223">
        <f t="shared" si="416"/>
        <v>6</v>
      </c>
      <c r="CY302" s="47" t="s">
        <v>0</v>
      </c>
      <c r="CZ302" s="47"/>
      <c r="DA302" s="47"/>
      <c r="DB302" s="47"/>
      <c r="DC302" s="47" t="s">
        <v>0</v>
      </c>
      <c r="DD302" s="53" t="str">
        <f t="shared" si="424"/>
        <v/>
      </c>
      <c r="DE302" t="s">
        <v>0</v>
      </c>
      <c r="DF302" s="128" t="str">
        <f t="shared" si="425"/>
        <v>Ž</v>
      </c>
      <c r="DG302" t="s">
        <v>0</v>
      </c>
      <c r="DH302" s="52" t="str">
        <f t="shared" si="426"/>
        <v/>
      </c>
      <c r="DI302" s="66" t="str">
        <f t="shared" si="427"/>
        <v/>
      </c>
      <c r="DJ302" t="s">
        <v>0</v>
      </c>
      <c r="DK302" s="19" t="str">
        <f t="shared" si="428"/>
        <v/>
      </c>
      <c r="DL302" s="47" t="s">
        <v>0</v>
      </c>
      <c r="DM302" s="19" t="str">
        <f t="shared" si="429"/>
        <v/>
      </c>
      <c r="DN302" s="47" t="s">
        <v>0</v>
      </c>
      <c r="DO302" s="52" t="str">
        <f t="shared" si="369"/>
        <v>Sandra – Bergant Vidaković – OK Kapela – Ž35</v>
      </c>
      <c r="DP302" s="53">
        <f t="shared" si="370"/>
        <v>209</v>
      </c>
      <c r="DQ302" s="47" t="s">
        <v>0</v>
      </c>
      <c r="DR302" s="52" t="str">
        <f t="shared" si="371"/>
        <v>Sandra – Bergant Vidaković – OK Kapela</v>
      </c>
      <c r="DS302" s="53">
        <f t="shared" si="372"/>
        <v>209</v>
      </c>
      <c r="DT302" s="47" t="s">
        <v>0</v>
      </c>
      <c r="DU302" s="52" t="str">
        <f t="shared" si="373"/>
        <v>Sandra – Bergant Vidaković</v>
      </c>
      <c r="DV302" s="53">
        <f t="shared" si="374"/>
        <v>209</v>
      </c>
      <c r="DW302" s="47" t="s">
        <v>0</v>
      </c>
      <c r="DX302" s="58">
        <f t="shared" si="417"/>
        <v>209</v>
      </c>
      <c r="DY302" s="53" cm="1">
        <f t="array" ref="DY302">IF(DX302&lt;&gt;"",INDEX(regNatjecatelj_id,DX302,0),IF(BD302&lt;&gt;"",BD302,""))</f>
        <v>1175</v>
      </c>
      <c r="DZ302" s="47" t="s">
        <v>0</v>
      </c>
      <c r="EA302" s="58" t="str">
        <f t="shared" si="375"/>
        <v>imepre</v>
      </c>
      <c r="EB302" s="73" t="str">
        <f t="shared" si="376"/>
        <v>klu</v>
      </c>
      <c r="EC302" s="73" t="str">
        <f t="shared" si="377"/>
        <v>kat</v>
      </c>
      <c r="ED302" s="73" t="str">
        <f t="shared" si="378"/>
        <v/>
      </c>
      <c r="EE302" s="66" t="str">
        <f t="shared" si="379"/>
        <v>imepre-klu-kat</v>
      </c>
      <c r="EF302" s="47" t="s">
        <v>0</v>
      </c>
      <c r="EG302" s="58">
        <f>IF(AL302="","",MAX(EG$12:EG301)+1)</f>
        <v>452</v>
      </c>
      <c r="EH302" s="73">
        <f t="shared" si="380"/>
        <v>41</v>
      </c>
      <c r="EI302" s="73">
        <f t="shared" si="418"/>
        <v>1175</v>
      </c>
      <c r="EJ302" s="73">
        <f t="shared" si="381"/>
        <v>4347</v>
      </c>
      <c r="EK302" s="73">
        <f t="shared" si="382"/>
        <v>1</v>
      </c>
      <c r="EL302" s="73">
        <f t="shared" si="419"/>
        <v>1</v>
      </c>
      <c r="EM302" s="73">
        <f t="shared" si="420"/>
        <v>1</v>
      </c>
      <c r="EN302" s="73" t="str">
        <f t="shared" si="383"/>
        <v>0</v>
      </c>
      <c r="EO302" s="73" t="str">
        <f t="shared" si="384"/>
        <v/>
      </c>
      <c r="EP302" s="73" t="str">
        <f t="shared" si="385"/>
        <v/>
      </c>
      <c r="EQ302" s="53" t="str">
        <f t="shared" si="386"/>
        <v/>
      </c>
      <c r="ER302" s="47" t="s">
        <v>0</v>
      </c>
      <c r="ES302" s="19" t="str">
        <f t="shared" si="421"/>
        <v>INSERT INTO rezultat(id,stazakategorija_id,imeprezime_id,vrijeme_sec,status_id,registracija,uparivanje_id,originalstatus_id,imeprezimealias_id,klubalias_id,kategorijaalias_id) VALUES (452,41,1175,4347,1,1,1,0,Null,Null,Null);</v>
      </c>
      <c r="ET302" s="47" t="s">
        <v>0</v>
      </c>
      <c r="EU302" s="19" t="str">
        <f t="shared" si="422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2" s="47" t="s">
        <v>0</v>
      </c>
      <c r="EW302" s="180" t="str">
        <f t="shared" si="387"/>
        <v xml:space="preserve">
INSERT INTO rezultat(id,stazakategorija_id,imeprezime_id,vrijeme_sec,status_id,registracija,uparivanje_id,originalstatus_id,imeprezimealias_id,klubalias_id,kategorijaalias_id) VALUES (452,41,1175,4347,1,1,1,0,Null,Null,Null);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2" s="47" t="s">
        <v>0</v>
      </c>
    </row>
    <row r="303" spans="1:154" x14ac:dyDescent="0.25">
      <c r="A303" t="s">
        <v>0</v>
      </c>
      <c r="B303" s="52" t="str">
        <f>IF(csv!F293="","",csv!T293)</f>
        <v>Ž35</v>
      </c>
      <c r="C303" s="31" t="s">
        <v>0</v>
      </c>
      <c r="D303" s="31" t="str">
        <f>IF(csv!F293="","",csv!F293)</f>
        <v>Aida</v>
      </c>
      <c r="E303" s="31" t="str">
        <f>IF(csv!E293="","",csv!E293)</f>
        <v>Krkić Drobić</v>
      </c>
      <c r="F303" s="31" t="s">
        <v>0</v>
      </c>
      <c r="G303" s="73" t="str">
        <f>IF(csv!M293="","",csv!M293)</f>
        <v>74:44</v>
      </c>
      <c r="H303" s="73" t="str">
        <f>IF(csv!N293="","",csv!N293)</f>
        <v>0</v>
      </c>
      <c r="I303" s="31" t="s">
        <v>0</v>
      </c>
      <c r="J303" s="31" t="str">
        <f>IF(csv!P293="","",csv!P293)</f>
        <v>KAP</v>
      </c>
      <c r="K303" s="31" t="str">
        <f>IF(csv!Q293="","",csv!Q293)</f>
        <v>OK Kapela</v>
      </c>
      <c r="L303" s="31" t="s">
        <v>0</v>
      </c>
      <c r="M303" s="66" t="str">
        <f>IF(csv!R293="","",csv!R293)</f>
        <v>CRO</v>
      </c>
      <c r="N303" s="47" t="s">
        <v>0</v>
      </c>
      <c r="O303" s="246" t="str">
        <f t="shared" si="388"/>
        <v>ok</v>
      </c>
      <c r="P303" s="47"/>
      <c r="Q303" s="52" t="str">
        <f t="shared" si="389"/>
        <v>Ž35</v>
      </c>
      <c r="R303" s="73">
        <f>IF(Q303="","",IF(COUNTIF(Q$12:Q302,Q303)=0,R302+1,R302))</f>
        <v>19</v>
      </c>
      <c r="S303" s="73">
        <f t="shared" si="390"/>
        <v>117</v>
      </c>
      <c r="T303" s="73">
        <f t="shared" si="353"/>
        <v>26</v>
      </c>
      <c r="U303" s="66" t="str">
        <f t="shared" si="354"/>
        <v>Ž35</v>
      </c>
      <c r="V303" s="47" t="s">
        <v>0</v>
      </c>
      <c r="W303" s="222" t="str">
        <f t="shared" si="355"/>
        <v>Ž35</v>
      </c>
      <c r="X303" s="223">
        <f t="shared" si="356"/>
        <v>41</v>
      </c>
      <c r="Y303" s="47" t="s">
        <v>0</v>
      </c>
      <c r="Z303" s="52" t="str">
        <f t="shared" si="391"/>
        <v>CRO</v>
      </c>
      <c r="AA303" s="73">
        <f t="shared" si="357"/>
        <v>1</v>
      </c>
      <c r="AB303" s="31" t="str">
        <f t="shared" si="392"/>
        <v/>
      </c>
      <c r="AC303" s="66" t="str">
        <f>IF(AB303="","",MAX(AC$12:AC302)+1)</f>
        <v/>
      </c>
      <c r="AD303" s="47" t="s">
        <v>0</v>
      </c>
      <c r="AE303" s="125"/>
      <c r="AF303" s="47" t="s">
        <v>0</v>
      </c>
      <c r="AG303" s="19" t="str">
        <f t="shared" si="393"/>
        <v/>
      </c>
      <c r="AH303" s="47" t="s">
        <v>0</v>
      </c>
      <c r="AI303" s="143" t="str">
        <f t="shared" si="394"/>
        <v>CRO</v>
      </c>
      <c r="AJ303" s="47"/>
      <c r="AK303" s="52" t="str">
        <f t="shared" si="395"/>
        <v>Aida</v>
      </c>
      <c r="AL303" s="31" t="str">
        <f t="shared" si="396"/>
        <v>Krkić Drobić</v>
      </c>
      <c r="AM303" s="73">
        <f t="shared" si="397"/>
        <v>1331</v>
      </c>
      <c r="AN303" s="73" t="str">
        <f t="shared" si="398"/>
        <v/>
      </c>
      <c r="AO303" s="31" t="str">
        <f t="shared" si="358"/>
        <v>Aida</v>
      </c>
      <c r="AP303" s="66" t="str">
        <f t="shared" si="359"/>
        <v>Krkić Drobić</v>
      </c>
      <c r="AQ303" s="47" t="s">
        <v>0</v>
      </c>
      <c r="AR303" s="82" t="str">
        <f t="shared" si="399"/>
        <v/>
      </c>
      <c r="AS303" s="47" t="s">
        <v>0</v>
      </c>
      <c r="AT303" s="19" t="str">
        <f t="shared" si="400"/>
        <v/>
      </c>
      <c r="AU303" s="47" t="s">
        <v>0</v>
      </c>
      <c r="AV303" s="103"/>
      <c r="AW303" s="105"/>
      <c r="AX303" s="47" t="s">
        <v>0</v>
      </c>
      <c r="AY303" s="259" t="str">
        <f t="shared" si="423"/>
        <v/>
      </c>
      <c r="AZ303" s="47" t="s">
        <v>0</v>
      </c>
      <c r="BA303" s="52" t="str">
        <f t="shared" si="360"/>
        <v/>
      </c>
      <c r="BB303" s="73" t="str">
        <f>IF(AV303&amp;AW303="","",MAX(BB$12:BB302)+1)</f>
        <v/>
      </c>
      <c r="BC303" s="272" t="str">
        <f t="shared" si="361"/>
        <v/>
      </c>
      <c r="BD303" s="53" t="str">
        <f>IF(AND(AM303="NEMA",AN303="NEMA",OR(AV303&amp;AW303="",BC303="NEMA")),MAX(BD$12:BD302)+1,"")</f>
        <v/>
      </c>
      <c r="BE303" s="47" t="s">
        <v>0</v>
      </c>
      <c r="BF303" s="52" t="str">
        <f t="shared" si="401"/>
        <v>Aida</v>
      </c>
      <c r="BG303" s="66" t="str">
        <f t="shared" si="402"/>
        <v>Krkić Drobić</v>
      </c>
      <c r="BH303" s="47" t="s">
        <v>0</v>
      </c>
      <c r="BI303" s="52" t="str">
        <f t="shared" si="362"/>
        <v>KAP</v>
      </c>
      <c r="BJ303" s="31" t="str">
        <f t="shared" si="363"/>
        <v>OK Kapela</v>
      </c>
      <c r="BK303" s="73" t="str">
        <f t="shared" si="364"/>
        <v/>
      </c>
      <c r="BL303" s="31" t="str" cm="1">
        <f t="array" ref="BL303">IF(BK303="",""&amp;BJ303,IF(BK303="NEMA",BJ303,INDEX(regKlub_naziv,MATCH(INDEX(regKlub_alias_klubId,BK303),regKlub_id,0))))</f>
        <v>OK Kapela</v>
      </c>
      <c r="BM303" s="31" t="str" cm="1">
        <f t="array" ref="BM303">IFERROR(""&amp;INDEX(regNatjecatelj_klub,DV303),"")</f>
        <v>OK Kapela</v>
      </c>
      <c r="BN303" s="88" t="str">
        <f t="shared" si="403"/>
        <v/>
      </c>
      <c r="BO303" s="66" t="str">
        <f t="shared" si="404"/>
        <v>OK Kapela</v>
      </c>
      <c r="BP303" s="47" t="s">
        <v>0</v>
      </c>
      <c r="BQ303" s="52" t="str">
        <f>IF(X303&lt;&gt;"NEMA","",IF(IFERROR(MATCH(W303,W$12:W302,0),0)&lt;&gt;0,"",W303))</f>
        <v/>
      </c>
      <c r="BR303" s="73" t="str">
        <f t="shared" si="405"/>
        <v/>
      </c>
      <c r="BS303" s="31" t="str">
        <f>IF(OR(BR303="",BR303&lt;&gt;"NEMA"),"",MAX(BS$12:BS302)+1)</f>
        <v/>
      </c>
      <c r="BT303" s="66" t="str">
        <f t="shared" si="406"/>
        <v/>
      </c>
      <c r="BU303" s="47" t="s">
        <v>0</v>
      </c>
      <c r="BV303" s="19" t="str">
        <f t="shared" si="407"/>
        <v/>
      </c>
      <c r="BW303" s="47" t="s">
        <v>0</v>
      </c>
      <c r="BX303" s="82" t="str">
        <f>IF(BK303&lt;&gt;"NEMA","",IF(IFERROR(MATCH(BJ303,BJ$12:BJ302,0),0)&lt;&gt;0,"",BJ303))</f>
        <v/>
      </c>
      <c r="BY303" s="47" t="s">
        <v>0</v>
      </c>
      <c r="BZ303" s="125"/>
      <c r="CA303" s="47" t="s">
        <v>0</v>
      </c>
      <c r="CB303" s="58" t="str">
        <f t="shared" si="408"/>
        <v/>
      </c>
      <c r="CC303" s="31" t="str">
        <f t="shared" si="409"/>
        <v/>
      </c>
      <c r="CD303" s="31" t="str">
        <f>IF(CC303="","",MAX(CD$12:CD302)+1)</f>
        <v/>
      </c>
      <c r="CE303" s="31" t="str">
        <f t="shared" si="365"/>
        <v/>
      </c>
      <c r="CF303" s="31" t="str">
        <f t="shared" si="410"/>
        <v/>
      </c>
      <c r="CG303" s="31" t="str">
        <f>IF(BZ303="","",MAX(CG$12:CG302)+1)</f>
        <v/>
      </c>
      <c r="CH303" s="31" t="str">
        <f t="shared" si="411"/>
        <v/>
      </c>
      <c r="CI303" s="66" t="str">
        <f t="shared" si="412"/>
        <v/>
      </c>
      <c r="CJ303" s="47" t="s">
        <v>0</v>
      </c>
      <c r="CK303" s="73" t="str">
        <f t="shared" si="366"/>
        <v/>
      </c>
      <c r="CL303" s="47"/>
      <c r="CM303" s="19" t="str">
        <f t="shared" si="413"/>
        <v/>
      </c>
      <c r="CN303" s="47" t="s">
        <v>0</v>
      </c>
      <c r="CO303" s="143" t="str">
        <f t="shared" si="414"/>
        <v>OK Kapela</v>
      </c>
      <c r="CP303" s="47" t="s">
        <v>0</v>
      </c>
      <c r="CQ303" s="58" t="str">
        <f t="shared" si="430"/>
        <v>74:44</v>
      </c>
      <c r="CR303" s="73" t="str">
        <f t="shared" si="431"/>
        <v>0</v>
      </c>
      <c r="CS303" s="229" t="str">
        <f t="shared" si="367"/>
        <v/>
      </c>
      <c r="CT303" s="230">
        <f t="shared" si="352"/>
        <v>4484</v>
      </c>
      <c r="CU303" s="163">
        <f t="shared" si="368"/>
        <v>1</v>
      </c>
      <c r="CV303" s="47" t="s">
        <v>0</v>
      </c>
      <c r="CW303" s="222" t="str">
        <f t="shared" si="415"/>
        <v xml:space="preserve">
</v>
      </c>
      <c r="CX303" s="223">
        <f t="shared" si="416"/>
        <v>6</v>
      </c>
      <c r="CY303" s="47" t="s">
        <v>0</v>
      </c>
      <c r="CZ303" s="47"/>
      <c r="DA303" s="47"/>
      <c r="DB303" s="47"/>
      <c r="DC303" s="47" t="s">
        <v>0</v>
      </c>
      <c r="DD303" s="53" t="str">
        <f t="shared" si="424"/>
        <v/>
      </c>
      <c r="DE303" t="s">
        <v>0</v>
      </c>
      <c r="DF303" s="128" t="str">
        <f t="shared" si="425"/>
        <v>Ž</v>
      </c>
      <c r="DG303" t="s">
        <v>0</v>
      </c>
      <c r="DH303" s="52" t="str">
        <f t="shared" si="426"/>
        <v/>
      </c>
      <c r="DI303" s="66" t="str">
        <f t="shared" si="427"/>
        <v/>
      </c>
      <c r="DJ303" t="s">
        <v>0</v>
      </c>
      <c r="DK303" s="19" t="str">
        <f t="shared" si="428"/>
        <v/>
      </c>
      <c r="DL303" s="47" t="s">
        <v>0</v>
      </c>
      <c r="DM303" s="19" t="str">
        <f t="shared" si="429"/>
        <v/>
      </c>
      <c r="DN303" s="47" t="s">
        <v>0</v>
      </c>
      <c r="DO303" s="52" t="str">
        <f t="shared" si="369"/>
        <v>Aida – Krkić Drobić – OK Kapela – Ž35</v>
      </c>
      <c r="DP303" s="53">
        <f t="shared" si="370"/>
        <v>271</v>
      </c>
      <c r="DQ303" s="47" t="s">
        <v>0</v>
      </c>
      <c r="DR303" s="52" t="str">
        <f t="shared" si="371"/>
        <v>Aida – Krkić Drobić – OK Kapela</v>
      </c>
      <c r="DS303" s="53">
        <f t="shared" si="372"/>
        <v>271</v>
      </c>
      <c r="DT303" s="47" t="s">
        <v>0</v>
      </c>
      <c r="DU303" s="52" t="str">
        <f t="shared" si="373"/>
        <v>Aida – Krkić Drobić</v>
      </c>
      <c r="DV303" s="53">
        <f t="shared" si="374"/>
        <v>271</v>
      </c>
      <c r="DW303" s="47" t="s">
        <v>0</v>
      </c>
      <c r="DX303" s="58">
        <f t="shared" si="417"/>
        <v>271</v>
      </c>
      <c r="DY303" s="53" cm="1">
        <f t="array" ref="DY303">IF(DX303&lt;&gt;"",INDEX(regNatjecatelj_id,DX303,0),IF(BD303&lt;&gt;"",BD303,""))</f>
        <v>1331</v>
      </c>
      <c r="DZ303" s="47" t="s">
        <v>0</v>
      </c>
      <c r="EA303" s="58" t="str">
        <f t="shared" si="375"/>
        <v>imepre</v>
      </c>
      <c r="EB303" s="73" t="str">
        <f t="shared" si="376"/>
        <v>klu</v>
      </c>
      <c r="EC303" s="73" t="str">
        <f t="shared" si="377"/>
        <v>kat</v>
      </c>
      <c r="ED303" s="73" t="str">
        <f t="shared" si="378"/>
        <v/>
      </c>
      <c r="EE303" s="66" t="str">
        <f t="shared" si="379"/>
        <v>imepre-klu-kat</v>
      </c>
      <c r="EF303" s="47" t="s">
        <v>0</v>
      </c>
      <c r="EG303" s="58">
        <f>IF(AL303="","",MAX(EG$12:EG302)+1)</f>
        <v>453</v>
      </c>
      <c r="EH303" s="73">
        <f t="shared" si="380"/>
        <v>41</v>
      </c>
      <c r="EI303" s="73">
        <f t="shared" si="418"/>
        <v>1331</v>
      </c>
      <c r="EJ303" s="73">
        <f t="shared" si="381"/>
        <v>4484</v>
      </c>
      <c r="EK303" s="73">
        <f t="shared" si="382"/>
        <v>1</v>
      </c>
      <c r="EL303" s="73">
        <f t="shared" si="419"/>
        <v>1</v>
      </c>
      <c r="EM303" s="73">
        <f t="shared" si="420"/>
        <v>1</v>
      </c>
      <c r="EN303" s="73" t="str">
        <f t="shared" si="383"/>
        <v>0</v>
      </c>
      <c r="EO303" s="73" t="str">
        <f t="shared" si="384"/>
        <v/>
      </c>
      <c r="EP303" s="73" t="str">
        <f t="shared" si="385"/>
        <v/>
      </c>
      <c r="EQ303" s="53" t="str">
        <f t="shared" si="386"/>
        <v/>
      </c>
      <c r="ER303" s="47" t="s">
        <v>0</v>
      </c>
      <c r="ES303" s="19" t="str">
        <f t="shared" si="421"/>
        <v>INSERT INTO rezultat(id,stazakategorija_id,imeprezime_id,vrijeme_sec,status_id,registracija,uparivanje_id,originalstatus_id,imeprezimealias_id,klubalias_id,kategorijaalias_id) VALUES (453,41,1331,4484,1,1,1,0,Null,Null,Null);</v>
      </c>
      <c r="ET303" s="47" t="s">
        <v>0</v>
      </c>
      <c r="EU303" s="19" t="str">
        <f t="shared" si="422"/>
        <v>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3" s="47" t="s">
        <v>0</v>
      </c>
      <c r="EW303" s="180" t="str">
        <f t="shared" si="387"/>
        <v xml:space="preserve">
INSERT INTO rezultat(id,stazakategorija_id,imeprezime_id,vrijeme_sec,status_id,registracija,uparivanje_id,originalstatus_id,imeprezimealias_id,klubalias_id,kategorijaalias_id) VALUES (453,41,1331,4484,1,1,1,0,Null,Null,Null);
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3" s="47" t="s">
        <v>0</v>
      </c>
    </row>
    <row r="304" spans="1:154" x14ac:dyDescent="0.25">
      <c r="A304" t="s">
        <v>0</v>
      </c>
      <c r="B304" s="52" t="str">
        <f>IF(csv!F294="","",csv!T294)</f>
        <v>Ž35</v>
      </c>
      <c r="C304" s="31" t="s">
        <v>0</v>
      </c>
      <c r="D304" s="31" t="str">
        <f>IF(csv!F294="","",csv!F294)</f>
        <v>Iva</v>
      </c>
      <c r="E304" s="31" t="str">
        <f>IF(csv!E294="","",csv!E294)</f>
        <v>Tatić</v>
      </c>
      <c r="F304" s="31" t="s">
        <v>0</v>
      </c>
      <c r="G304" s="73" t="str">
        <f>IF(csv!M294="","",csv!M294)</f>
        <v>92:09</v>
      </c>
      <c r="H304" s="73" t="str">
        <f>IF(csv!N294="","",csv!N294)</f>
        <v>0</v>
      </c>
      <c r="I304" s="31" t="s">
        <v>0</v>
      </c>
      <c r="J304" s="31" t="str">
        <f>IF(csv!P294="","",csv!P294)</f>
        <v>Vihor</v>
      </c>
      <c r="K304" s="31" t="str">
        <f>IF(csv!Q294="","",csv!Q294)</f>
        <v>OK Vihor</v>
      </c>
      <c r="L304" s="31" t="s">
        <v>0</v>
      </c>
      <c r="M304" s="66" t="str">
        <f>IF(csv!R294="","",csv!R294)</f>
        <v>CRO</v>
      </c>
      <c r="N304" s="47" t="s">
        <v>0</v>
      </c>
      <c r="O304" s="246" t="str">
        <f t="shared" si="388"/>
        <v>ok</v>
      </c>
      <c r="P304" s="47"/>
      <c r="Q304" s="52" t="str">
        <f t="shared" si="389"/>
        <v>Ž35</v>
      </c>
      <c r="R304" s="73">
        <f>IF(Q304="","",IF(COUNTIF(Q$12:Q303,Q304)=0,R303+1,R303))</f>
        <v>19</v>
      </c>
      <c r="S304" s="73">
        <f t="shared" si="390"/>
        <v>117</v>
      </c>
      <c r="T304" s="73">
        <f t="shared" si="353"/>
        <v>26</v>
      </c>
      <c r="U304" s="66" t="str">
        <f t="shared" si="354"/>
        <v>Ž35</v>
      </c>
      <c r="V304" s="47" t="s">
        <v>0</v>
      </c>
      <c r="W304" s="222" t="str">
        <f t="shared" si="355"/>
        <v>Ž35</v>
      </c>
      <c r="X304" s="223">
        <f t="shared" si="356"/>
        <v>41</v>
      </c>
      <c r="Y304" s="47" t="s">
        <v>0</v>
      </c>
      <c r="Z304" s="52" t="str">
        <f t="shared" si="391"/>
        <v>CRO</v>
      </c>
      <c r="AA304" s="73">
        <f t="shared" si="357"/>
        <v>1</v>
      </c>
      <c r="AB304" s="31" t="str">
        <f t="shared" si="392"/>
        <v/>
      </c>
      <c r="AC304" s="66" t="str">
        <f>IF(AB304="","",MAX(AC$12:AC303)+1)</f>
        <v/>
      </c>
      <c r="AD304" s="47" t="s">
        <v>0</v>
      </c>
      <c r="AE304" s="125"/>
      <c r="AF304" s="47" t="s">
        <v>0</v>
      </c>
      <c r="AG304" s="19" t="str">
        <f t="shared" si="393"/>
        <v/>
      </c>
      <c r="AH304" s="47" t="s">
        <v>0</v>
      </c>
      <c r="AI304" s="143" t="str">
        <f t="shared" si="394"/>
        <v>CRO</v>
      </c>
      <c r="AJ304" s="47"/>
      <c r="AK304" s="52" t="str">
        <f t="shared" si="395"/>
        <v>Iva</v>
      </c>
      <c r="AL304" s="31" t="str">
        <f t="shared" si="396"/>
        <v>Tatić</v>
      </c>
      <c r="AM304" s="73">
        <f t="shared" si="397"/>
        <v>1148</v>
      </c>
      <c r="AN304" s="73" t="str">
        <f t="shared" si="398"/>
        <v/>
      </c>
      <c r="AO304" s="31" t="str">
        <f t="shared" si="358"/>
        <v>Iva</v>
      </c>
      <c r="AP304" s="66" t="str">
        <f t="shared" si="359"/>
        <v>Tatić</v>
      </c>
      <c r="AQ304" s="47" t="s">
        <v>0</v>
      </c>
      <c r="AR304" s="82" t="str">
        <f t="shared" si="399"/>
        <v/>
      </c>
      <c r="AS304" s="47" t="s">
        <v>0</v>
      </c>
      <c r="AT304" s="19" t="str">
        <f t="shared" si="400"/>
        <v/>
      </c>
      <c r="AU304" s="47" t="s">
        <v>0</v>
      </c>
      <c r="AV304" s="103"/>
      <c r="AW304" s="105"/>
      <c r="AX304" s="47" t="s">
        <v>0</v>
      </c>
      <c r="AY304" s="259" t="str">
        <f t="shared" si="423"/>
        <v/>
      </c>
      <c r="AZ304" s="47" t="s">
        <v>0</v>
      </c>
      <c r="BA304" s="52" t="str">
        <f t="shared" si="360"/>
        <v/>
      </c>
      <c r="BB304" s="73" t="str">
        <f>IF(AV304&amp;AW304="","",MAX(BB$12:BB303)+1)</f>
        <v/>
      </c>
      <c r="BC304" s="272" t="str">
        <f t="shared" si="361"/>
        <v/>
      </c>
      <c r="BD304" s="53" t="str">
        <f>IF(AND(AM304="NEMA",AN304="NEMA",OR(AV304&amp;AW304="",BC304="NEMA")),MAX(BD$12:BD303)+1,"")</f>
        <v/>
      </c>
      <c r="BE304" s="47" t="s">
        <v>0</v>
      </c>
      <c r="BF304" s="52" t="str">
        <f t="shared" si="401"/>
        <v>Iva</v>
      </c>
      <c r="BG304" s="66" t="str">
        <f t="shared" si="402"/>
        <v>Tatić</v>
      </c>
      <c r="BH304" s="47" t="s">
        <v>0</v>
      </c>
      <c r="BI304" s="52" t="str">
        <f t="shared" si="362"/>
        <v>Vihor</v>
      </c>
      <c r="BJ304" s="31" t="str">
        <f t="shared" si="363"/>
        <v>OK Vihor</v>
      </c>
      <c r="BK304" s="73" t="str">
        <f t="shared" si="364"/>
        <v/>
      </c>
      <c r="BL304" s="31" t="str" cm="1">
        <f t="array" ref="BL304">IF(BK304="",""&amp;BJ304,IF(BK304="NEMA",BJ304,INDEX(regKlub_naziv,MATCH(INDEX(regKlub_alias_klubId,BK304),regKlub_id,0))))</f>
        <v>OK Vihor</v>
      </c>
      <c r="BM304" s="31" t="str" cm="1">
        <f t="array" ref="BM304">IFERROR(""&amp;INDEX(regNatjecatelj_klub,DV304),"")</f>
        <v>OK Vihor</v>
      </c>
      <c r="BN304" s="88" t="str">
        <f t="shared" si="403"/>
        <v/>
      </c>
      <c r="BO304" s="66" t="str">
        <f t="shared" si="404"/>
        <v>OK Vihor</v>
      </c>
      <c r="BP304" s="47" t="s">
        <v>0</v>
      </c>
      <c r="BQ304" s="52" t="str">
        <f>IF(X304&lt;&gt;"NEMA","",IF(IFERROR(MATCH(W304,W$12:W303,0),0)&lt;&gt;0,"",W304))</f>
        <v/>
      </c>
      <c r="BR304" s="73" t="str">
        <f t="shared" si="405"/>
        <v/>
      </c>
      <c r="BS304" s="31" t="str">
        <f>IF(OR(BR304="",BR304&lt;&gt;"NEMA"),"",MAX(BS$12:BS303)+1)</f>
        <v/>
      </c>
      <c r="BT304" s="66" t="str">
        <f t="shared" si="406"/>
        <v/>
      </c>
      <c r="BU304" s="47" t="s">
        <v>0</v>
      </c>
      <c r="BV304" s="19" t="str">
        <f t="shared" si="407"/>
        <v/>
      </c>
      <c r="BW304" s="47" t="s">
        <v>0</v>
      </c>
      <c r="BX304" s="82" t="str">
        <f>IF(BK304&lt;&gt;"NEMA","",IF(IFERROR(MATCH(BJ304,BJ$12:BJ303,0),0)&lt;&gt;0,"",BJ304))</f>
        <v/>
      </c>
      <c r="BY304" s="47" t="s">
        <v>0</v>
      </c>
      <c r="BZ304" s="125"/>
      <c r="CA304" s="47" t="s">
        <v>0</v>
      </c>
      <c r="CB304" s="58" t="str">
        <f t="shared" si="408"/>
        <v/>
      </c>
      <c r="CC304" s="31" t="str">
        <f t="shared" si="409"/>
        <v/>
      </c>
      <c r="CD304" s="31" t="str">
        <f>IF(CC304="","",MAX(CD$12:CD303)+1)</f>
        <v/>
      </c>
      <c r="CE304" s="31" t="str">
        <f t="shared" si="365"/>
        <v/>
      </c>
      <c r="CF304" s="31" t="str">
        <f t="shared" si="410"/>
        <v/>
      </c>
      <c r="CG304" s="31" t="str">
        <f>IF(BZ304="","",MAX(CG$12:CG303)+1)</f>
        <v/>
      </c>
      <c r="CH304" s="31" t="str">
        <f t="shared" si="411"/>
        <v/>
      </c>
      <c r="CI304" s="66" t="str">
        <f t="shared" si="412"/>
        <v/>
      </c>
      <c r="CJ304" s="47" t="s">
        <v>0</v>
      </c>
      <c r="CK304" s="73" t="str">
        <f t="shared" si="366"/>
        <v/>
      </c>
      <c r="CL304" s="47"/>
      <c r="CM304" s="19" t="str">
        <f t="shared" si="413"/>
        <v/>
      </c>
      <c r="CN304" s="47" t="s">
        <v>0</v>
      </c>
      <c r="CO304" s="143" t="str">
        <f t="shared" si="414"/>
        <v>OK Vihor</v>
      </c>
      <c r="CP304" s="47" t="s">
        <v>0</v>
      </c>
      <c r="CQ304" s="58" t="str">
        <f t="shared" si="430"/>
        <v>92:09</v>
      </c>
      <c r="CR304" s="73" t="str">
        <f t="shared" si="431"/>
        <v>0</v>
      </c>
      <c r="CS304" s="229" t="str">
        <f t="shared" si="367"/>
        <v/>
      </c>
      <c r="CT304" s="230">
        <f t="shared" si="352"/>
        <v>5529</v>
      </c>
      <c r="CU304" s="163">
        <f t="shared" si="368"/>
        <v>1</v>
      </c>
      <c r="CV304" s="47" t="s">
        <v>0</v>
      </c>
      <c r="CW304" s="222" t="str">
        <f t="shared" si="415"/>
        <v xml:space="preserve">
</v>
      </c>
      <c r="CX304" s="223">
        <f t="shared" si="416"/>
        <v>6</v>
      </c>
      <c r="CY304" s="47" t="s">
        <v>0</v>
      </c>
      <c r="CZ304" s="47"/>
      <c r="DA304" s="47"/>
      <c r="DB304" s="47"/>
      <c r="DC304" s="47" t="s">
        <v>0</v>
      </c>
      <c r="DD304" s="53" t="str">
        <f t="shared" si="424"/>
        <v/>
      </c>
      <c r="DE304" t="s">
        <v>0</v>
      </c>
      <c r="DF304" s="128" t="str">
        <f t="shared" si="425"/>
        <v>Ž</v>
      </c>
      <c r="DG304" t="s">
        <v>0</v>
      </c>
      <c r="DH304" s="52" t="str">
        <f t="shared" si="426"/>
        <v/>
      </c>
      <c r="DI304" s="66" t="str">
        <f t="shared" si="427"/>
        <v/>
      </c>
      <c r="DJ304" t="s">
        <v>0</v>
      </c>
      <c r="DK304" s="19" t="str">
        <f t="shared" si="428"/>
        <v/>
      </c>
      <c r="DL304" s="47" t="s">
        <v>0</v>
      </c>
      <c r="DM304" s="19" t="str">
        <f t="shared" si="429"/>
        <v/>
      </c>
      <c r="DN304" s="47" t="s">
        <v>0</v>
      </c>
      <c r="DO304" s="52" t="str">
        <f t="shared" si="369"/>
        <v>Iva – Tatić – OK Vihor – Ž35</v>
      </c>
      <c r="DP304" s="53">
        <f t="shared" si="370"/>
        <v>918</v>
      </c>
      <c r="DQ304" s="47" t="s">
        <v>0</v>
      </c>
      <c r="DR304" s="52" t="str">
        <f t="shared" si="371"/>
        <v>Iva – Tatić – OK Vihor</v>
      </c>
      <c r="DS304" s="53">
        <f t="shared" si="372"/>
        <v>918</v>
      </c>
      <c r="DT304" s="47" t="s">
        <v>0</v>
      </c>
      <c r="DU304" s="52" t="str">
        <f t="shared" si="373"/>
        <v>Iva – Tatić</v>
      </c>
      <c r="DV304" s="53">
        <f t="shared" si="374"/>
        <v>918</v>
      </c>
      <c r="DW304" s="47" t="s">
        <v>0</v>
      </c>
      <c r="DX304" s="58">
        <f t="shared" si="417"/>
        <v>918</v>
      </c>
      <c r="DY304" s="53" cm="1">
        <f t="array" ref="DY304">IF(DX304&lt;&gt;"",INDEX(regNatjecatelj_id,DX304,0),IF(BD304&lt;&gt;"",BD304,""))</f>
        <v>1148</v>
      </c>
      <c r="DZ304" s="47" t="s">
        <v>0</v>
      </c>
      <c r="EA304" s="58" t="str">
        <f t="shared" si="375"/>
        <v>imepre</v>
      </c>
      <c r="EB304" s="73" t="str">
        <f t="shared" si="376"/>
        <v>klu</v>
      </c>
      <c r="EC304" s="73" t="str">
        <f t="shared" si="377"/>
        <v>kat</v>
      </c>
      <c r="ED304" s="73" t="str">
        <f t="shared" si="378"/>
        <v/>
      </c>
      <c r="EE304" s="66" t="str">
        <f t="shared" si="379"/>
        <v>imepre-klu-kat</v>
      </c>
      <c r="EF304" s="47" t="s">
        <v>0</v>
      </c>
      <c r="EG304" s="58">
        <f>IF(AL304="","",MAX(EG$12:EG303)+1)</f>
        <v>454</v>
      </c>
      <c r="EH304" s="73">
        <f t="shared" si="380"/>
        <v>41</v>
      </c>
      <c r="EI304" s="73">
        <f t="shared" si="418"/>
        <v>1148</v>
      </c>
      <c r="EJ304" s="73">
        <f t="shared" si="381"/>
        <v>5529</v>
      </c>
      <c r="EK304" s="73">
        <f t="shared" si="382"/>
        <v>1</v>
      </c>
      <c r="EL304" s="73">
        <f t="shared" si="419"/>
        <v>1</v>
      </c>
      <c r="EM304" s="73">
        <f t="shared" si="420"/>
        <v>1</v>
      </c>
      <c r="EN304" s="73" t="str">
        <f t="shared" si="383"/>
        <v>0</v>
      </c>
      <c r="EO304" s="73" t="str">
        <f t="shared" si="384"/>
        <v/>
      </c>
      <c r="EP304" s="73" t="str">
        <f t="shared" si="385"/>
        <v/>
      </c>
      <c r="EQ304" s="53" t="str">
        <f t="shared" si="386"/>
        <v/>
      </c>
      <c r="ER304" s="47" t="s">
        <v>0</v>
      </c>
      <c r="ES304" s="19" t="str">
        <f t="shared" si="421"/>
        <v>INSERT INTO rezultat(id,stazakategorija_id,imeprezime_id,vrijeme_sec,status_id,registracija,uparivanje_id,originalstatus_id,imeprezimealias_id,klubalias_id,kategorijaalias_id) VALUES (454,41,1148,5529,1,1,1,0,Null,Null,Null);</v>
      </c>
      <c r="ET304" s="47" t="s">
        <v>0</v>
      </c>
      <c r="EU304" s="19" t="str">
        <f t="shared" si="422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4" s="47" t="s">
        <v>0</v>
      </c>
      <c r="EW304" s="180" t="str">
        <f t="shared" si="387"/>
        <v xml:space="preserve">
INSERT INTO rezultat(id,stazakategorija_id,imeprezime_id,vrijeme_sec,status_id,registracija,uparivanje_id,originalstatus_id,imeprezimealias_id,klubalias_id,kategorijaalias_id) VALUES (454,41,1148,5529,1,1,1,0,Null,Null,Null);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4" s="47" t="s">
        <v>0</v>
      </c>
    </row>
    <row r="305" spans="1:154" x14ac:dyDescent="0.25">
      <c r="A305" t="s">
        <v>0</v>
      </c>
      <c r="B305" s="52" t="str">
        <f>IF(csv!F295="","",csv!T295)</f>
        <v>Ž35</v>
      </c>
      <c r="C305" s="31" t="s">
        <v>0</v>
      </c>
      <c r="D305" s="31" t="str">
        <f>IF(csv!F295="","",csv!F295)</f>
        <v>Tanja</v>
      </c>
      <c r="E305" s="31" t="str">
        <f>IF(csv!E295="","",csv!E295)</f>
        <v>Potrebica</v>
      </c>
      <c r="F305" s="31" t="s">
        <v>0</v>
      </c>
      <c r="G305" s="73" t="str">
        <f>IF(csv!M295="","",csv!M295)</f>
        <v>101:44</v>
      </c>
      <c r="H305" s="73" t="str">
        <f>IF(csv!N295="","",csv!N295)</f>
        <v>0</v>
      </c>
      <c r="I305" s="31" t="s">
        <v>0</v>
      </c>
      <c r="J305" s="31" t="str">
        <f>IF(csv!P295="","",csv!P295)</f>
        <v>OK Varaždin</v>
      </c>
      <c r="K305" s="31" t="str">
        <f>IF(csv!Q295="","",csv!Q295)</f>
        <v>OK Varaždin</v>
      </c>
      <c r="L305" s="31" t="s">
        <v>0</v>
      </c>
      <c r="M305" s="66" t="str">
        <f>IF(csv!R295="","",csv!R295)</f>
        <v>CRO</v>
      </c>
      <c r="N305" s="47" t="s">
        <v>0</v>
      </c>
      <c r="O305" s="246" t="str">
        <f t="shared" si="388"/>
        <v>ok</v>
      </c>
      <c r="P305" s="47"/>
      <c r="Q305" s="52" t="str">
        <f t="shared" si="389"/>
        <v>Ž35</v>
      </c>
      <c r="R305" s="73">
        <f>IF(Q305="","",IF(COUNTIF(Q$12:Q304,Q305)=0,R304+1,R304))</f>
        <v>19</v>
      </c>
      <c r="S305" s="73">
        <f t="shared" si="390"/>
        <v>117</v>
      </c>
      <c r="T305" s="73">
        <f t="shared" si="353"/>
        <v>26</v>
      </c>
      <c r="U305" s="66" t="str">
        <f t="shared" si="354"/>
        <v>Ž35</v>
      </c>
      <c r="V305" s="47" t="s">
        <v>0</v>
      </c>
      <c r="W305" s="222" t="str">
        <f t="shared" si="355"/>
        <v>Ž35</v>
      </c>
      <c r="X305" s="223">
        <f t="shared" si="356"/>
        <v>41</v>
      </c>
      <c r="Y305" s="47" t="s">
        <v>0</v>
      </c>
      <c r="Z305" s="52" t="str">
        <f t="shared" si="391"/>
        <v>CRO</v>
      </c>
      <c r="AA305" s="73">
        <f t="shared" si="357"/>
        <v>1</v>
      </c>
      <c r="AB305" s="31" t="str">
        <f t="shared" si="392"/>
        <v/>
      </c>
      <c r="AC305" s="66" t="str">
        <f>IF(AB305="","",MAX(AC$12:AC304)+1)</f>
        <v/>
      </c>
      <c r="AD305" s="47" t="s">
        <v>0</v>
      </c>
      <c r="AE305" s="125"/>
      <c r="AF305" s="47" t="s">
        <v>0</v>
      </c>
      <c r="AG305" s="19" t="str">
        <f t="shared" si="393"/>
        <v/>
      </c>
      <c r="AH305" s="47" t="s">
        <v>0</v>
      </c>
      <c r="AI305" s="143" t="str">
        <f t="shared" si="394"/>
        <v>CRO</v>
      </c>
      <c r="AJ305" s="47"/>
      <c r="AK305" s="52" t="str">
        <f t="shared" si="395"/>
        <v>Tanja</v>
      </c>
      <c r="AL305" s="31" t="str">
        <f t="shared" si="396"/>
        <v>Potrebica</v>
      </c>
      <c r="AM305" s="73">
        <f t="shared" si="397"/>
        <v>1220</v>
      </c>
      <c r="AN305" s="73" t="str">
        <f t="shared" si="398"/>
        <v/>
      </c>
      <c r="AO305" s="31" t="str">
        <f t="shared" si="358"/>
        <v>Tanja</v>
      </c>
      <c r="AP305" s="66" t="str">
        <f t="shared" si="359"/>
        <v>Potrebica</v>
      </c>
      <c r="AQ305" s="47" t="s">
        <v>0</v>
      </c>
      <c r="AR305" s="82" t="str">
        <f t="shared" si="399"/>
        <v/>
      </c>
      <c r="AS305" s="47" t="s">
        <v>0</v>
      </c>
      <c r="AT305" s="19" t="str">
        <f t="shared" si="400"/>
        <v/>
      </c>
      <c r="AU305" s="47" t="s">
        <v>0</v>
      </c>
      <c r="AV305" s="103"/>
      <c r="AW305" s="105"/>
      <c r="AX305" s="47" t="s">
        <v>0</v>
      </c>
      <c r="AY305" s="259" t="str">
        <f t="shared" si="423"/>
        <v/>
      </c>
      <c r="AZ305" s="47" t="s">
        <v>0</v>
      </c>
      <c r="BA305" s="52" t="str">
        <f t="shared" si="360"/>
        <v/>
      </c>
      <c r="BB305" s="73" t="str">
        <f>IF(AV305&amp;AW305="","",MAX(BB$12:BB304)+1)</f>
        <v/>
      </c>
      <c r="BC305" s="272" t="str">
        <f t="shared" si="361"/>
        <v/>
      </c>
      <c r="BD305" s="53" t="str">
        <f>IF(AND(AM305="NEMA",AN305="NEMA",OR(AV305&amp;AW305="",BC305="NEMA")),MAX(BD$12:BD304)+1,"")</f>
        <v/>
      </c>
      <c r="BE305" s="47" t="s">
        <v>0</v>
      </c>
      <c r="BF305" s="52" t="str">
        <f t="shared" si="401"/>
        <v>Tanja</v>
      </c>
      <c r="BG305" s="66" t="str">
        <f t="shared" si="402"/>
        <v>Potrebica</v>
      </c>
      <c r="BH305" s="47" t="s">
        <v>0</v>
      </c>
      <c r="BI305" s="52" t="str">
        <f t="shared" si="362"/>
        <v>OK Varaždin</v>
      </c>
      <c r="BJ305" s="31" t="str">
        <f t="shared" si="363"/>
        <v>OK Varaždin</v>
      </c>
      <c r="BK305" s="73" t="str">
        <f t="shared" si="364"/>
        <v/>
      </c>
      <c r="BL305" s="31" t="str" cm="1">
        <f t="array" ref="BL305">IF(BK305="",""&amp;BJ305,IF(BK305="NEMA",BJ305,INDEX(regKlub_naziv,MATCH(INDEX(regKlub_alias_klubId,BK305),regKlub_id,0))))</f>
        <v>OK Varaždin</v>
      </c>
      <c r="BM305" s="31" t="str" cm="1">
        <f t="array" ref="BM305">IFERROR(""&amp;INDEX(regNatjecatelj_klub,DV305),"")</f>
        <v>OK Varaždin</v>
      </c>
      <c r="BN305" s="88" t="str">
        <f t="shared" si="403"/>
        <v/>
      </c>
      <c r="BO305" s="66" t="str">
        <f t="shared" si="404"/>
        <v>OK Varaždin</v>
      </c>
      <c r="BP305" s="47" t="s">
        <v>0</v>
      </c>
      <c r="BQ305" s="52" t="str">
        <f>IF(X305&lt;&gt;"NEMA","",IF(IFERROR(MATCH(W305,W$12:W304,0),0)&lt;&gt;0,"",W305))</f>
        <v/>
      </c>
      <c r="BR305" s="73" t="str">
        <f t="shared" si="405"/>
        <v/>
      </c>
      <c r="BS305" s="31" t="str">
        <f>IF(OR(BR305="",BR305&lt;&gt;"NEMA"),"",MAX(BS$12:BS304)+1)</f>
        <v/>
      </c>
      <c r="BT305" s="66" t="str">
        <f t="shared" si="406"/>
        <v/>
      </c>
      <c r="BU305" s="47" t="s">
        <v>0</v>
      </c>
      <c r="BV305" s="19" t="str">
        <f t="shared" si="407"/>
        <v/>
      </c>
      <c r="BW305" s="47" t="s">
        <v>0</v>
      </c>
      <c r="BX305" s="82" t="str">
        <f>IF(BK305&lt;&gt;"NEMA","",IF(IFERROR(MATCH(BJ305,BJ$12:BJ304,0),0)&lt;&gt;0,"",BJ305))</f>
        <v/>
      </c>
      <c r="BY305" s="47" t="s">
        <v>0</v>
      </c>
      <c r="BZ305" s="125"/>
      <c r="CA305" s="47" t="s">
        <v>0</v>
      </c>
      <c r="CB305" s="58" t="str">
        <f t="shared" si="408"/>
        <v/>
      </c>
      <c r="CC305" s="31" t="str">
        <f t="shared" si="409"/>
        <v/>
      </c>
      <c r="CD305" s="31" t="str">
        <f>IF(CC305="","",MAX(CD$12:CD304)+1)</f>
        <v/>
      </c>
      <c r="CE305" s="31" t="str">
        <f t="shared" si="365"/>
        <v/>
      </c>
      <c r="CF305" s="31" t="str">
        <f t="shared" si="410"/>
        <v/>
      </c>
      <c r="CG305" s="31" t="str">
        <f>IF(BZ305="","",MAX(CG$12:CG304)+1)</f>
        <v/>
      </c>
      <c r="CH305" s="31" t="str">
        <f t="shared" si="411"/>
        <v/>
      </c>
      <c r="CI305" s="66" t="str">
        <f t="shared" si="412"/>
        <v/>
      </c>
      <c r="CJ305" s="47" t="s">
        <v>0</v>
      </c>
      <c r="CK305" s="73" t="str">
        <f t="shared" si="366"/>
        <v/>
      </c>
      <c r="CL305" s="47"/>
      <c r="CM305" s="19" t="str">
        <f t="shared" si="413"/>
        <v/>
      </c>
      <c r="CN305" s="47" t="s">
        <v>0</v>
      </c>
      <c r="CO305" s="143" t="str">
        <f t="shared" si="414"/>
        <v>OK Varaždin</v>
      </c>
      <c r="CP305" s="47" t="s">
        <v>0</v>
      </c>
      <c r="CQ305" s="58" t="str">
        <f t="shared" si="430"/>
        <v>101:44</v>
      </c>
      <c r="CR305" s="73" t="str">
        <f t="shared" si="431"/>
        <v>0</v>
      </c>
      <c r="CS305" s="229" t="str">
        <f t="shared" si="367"/>
        <v/>
      </c>
      <c r="CT305" s="230">
        <f t="shared" si="352"/>
        <v>6104</v>
      </c>
      <c r="CU305" s="163">
        <f t="shared" si="368"/>
        <v>1</v>
      </c>
      <c r="CV305" s="47" t="s">
        <v>0</v>
      </c>
      <c r="CW305" s="222" t="str">
        <f t="shared" si="415"/>
        <v xml:space="preserve">
</v>
      </c>
      <c r="CX305" s="223">
        <f t="shared" si="416"/>
        <v>6</v>
      </c>
      <c r="CY305" s="47" t="s">
        <v>0</v>
      </c>
      <c r="CZ305" s="47"/>
      <c r="DA305" s="47"/>
      <c r="DB305" s="47"/>
      <c r="DC305" s="47" t="s">
        <v>0</v>
      </c>
      <c r="DD305" s="53" t="str">
        <f t="shared" si="424"/>
        <v/>
      </c>
      <c r="DE305" t="s">
        <v>0</v>
      </c>
      <c r="DF305" s="128" t="str">
        <f t="shared" si="425"/>
        <v>Ž</v>
      </c>
      <c r="DG305" t="s">
        <v>0</v>
      </c>
      <c r="DH305" s="52" t="str">
        <f t="shared" si="426"/>
        <v/>
      </c>
      <c r="DI305" s="66" t="str">
        <f t="shared" si="427"/>
        <v/>
      </c>
      <c r="DJ305" t="s">
        <v>0</v>
      </c>
      <c r="DK305" s="19" t="str">
        <f t="shared" si="428"/>
        <v/>
      </c>
      <c r="DL305" s="47" t="s">
        <v>0</v>
      </c>
      <c r="DM305" s="19" t="str">
        <f t="shared" si="429"/>
        <v/>
      </c>
      <c r="DN305" s="47" t="s">
        <v>0</v>
      </c>
      <c r="DO305" s="52" t="str">
        <f t="shared" si="369"/>
        <v>Tanja – Potrebica – OK Varaždin – Ž35</v>
      </c>
      <c r="DP305" s="53">
        <f t="shared" si="370"/>
        <v>578</v>
      </c>
      <c r="DQ305" s="47" t="s">
        <v>0</v>
      </c>
      <c r="DR305" s="52" t="str">
        <f t="shared" si="371"/>
        <v>Tanja – Potrebica – OK Varaždin</v>
      </c>
      <c r="DS305" s="53">
        <f t="shared" si="372"/>
        <v>578</v>
      </c>
      <c r="DT305" s="47" t="s">
        <v>0</v>
      </c>
      <c r="DU305" s="52" t="str">
        <f t="shared" si="373"/>
        <v>Tanja – Potrebica</v>
      </c>
      <c r="DV305" s="53">
        <f t="shared" si="374"/>
        <v>578</v>
      </c>
      <c r="DW305" s="47" t="s">
        <v>0</v>
      </c>
      <c r="DX305" s="58">
        <f t="shared" si="417"/>
        <v>578</v>
      </c>
      <c r="DY305" s="53" cm="1">
        <f t="array" ref="DY305">IF(DX305&lt;&gt;"",INDEX(regNatjecatelj_id,DX305,0),IF(BD305&lt;&gt;"",BD305,""))</f>
        <v>1220</v>
      </c>
      <c r="DZ305" s="47" t="s">
        <v>0</v>
      </c>
      <c r="EA305" s="58" t="str">
        <f t="shared" si="375"/>
        <v>imepre</v>
      </c>
      <c r="EB305" s="73" t="str">
        <f t="shared" si="376"/>
        <v>klu</v>
      </c>
      <c r="EC305" s="73" t="str">
        <f t="shared" si="377"/>
        <v>kat</v>
      </c>
      <c r="ED305" s="73" t="str">
        <f t="shared" si="378"/>
        <v/>
      </c>
      <c r="EE305" s="66" t="str">
        <f t="shared" si="379"/>
        <v>imepre-klu-kat</v>
      </c>
      <c r="EF305" s="47" t="s">
        <v>0</v>
      </c>
      <c r="EG305" s="58">
        <f>IF(AL305="","",MAX(EG$12:EG304)+1)</f>
        <v>455</v>
      </c>
      <c r="EH305" s="73">
        <f t="shared" si="380"/>
        <v>41</v>
      </c>
      <c r="EI305" s="73">
        <f t="shared" si="418"/>
        <v>1220</v>
      </c>
      <c r="EJ305" s="73">
        <f t="shared" si="381"/>
        <v>6104</v>
      </c>
      <c r="EK305" s="73">
        <f t="shared" si="382"/>
        <v>1</v>
      </c>
      <c r="EL305" s="73">
        <f t="shared" si="419"/>
        <v>1</v>
      </c>
      <c r="EM305" s="73">
        <f t="shared" si="420"/>
        <v>1</v>
      </c>
      <c r="EN305" s="73" t="str">
        <f t="shared" si="383"/>
        <v>0</v>
      </c>
      <c r="EO305" s="73" t="str">
        <f t="shared" si="384"/>
        <v/>
      </c>
      <c r="EP305" s="73" t="str">
        <f t="shared" si="385"/>
        <v/>
      </c>
      <c r="EQ305" s="53" t="str">
        <f t="shared" si="386"/>
        <v/>
      </c>
      <c r="ER305" s="47" t="s">
        <v>0</v>
      </c>
      <c r="ES305" s="19" t="str">
        <f t="shared" si="421"/>
        <v>INSERT INTO rezultat(id,stazakategorija_id,imeprezime_id,vrijeme_sec,status_id,registracija,uparivanje_id,originalstatus_id,imeprezimealias_id,klubalias_id,kategorijaalias_id) VALUES (455,41,1220,6104,1,1,1,0,Null,Null,Null);</v>
      </c>
      <c r="ET305" s="47" t="s">
        <v>0</v>
      </c>
      <c r="EU305" s="19" t="str">
        <f t="shared" si="422"/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5" s="47" t="s">
        <v>0</v>
      </c>
      <c r="EW305" s="180" t="str">
        <f t="shared" si="387"/>
        <v xml:space="preserve">
INSERT INTO rezultat(id,stazakategorija_id,imeprezime_id,vrijeme_sec,status_id,registracija,uparivanje_id,originalstatus_id,imeprezimealias_id,klubalias_id,kategorijaalias_id) VALUES (455,41,1220,6104,1,1,1,0,Null,Null,Null);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5" s="47" t="s">
        <v>0</v>
      </c>
    </row>
    <row r="306" spans="1:154" x14ac:dyDescent="0.25">
      <c r="A306" t="s">
        <v>0</v>
      </c>
      <c r="B306" s="52" t="str">
        <f>IF(csv!F296="","",csv!T296)</f>
        <v>Ž35</v>
      </c>
      <c r="C306" s="31" t="s">
        <v>0</v>
      </c>
      <c r="D306" s="31" t="str">
        <f>IF(csv!F296="","",csv!F296)</f>
        <v>Maja</v>
      </c>
      <c r="E306" s="31" t="str">
        <f>IF(csv!E296="","",csv!E296)</f>
        <v>Kušt</v>
      </c>
      <c r="F306" s="31" t="s">
        <v>0</v>
      </c>
      <c r="G306" s="73" t="str">
        <f>IF(csv!M296="","",csv!M296)</f>
        <v>106:38</v>
      </c>
      <c r="H306" s="73" t="str">
        <f>IF(csv!N296="","",csv!N296)</f>
        <v>0</v>
      </c>
      <c r="I306" s="31" t="s">
        <v>0</v>
      </c>
      <c r="J306" s="31" t="str">
        <f>IF(csv!P296="","",csv!P296)</f>
        <v>Vihor</v>
      </c>
      <c r="K306" s="31" t="str">
        <f>IF(csv!Q296="","",csv!Q296)</f>
        <v>OK Vihor</v>
      </c>
      <c r="L306" s="31" t="s">
        <v>0</v>
      </c>
      <c r="M306" s="66" t="str">
        <f>IF(csv!R296="","",csv!R296)</f>
        <v>CRO</v>
      </c>
      <c r="N306" s="47" t="s">
        <v>0</v>
      </c>
      <c r="O306" s="246" t="str">
        <f t="shared" si="388"/>
        <v>ok</v>
      </c>
      <c r="P306" s="47"/>
      <c r="Q306" s="52" t="str">
        <f t="shared" si="389"/>
        <v>Ž35</v>
      </c>
      <c r="R306" s="73">
        <f>IF(Q306="","",IF(COUNTIF(Q$12:Q305,Q306)=0,R305+1,R305))</f>
        <v>19</v>
      </c>
      <c r="S306" s="73">
        <f t="shared" si="390"/>
        <v>117</v>
      </c>
      <c r="T306" s="73">
        <f t="shared" si="353"/>
        <v>26</v>
      </c>
      <c r="U306" s="66" t="str">
        <f t="shared" si="354"/>
        <v>Ž35</v>
      </c>
      <c r="V306" s="47" t="s">
        <v>0</v>
      </c>
      <c r="W306" s="222" t="str">
        <f t="shared" si="355"/>
        <v>Ž35</v>
      </c>
      <c r="X306" s="223">
        <f t="shared" si="356"/>
        <v>41</v>
      </c>
      <c r="Y306" s="47" t="s">
        <v>0</v>
      </c>
      <c r="Z306" s="52" t="str">
        <f t="shared" si="391"/>
        <v>CRO</v>
      </c>
      <c r="AA306" s="73">
        <f t="shared" si="357"/>
        <v>1</v>
      </c>
      <c r="AB306" s="31" t="str">
        <f t="shared" si="392"/>
        <v/>
      </c>
      <c r="AC306" s="66" t="str">
        <f>IF(AB306="","",MAX(AC$12:AC305)+1)</f>
        <v/>
      </c>
      <c r="AD306" s="47" t="s">
        <v>0</v>
      </c>
      <c r="AE306" s="125"/>
      <c r="AF306" s="47" t="s">
        <v>0</v>
      </c>
      <c r="AG306" s="19" t="str">
        <f t="shared" si="393"/>
        <v/>
      </c>
      <c r="AH306" s="47" t="s">
        <v>0</v>
      </c>
      <c r="AI306" s="143" t="str">
        <f t="shared" si="394"/>
        <v>CRO</v>
      </c>
      <c r="AJ306" s="47"/>
      <c r="AK306" s="52" t="str">
        <f t="shared" si="395"/>
        <v>Maja</v>
      </c>
      <c r="AL306" s="31" t="str">
        <f t="shared" si="396"/>
        <v>Kušt</v>
      </c>
      <c r="AM306" s="73">
        <f t="shared" si="397"/>
        <v>1375</v>
      </c>
      <c r="AN306" s="73" t="str">
        <f t="shared" si="398"/>
        <v/>
      </c>
      <c r="AO306" s="31" t="str">
        <f t="shared" si="358"/>
        <v>Maja</v>
      </c>
      <c r="AP306" s="66" t="str">
        <f t="shared" si="359"/>
        <v>Kušt</v>
      </c>
      <c r="AQ306" s="47" t="s">
        <v>0</v>
      </c>
      <c r="AR306" s="82" t="str">
        <f t="shared" si="399"/>
        <v/>
      </c>
      <c r="AS306" s="47" t="s">
        <v>0</v>
      </c>
      <c r="AT306" s="19" t="str">
        <f t="shared" si="400"/>
        <v/>
      </c>
      <c r="AU306" s="47" t="s">
        <v>0</v>
      </c>
      <c r="AV306" s="103"/>
      <c r="AW306" s="105"/>
      <c r="AX306" s="47" t="s">
        <v>0</v>
      </c>
      <c r="AY306" s="259" t="str">
        <f t="shared" si="423"/>
        <v/>
      </c>
      <c r="AZ306" s="47" t="s">
        <v>0</v>
      </c>
      <c r="BA306" s="52" t="str">
        <f t="shared" si="360"/>
        <v/>
      </c>
      <c r="BB306" s="73" t="str">
        <f>IF(AV306&amp;AW306="","",MAX(BB$12:BB305)+1)</f>
        <v/>
      </c>
      <c r="BC306" s="272" t="str">
        <f t="shared" si="361"/>
        <v/>
      </c>
      <c r="BD306" s="53" t="str">
        <f>IF(AND(AM306="NEMA",AN306="NEMA",OR(AV306&amp;AW306="",BC306="NEMA")),MAX(BD$12:BD305)+1,"")</f>
        <v/>
      </c>
      <c r="BE306" s="47" t="s">
        <v>0</v>
      </c>
      <c r="BF306" s="52" t="str">
        <f t="shared" si="401"/>
        <v>Maja</v>
      </c>
      <c r="BG306" s="66" t="str">
        <f t="shared" si="402"/>
        <v>Kušt</v>
      </c>
      <c r="BH306" s="47" t="s">
        <v>0</v>
      </c>
      <c r="BI306" s="52" t="str">
        <f t="shared" si="362"/>
        <v>Vihor</v>
      </c>
      <c r="BJ306" s="31" t="str">
        <f t="shared" si="363"/>
        <v>OK Vihor</v>
      </c>
      <c r="BK306" s="73" t="str">
        <f t="shared" si="364"/>
        <v/>
      </c>
      <c r="BL306" s="31" t="str" cm="1">
        <f t="array" ref="BL306">IF(BK306="",""&amp;BJ306,IF(BK306="NEMA",BJ306,INDEX(regKlub_naziv,MATCH(INDEX(regKlub_alias_klubId,BK306),regKlub_id,0))))</f>
        <v>OK Vihor</v>
      </c>
      <c r="BM306" s="31" t="str" cm="1">
        <f t="array" ref="BM306">IFERROR(""&amp;INDEX(regNatjecatelj_klub,DV306),"")</f>
        <v>OK Vihor</v>
      </c>
      <c r="BN306" s="88" t="str">
        <f t="shared" si="403"/>
        <v/>
      </c>
      <c r="BO306" s="66" t="str">
        <f t="shared" si="404"/>
        <v>OK Vihor</v>
      </c>
      <c r="BP306" s="47" t="s">
        <v>0</v>
      </c>
      <c r="BQ306" s="52" t="str">
        <f>IF(X306&lt;&gt;"NEMA","",IF(IFERROR(MATCH(W306,W$12:W305,0),0)&lt;&gt;0,"",W306))</f>
        <v/>
      </c>
      <c r="BR306" s="73" t="str">
        <f t="shared" si="405"/>
        <v/>
      </c>
      <c r="BS306" s="31" t="str">
        <f>IF(OR(BR306="",BR306&lt;&gt;"NEMA"),"",MAX(BS$12:BS305)+1)</f>
        <v/>
      </c>
      <c r="BT306" s="66" t="str">
        <f t="shared" si="406"/>
        <v/>
      </c>
      <c r="BU306" s="47" t="s">
        <v>0</v>
      </c>
      <c r="BV306" s="19" t="str">
        <f t="shared" si="407"/>
        <v/>
      </c>
      <c r="BW306" s="47" t="s">
        <v>0</v>
      </c>
      <c r="BX306" s="82" t="str">
        <f>IF(BK306&lt;&gt;"NEMA","",IF(IFERROR(MATCH(BJ306,BJ$12:BJ305,0),0)&lt;&gt;0,"",BJ306))</f>
        <v/>
      </c>
      <c r="BY306" s="47" t="s">
        <v>0</v>
      </c>
      <c r="BZ306" s="125"/>
      <c r="CA306" s="47" t="s">
        <v>0</v>
      </c>
      <c r="CB306" s="58" t="str">
        <f t="shared" si="408"/>
        <v/>
      </c>
      <c r="CC306" s="31" t="str">
        <f t="shared" si="409"/>
        <v/>
      </c>
      <c r="CD306" s="31" t="str">
        <f>IF(CC306="","",MAX(CD$12:CD305)+1)</f>
        <v/>
      </c>
      <c r="CE306" s="31" t="str">
        <f t="shared" si="365"/>
        <v/>
      </c>
      <c r="CF306" s="31" t="str">
        <f t="shared" si="410"/>
        <v/>
      </c>
      <c r="CG306" s="31" t="str">
        <f>IF(BZ306="","",MAX(CG$12:CG305)+1)</f>
        <v/>
      </c>
      <c r="CH306" s="31" t="str">
        <f t="shared" si="411"/>
        <v/>
      </c>
      <c r="CI306" s="66" t="str">
        <f t="shared" si="412"/>
        <v/>
      </c>
      <c r="CJ306" s="47" t="s">
        <v>0</v>
      </c>
      <c r="CK306" s="73" t="str">
        <f t="shared" si="366"/>
        <v/>
      </c>
      <c r="CL306" s="47"/>
      <c r="CM306" s="19" t="str">
        <f t="shared" si="413"/>
        <v/>
      </c>
      <c r="CN306" s="47" t="s">
        <v>0</v>
      </c>
      <c r="CO306" s="143" t="str">
        <f t="shared" si="414"/>
        <v>OK Vihor</v>
      </c>
      <c r="CP306" s="47" t="s">
        <v>0</v>
      </c>
      <c r="CQ306" s="58" t="str">
        <f t="shared" si="430"/>
        <v>106:38</v>
      </c>
      <c r="CR306" s="73" t="str">
        <f t="shared" si="431"/>
        <v>0</v>
      </c>
      <c r="CS306" s="229" t="str">
        <f t="shared" si="367"/>
        <v/>
      </c>
      <c r="CT306" s="230">
        <f t="shared" si="352"/>
        <v>6398</v>
      </c>
      <c r="CU306" s="163">
        <f t="shared" si="368"/>
        <v>1</v>
      </c>
      <c r="CV306" s="47" t="s">
        <v>0</v>
      </c>
      <c r="CW306" s="222" t="str">
        <f t="shared" si="415"/>
        <v xml:space="preserve">
</v>
      </c>
      <c r="CX306" s="223">
        <f t="shared" si="416"/>
        <v>6</v>
      </c>
      <c r="CY306" s="47" t="s">
        <v>0</v>
      </c>
      <c r="CZ306" s="47"/>
      <c r="DA306" s="47"/>
      <c r="DB306" s="47"/>
      <c r="DC306" s="47" t="s">
        <v>0</v>
      </c>
      <c r="DD306" s="53" t="str">
        <f t="shared" si="424"/>
        <v/>
      </c>
      <c r="DE306" t="s">
        <v>0</v>
      </c>
      <c r="DF306" s="128" t="str">
        <f t="shared" si="425"/>
        <v>Ž</v>
      </c>
      <c r="DG306" t="s">
        <v>0</v>
      </c>
      <c r="DH306" s="52" t="str">
        <f t="shared" si="426"/>
        <v/>
      </c>
      <c r="DI306" s="66" t="str">
        <f t="shared" si="427"/>
        <v/>
      </c>
      <c r="DJ306" t="s">
        <v>0</v>
      </c>
      <c r="DK306" s="19" t="str">
        <f t="shared" si="428"/>
        <v/>
      </c>
      <c r="DL306" s="47" t="s">
        <v>0</v>
      </c>
      <c r="DM306" s="19" t="str">
        <f t="shared" si="429"/>
        <v/>
      </c>
      <c r="DN306" s="47" t="s">
        <v>0</v>
      </c>
      <c r="DO306" s="52" t="str">
        <f t="shared" si="369"/>
        <v>Maja – Kušt – OK Vihor – Ž35</v>
      </c>
      <c r="DP306" s="53">
        <f t="shared" si="370"/>
        <v>768</v>
      </c>
      <c r="DQ306" s="47" t="s">
        <v>0</v>
      </c>
      <c r="DR306" s="52" t="str">
        <f t="shared" si="371"/>
        <v>Maja – Kušt – OK Vihor</v>
      </c>
      <c r="DS306" s="53">
        <f t="shared" si="372"/>
        <v>768</v>
      </c>
      <c r="DT306" s="47" t="s">
        <v>0</v>
      </c>
      <c r="DU306" s="52" t="str">
        <f t="shared" si="373"/>
        <v>Maja – Kušt</v>
      </c>
      <c r="DV306" s="53">
        <f t="shared" si="374"/>
        <v>768</v>
      </c>
      <c r="DW306" s="47" t="s">
        <v>0</v>
      </c>
      <c r="DX306" s="58">
        <f t="shared" si="417"/>
        <v>768</v>
      </c>
      <c r="DY306" s="53" cm="1">
        <f t="array" ref="DY306">IF(DX306&lt;&gt;"",INDEX(regNatjecatelj_id,DX306,0),IF(BD306&lt;&gt;"",BD306,""))</f>
        <v>1375</v>
      </c>
      <c r="DZ306" s="47" t="s">
        <v>0</v>
      </c>
      <c r="EA306" s="58" t="str">
        <f t="shared" si="375"/>
        <v>imepre</v>
      </c>
      <c r="EB306" s="73" t="str">
        <f t="shared" si="376"/>
        <v>klu</v>
      </c>
      <c r="EC306" s="73" t="str">
        <f t="shared" si="377"/>
        <v>kat</v>
      </c>
      <c r="ED306" s="73" t="str">
        <f t="shared" si="378"/>
        <v/>
      </c>
      <c r="EE306" s="66" t="str">
        <f t="shared" si="379"/>
        <v>imepre-klu-kat</v>
      </c>
      <c r="EF306" s="47" t="s">
        <v>0</v>
      </c>
      <c r="EG306" s="58">
        <f>IF(AL306="","",MAX(EG$12:EG305)+1)</f>
        <v>456</v>
      </c>
      <c r="EH306" s="73">
        <f t="shared" si="380"/>
        <v>41</v>
      </c>
      <c r="EI306" s="73">
        <f t="shared" si="418"/>
        <v>1375</v>
      </c>
      <c r="EJ306" s="73">
        <f t="shared" si="381"/>
        <v>6398</v>
      </c>
      <c r="EK306" s="73">
        <f t="shared" si="382"/>
        <v>1</v>
      </c>
      <c r="EL306" s="73">
        <f t="shared" si="419"/>
        <v>1</v>
      </c>
      <c r="EM306" s="73">
        <f t="shared" si="420"/>
        <v>1</v>
      </c>
      <c r="EN306" s="73" t="str">
        <f t="shared" si="383"/>
        <v>0</v>
      </c>
      <c r="EO306" s="73" t="str">
        <f t="shared" si="384"/>
        <v/>
      </c>
      <c r="EP306" s="73" t="str">
        <f t="shared" si="385"/>
        <v/>
      </c>
      <c r="EQ306" s="53" t="str">
        <f t="shared" si="386"/>
        <v/>
      </c>
      <c r="ER306" s="47" t="s">
        <v>0</v>
      </c>
      <c r="ES306" s="19" t="str">
        <f t="shared" si="421"/>
        <v>INSERT INTO rezultat(id,stazakategorija_id,imeprezime_id,vrijeme_sec,status_id,registracija,uparivanje_id,originalstatus_id,imeprezimealias_id,klubalias_id,kategorijaalias_id) VALUES (456,41,1375,6398,1,1,1,0,Null,Null,Null);</v>
      </c>
      <c r="ET306" s="47" t="s">
        <v>0</v>
      </c>
      <c r="EU306" s="19" t="str">
        <f t="shared" si="422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6" s="47" t="s">
        <v>0</v>
      </c>
      <c r="EW306" s="180" t="str">
        <f t="shared" si="387"/>
        <v xml:space="preserve">
INSERT INTO rezultat(id,stazakategorija_id,imeprezime_id,vrijeme_sec,status_id,registracija,uparivanje_id,originalstatus_id,imeprezimealias_id,klubalias_id,kategorijaalias_id) VALUES (456,41,1375,6398,1,1,1,0,Null,Null,Null);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6" s="47" t="s">
        <v>0</v>
      </c>
    </row>
    <row r="307" spans="1:154" x14ac:dyDescent="0.25">
      <c r="A307" t="s">
        <v>0</v>
      </c>
      <c r="B307" s="52" t="str">
        <f>IF(csv!F297="","",csv!T297)</f>
        <v>Ž35</v>
      </c>
      <c r="C307" s="31" t="s">
        <v>0</v>
      </c>
      <c r="D307" s="31" t="str">
        <f>IF(csv!F297="","",csv!F297)</f>
        <v>Ana</v>
      </c>
      <c r="E307" s="31" t="str">
        <f>IF(csv!E297="","",csv!E297)</f>
        <v>Delić</v>
      </c>
      <c r="F307" s="31" t="s">
        <v>0</v>
      </c>
      <c r="G307" s="73" t="str">
        <f>IF(csv!M297="","",csv!M297)</f>
        <v/>
      </c>
      <c r="H307" s="73" t="str">
        <f>IF(csv!N297="","",csv!N297)</f>
        <v>1</v>
      </c>
      <c r="I307" s="31" t="s">
        <v>0</v>
      </c>
      <c r="J307" s="31" t="str">
        <f>IF(csv!P297="","",csv!P297)</f>
        <v>OK Jelen</v>
      </c>
      <c r="K307" s="31" t="str">
        <f>IF(csv!Q297="","",csv!Q297)</f>
        <v>OK Jelen</v>
      </c>
      <c r="L307" s="31" t="s">
        <v>0</v>
      </c>
      <c r="M307" s="66" t="str">
        <f>IF(csv!R297="","",csv!R297)</f>
        <v>CRO</v>
      </c>
      <c r="N307" s="47" t="s">
        <v>0</v>
      </c>
      <c r="O307" s="246" t="str">
        <f t="shared" si="388"/>
        <v>ok</v>
      </c>
      <c r="P307" s="47"/>
      <c r="Q307" s="52" t="str">
        <f t="shared" si="389"/>
        <v>Ž35</v>
      </c>
      <c r="R307" s="73">
        <f>IF(Q307="","",IF(COUNTIF(Q$12:Q306,Q307)=0,R306+1,R306))</f>
        <v>19</v>
      </c>
      <c r="S307" s="73">
        <f t="shared" si="390"/>
        <v>117</v>
      </c>
      <c r="T307" s="73">
        <f t="shared" si="353"/>
        <v>26</v>
      </c>
      <c r="U307" s="66" t="str">
        <f t="shared" si="354"/>
        <v>Ž35</v>
      </c>
      <c r="V307" s="47" t="s">
        <v>0</v>
      </c>
      <c r="W307" s="222" t="str">
        <f t="shared" si="355"/>
        <v>Ž35</v>
      </c>
      <c r="X307" s="223">
        <f t="shared" si="356"/>
        <v>41</v>
      </c>
      <c r="Y307" s="47" t="s">
        <v>0</v>
      </c>
      <c r="Z307" s="52" t="str">
        <f t="shared" si="391"/>
        <v>CRO</v>
      </c>
      <c r="AA307" s="73">
        <f t="shared" si="357"/>
        <v>1</v>
      </c>
      <c r="AB307" s="31" t="str">
        <f t="shared" si="392"/>
        <v/>
      </c>
      <c r="AC307" s="66" t="str">
        <f>IF(AB307="","",MAX(AC$12:AC306)+1)</f>
        <v/>
      </c>
      <c r="AD307" s="47" t="s">
        <v>0</v>
      </c>
      <c r="AE307" s="125"/>
      <c r="AF307" s="47" t="s">
        <v>0</v>
      </c>
      <c r="AG307" s="19" t="str">
        <f t="shared" si="393"/>
        <v/>
      </c>
      <c r="AH307" s="47" t="s">
        <v>0</v>
      </c>
      <c r="AI307" s="143" t="str">
        <f t="shared" si="394"/>
        <v>CRO</v>
      </c>
      <c r="AJ307" s="47"/>
      <c r="AK307" s="52" t="str">
        <f t="shared" si="395"/>
        <v>Ana</v>
      </c>
      <c r="AL307" s="31" t="str">
        <f t="shared" si="396"/>
        <v>Delić</v>
      </c>
      <c r="AM307" s="73">
        <f t="shared" si="397"/>
        <v>1549</v>
      </c>
      <c r="AN307" s="73" t="str">
        <f t="shared" si="398"/>
        <v/>
      </c>
      <c r="AO307" s="31" t="str">
        <f t="shared" si="358"/>
        <v>Ana</v>
      </c>
      <c r="AP307" s="66" t="str">
        <f t="shared" si="359"/>
        <v>Delić</v>
      </c>
      <c r="AQ307" s="47" t="s">
        <v>0</v>
      </c>
      <c r="AR307" s="82" t="str">
        <f t="shared" si="399"/>
        <v/>
      </c>
      <c r="AS307" s="47" t="s">
        <v>0</v>
      </c>
      <c r="AT307" s="19" t="str">
        <f t="shared" si="400"/>
        <v/>
      </c>
      <c r="AU307" s="47" t="s">
        <v>0</v>
      </c>
      <c r="AV307" s="103"/>
      <c r="AW307" s="105"/>
      <c r="AX307" s="47" t="s">
        <v>0</v>
      </c>
      <c r="AY307" s="259" t="str">
        <f t="shared" si="423"/>
        <v/>
      </c>
      <c r="AZ307" s="47" t="s">
        <v>0</v>
      </c>
      <c r="BA307" s="52" t="str">
        <f t="shared" si="360"/>
        <v/>
      </c>
      <c r="BB307" s="73" t="str">
        <f>IF(AV307&amp;AW307="","",MAX(BB$12:BB306)+1)</f>
        <v/>
      </c>
      <c r="BC307" s="272" t="str">
        <f t="shared" si="361"/>
        <v/>
      </c>
      <c r="BD307" s="53" t="str">
        <f>IF(AND(AM307="NEMA",AN307="NEMA",OR(AV307&amp;AW307="",BC307="NEMA")),MAX(BD$12:BD306)+1,"")</f>
        <v/>
      </c>
      <c r="BE307" s="47" t="s">
        <v>0</v>
      </c>
      <c r="BF307" s="52" t="str">
        <f t="shared" si="401"/>
        <v>Ana</v>
      </c>
      <c r="BG307" s="66" t="str">
        <f t="shared" si="402"/>
        <v>Delić</v>
      </c>
      <c r="BH307" s="47" t="s">
        <v>0</v>
      </c>
      <c r="BI307" s="52" t="str">
        <f t="shared" si="362"/>
        <v>OK Jelen</v>
      </c>
      <c r="BJ307" s="31" t="str">
        <f t="shared" si="363"/>
        <v>OK Jelen</v>
      </c>
      <c r="BK307" s="73" t="str">
        <f t="shared" si="364"/>
        <v/>
      </c>
      <c r="BL307" s="31" t="str" cm="1">
        <f t="array" ref="BL307">IF(BK307="",""&amp;BJ307,IF(BK307="NEMA",BJ307,INDEX(regKlub_naziv,MATCH(INDEX(regKlub_alias_klubId,BK307),regKlub_id,0))))</f>
        <v>OK Jelen</v>
      </c>
      <c r="BM307" s="31" t="str" cm="1">
        <f t="array" ref="BM307">IFERROR(""&amp;INDEX(regNatjecatelj_klub,DV307),"")</f>
        <v>OK Jelen</v>
      </c>
      <c r="BN307" s="88" t="str">
        <f t="shared" si="403"/>
        <v/>
      </c>
      <c r="BO307" s="66" t="str">
        <f t="shared" si="404"/>
        <v>OK Jelen</v>
      </c>
      <c r="BP307" s="47" t="s">
        <v>0</v>
      </c>
      <c r="BQ307" s="52" t="str">
        <f>IF(X307&lt;&gt;"NEMA","",IF(IFERROR(MATCH(W307,W$12:W306,0),0)&lt;&gt;0,"",W307))</f>
        <v/>
      </c>
      <c r="BR307" s="73" t="str">
        <f t="shared" si="405"/>
        <v/>
      </c>
      <c r="BS307" s="31" t="str">
        <f>IF(OR(BR307="",BR307&lt;&gt;"NEMA"),"",MAX(BS$12:BS306)+1)</f>
        <v/>
      </c>
      <c r="BT307" s="66" t="str">
        <f t="shared" si="406"/>
        <v/>
      </c>
      <c r="BU307" s="47" t="s">
        <v>0</v>
      </c>
      <c r="BV307" s="19" t="str">
        <f t="shared" si="407"/>
        <v/>
      </c>
      <c r="BW307" s="47" t="s">
        <v>0</v>
      </c>
      <c r="BX307" s="82" t="str">
        <f>IF(BK307&lt;&gt;"NEMA","",IF(IFERROR(MATCH(BJ307,BJ$12:BJ306,0),0)&lt;&gt;0,"",BJ307))</f>
        <v/>
      </c>
      <c r="BY307" s="47" t="s">
        <v>0</v>
      </c>
      <c r="BZ307" s="125"/>
      <c r="CA307" s="47" t="s">
        <v>0</v>
      </c>
      <c r="CB307" s="58" t="str">
        <f t="shared" si="408"/>
        <v/>
      </c>
      <c r="CC307" s="31" t="str">
        <f t="shared" si="409"/>
        <v/>
      </c>
      <c r="CD307" s="31" t="str">
        <f>IF(CC307="","",MAX(CD$12:CD306)+1)</f>
        <v/>
      </c>
      <c r="CE307" s="31" t="str">
        <f t="shared" si="365"/>
        <v/>
      </c>
      <c r="CF307" s="31" t="str">
        <f t="shared" si="410"/>
        <v/>
      </c>
      <c r="CG307" s="31" t="str">
        <f>IF(BZ307="","",MAX(CG$12:CG306)+1)</f>
        <v/>
      </c>
      <c r="CH307" s="31" t="str">
        <f t="shared" si="411"/>
        <v/>
      </c>
      <c r="CI307" s="66" t="str">
        <f t="shared" si="412"/>
        <v/>
      </c>
      <c r="CJ307" s="47" t="s">
        <v>0</v>
      </c>
      <c r="CK307" s="73" t="str">
        <f t="shared" si="366"/>
        <v/>
      </c>
      <c r="CL307" s="47"/>
      <c r="CM307" s="19" t="str">
        <f t="shared" si="413"/>
        <v/>
      </c>
      <c r="CN307" s="47" t="s">
        <v>0</v>
      </c>
      <c r="CO307" s="143" t="str">
        <f t="shared" si="414"/>
        <v>OK Jelen</v>
      </c>
      <c r="CP307" s="47" t="s">
        <v>0</v>
      </c>
      <c r="CQ307" s="58" t="str">
        <f t="shared" si="430"/>
        <v/>
      </c>
      <c r="CR307" s="73" t="str">
        <f t="shared" si="431"/>
        <v>1</v>
      </c>
      <c r="CS307" s="229" t="str">
        <f t="shared" si="367"/>
        <v/>
      </c>
      <c r="CT307" s="230" t="str">
        <f t="shared" si="352"/>
        <v/>
      </c>
      <c r="CU307" s="163">
        <f t="shared" si="368"/>
        <v>6</v>
      </c>
      <c r="CV307" s="47" t="s">
        <v>0</v>
      </c>
      <c r="CW307" s="222" t="str">
        <f t="shared" si="415"/>
        <v xml:space="preserve">
</v>
      </c>
      <c r="CX307" s="223" t="e">
        <f t="shared" si="416"/>
        <v>#N/A</v>
      </c>
      <c r="CY307" s="47" t="s">
        <v>0</v>
      </c>
      <c r="CZ307" s="47"/>
      <c r="DA307" s="47"/>
      <c r="DB307" s="47"/>
      <c r="DC307" s="47" t="s">
        <v>0</v>
      </c>
      <c r="DD307" s="53" t="str">
        <f t="shared" si="424"/>
        <v/>
      </c>
      <c r="DE307" t="s">
        <v>0</v>
      </c>
      <c r="DF307" s="128" t="str">
        <f t="shared" si="425"/>
        <v>Ž</v>
      </c>
      <c r="DG307" t="s">
        <v>0</v>
      </c>
      <c r="DH307" s="52" t="str">
        <f t="shared" si="426"/>
        <v/>
      </c>
      <c r="DI307" s="66" t="str">
        <f t="shared" si="427"/>
        <v/>
      </c>
      <c r="DJ307" t="s">
        <v>0</v>
      </c>
      <c r="DK307" s="19" t="str">
        <f t="shared" si="428"/>
        <v/>
      </c>
      <c r="DL307" s="47" t="s">
        <v>0</v>
      </c>
      <c r="DM307" s="19" t="str">
        <f t="shared" si="429"/>
        <v/>
      </c>
      <c r="DN307" s="47" t="s">
        <v>0</v>
      </c>
      <c r="DO307" s="52" t="str">
        <f t="shared" si="369"/>
        <v>Ana – Delić – OK Jelen – Ž35</v>
      </c>
      <c r="DP307" s="53">
        <f t="shared" si="370"/>
        <v>157</v>
      </c>
      <c r="DQ307" s="47" t="s">
        <v>0</v>
      </c>
      <c r="DR307" s="52" t="str">
        <f t="shared" si="371"/>
        <v>Ana – Delić – OK Jelen</v>
      </c>
      <c r="DS307" s="53">
        <f t="shared" si="372"/>
        <v>157</v>
      </c>
      <c r="DT307" s="47" t="s">
        <v>0</v>
      </c>
      <c r="DU307" s="52" t="str">
        <f t="shared" si="373"/>
        <v>Ana – Delić</v>
      </c>
      <c r="DV307" s="53">
        <f t="shared" si="374"/>
        <v>157</v>
      </c>
      <c r="DW307" s="47" t="s">
        <v>0</v>
      </c>
      <c r="DX307" s="58">
        <f t="shared" si="417"/>
        <v>157</v>
      </c>
      <c r="DY307" s="53" cm="1">
        <f t="array" ref="DY307">IF(DX307&lt;&gt;"",INDEX(regNatjecatelj_id,DX307,0),IF(BD307&lt;&gt;"",BD307,""))</f>
        <v>1549</v>
      </c>
      <c r="DZ307" s="47" t="s">
        <v>0</v>
      </c>
      <c r="EA307" s="58" t="str">
        <f t="shared" si="375"/>
        <v>imepre</v>
      </c>
      <c r="EB307" s="73" t="str">
        <f t="shared" si="376"/>
        <v>klu</v>
      </c>
      <c r="EC307" s="73" t="str">
        <f t="shared" si="377"/>
        <v>kat</v>
      </c>
      <c r="ED307" s="73" t="str">
        <f t="shared" si="378"/>
        <v/>
      </c>
      <c r="EE307" s="66" t="str">
        <f t="shared" si="379"/>
        <v>imepre-klu-kat</v>
      </c>
      <c r="EF307" s="47" t="s">
        <v>0</v>
      </c>
      <c r="EG307" s="58">
        <f>IF(AL307="","",MAX(EG$12:EG306)+1)</f>
        <v>457</v>
      </c>
      <c r="EH307" s="73">
        <f t="shared" si="380"/>
        <v>41</v>
      </c>
      <c r="EI307" s="73">
        <f t="shared" si="418"/>
        <v>1549</v>
      </c>
      <c r="EJ307" s="73" t="str">
        <f t="shared" si="381"/>
        <v/>
      </c>
      <c r="EK307" s="73">
        <f t="shared" si="382"/>
        <v>6</v>
      </c>
      <c r="EL307" s="73">
        <f t="shared" si="419"/>
        <v>1</v>
      </c>
      <c r="EM307" s="73">
        <f t="shared" si="420"/>
        <v>1</v>
      </c>
      <c r="EN307" s="73" t="str">
        <f t="shared" si="383"/>
        <v>1</v>
      </c>
      <c r="EO307" s="73" t="str">
        <f t="shared" si="384"/>
        <v/>
      </c>
      <c r="EP307" s="73" t="str">
        <f t="shared" si="385"/>
        <v/>
      </c>
      <c r="EQ307" s="53" t="str">
        <f t="shared" si="386"/>
        <v/>
      </c>
      <c r="ER307" s="47" t="s">
        <v>0</v>
      </c>
      <c r="ES307" s="19" t="str">
        <f t="shared" si="421"/>
        <v>INSERT INTO rezultat(id,stazakategorija_id,imeprezime_id,vrijeme_sec,status_id,registracija,uparivanje_id,originalstatus_id,imeprezimealias_id,klubalias_id,kategorijaalias_id) VALUES (457,41,1549,Null,6,1,1,1,Null,Null,Null);</v>
      </c>
      <c r="ET307" s="47" t="s">
        <v>0</v>
      </c>
      <c r="EU307" s="19" t="str">
        <f t="shared" si="422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7" s="47" t="s">
        <v>0</v>
      </c>
      <c r="EW307" s="180" t="str">
        <f t="shared" si="387"/>
        <v xml:space="preserve">
INSERT INTO rezultat(id,stazakategorija_id,imeprezime_id,vrijeme_sec,status_id,registracija,uparivanje_id,originalstatus_id,imeprezimealias_id,klubalias_id,kategorijaalias_id) VALUES (457,41,1549,Null,6,1,1,1,Null,Null,Null);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7" s="47" t="s">
        <v>0</v>
      </c>
    </row>
    <row r="308" spans="1:154" x14ac:dyDescent="0.25">
      <c r="A308" t="s">
        <v>0</v>
      </c>
      <c r="B308" s="52" t="str">
        <f>IF(csv!F298="","",csv!T298)</f>
        <v>Ž35</v>
      </c>
      <c r="C308" s="31" t="s">
        <v>0</v>
      </c>
      <c r="D308" s="31" t="str">
        <f>IF(csv!F298="","",csv!F298)</f>
        <v>Vacant</v>
      </c>
      <c r="E308" s="31" t="str">
        <f>IF(csv!E298="","",csv!E298)</f>
        <v/>
      </c>
      <c r="F308" s="31" t="s">
        <v>0</v>
      </c>
      <c r="G308" s="73" t="str">
        <f>IF(csv!M298="","",csv!M298)</f>
        <v/>
      </c>
      <c r="H308" s="73" t="str">
        <f>IF(csv!N298="","",csv!N298)</f>
        <v>0</v>
      </c>
      <c r="I308" s="31" t="s">
        <v>0</v>
      </c>
      <c r="J308" s="31" t="str">
        <f>IF(csv!P298="","",csv!P298)</f>
        <v/>
      </c>
      <c r="K308" s="31" t="str">
        <f>IF(csv!Q298="","",csv!Q298)</f>
        <v/>
      </c>
      <c r="L308" s="31" t="s">
        <v>0</v>
      </c>
      <c r="M308" s="66" t="str">
        <f>IF(csv!R298="","",csv!R298)</f>
        <v/>
      </c>
      <c r="N308" s="47" t="s">
        <v>0</v>
      </c>
      <c r="O308" s="246" t="str">
        <f t="shared" si="388"/>
        <v/>
      </c>
      <c r="P308" s="47"/>
      <c r="Q308" s="52" t="str">
        <f t="shared" si="389"/>
        <v>Ž35</v>
      </c>
      <c r="R308" s="73">
        <f>IF(Q308="","",IF(COUNTIF(Q$12:Q307,Q308)=0,R307+1,R307))</f>
        <v>19</v>
      </c>
      <c r="S308" s="73">
        <f t="shared" si="390"/>
        <v>117</v>
      </c>
      <c r="T308" s="73">
        <f t="shared" si="353"/>
        <v>26</v>
      </c>
      <c r="U308" s="66" t="str">
        <f t="shared" si="354"/>
        <v>Ž35</v>
      </c>
      <c r="V308" s="47" t="s">
        <v>0</v>
      </c>
      <c r="W308" s="222" t="str">
        <f t="shared" si="355"/>
        <v/>
      </c>
      <c r="X308" s="223" t="str">
        <f t="shared" si="356"/>
        <v/>
      </c>
      <c r="Y308" s="47" t="s">
        <v>0</v>
      </c>
      <c r="Z308" s="52" t="str">
        <f t="shared" si="391"/>
        <v/>
      </c>
      <c r="AA308" s="73" t="str">
        <f t="shared" si="357"/>
        <v/>
      </c>
      <c r="AB308" s="31" t="str">
        <f t="shared" si="392"/>
        <v/>
      </c>
      <c r="AC308" s="66" t="str">
        <f>IF(AB308="","",MAX(AC$12:AC307)+1)</f>
        <v/>
      </c>
      <c r="AD308" s="47" t="s">
        <v>0</v>
      </c>
      <c r="AE308" s="125"/>
      <c r="AF308" s="47" t="s">
        <v>0</v>
      </c>
      <c r="AG308" s="19" t="str">
        <f t="shared" si="393"/>
        <v/>
      </c>
      <c r="AH308" s="47" t="s">
        <v>0</v>
      </c>
      <c r="AI308" s="143" t="str">
        <f t="shared" si="394"/>
        <v/>
      </c>
      <c r="AJ308" s="47"/>
      <c r="AK308" s="52" t="str">
        <f t="shared" si="395"/>
        <v/>
      </c>
      <c r="AL308" s="31" t="str">
        <f t="shared" si="396"/>
        <v/>
      </c>
      <c r="AM308" s="73" t="str">
        <f t="shared" si="397"/>
        <v/>
      </c>
      <c r="AN308" s="73" t="str">
        <f t="shared" si="398"/>
        <v/>
      </c>
      <c r="AO308" s="31" t="str">
        <f t="shared" si="358"/>
        <v/>
      </c>
      <c r="AP308" s="66" t="str">
        <f t="shared" si="359"/>
        <v/>
      </c>
      <c r="AQ308" s="47" t="s">
        <v>0</v>
      </c>
      <c r="AR308" s="82" t="str">
        <f t="shared" si="399"/>
        <v/>
      </c>
      <c r="AS308" s="47" t="s">
        <v>0</v>
      </c>
      <c r="AT308" s="19" t="str">
        <f t="shared" si="400"/>
        <v/>
      </c>
      <c r="AU308" s="47" t="s">
        <v>0</v>
      </c>
      <c r="AV308" s="103"/>
      <c r="AW308" s="105"/>
      <c r="AX308" s="47" t="s">
        <v>0</v>
      </c>
      <c r="AY308" s="259" t="str">
        <f t="shared" si="423"/>
        <v/>
      </c>
      <c r="AZ308" s="47" t="s">
        <v>0</v>
      </c>
      <c r="BA308" s="52" t="str">
        <f t="shared" si="360"/>
        <v/>
      </c>
      <c r="BB308" s="73" t="str">
        <f>IF(AV308&amp;AW308="","",MAX(BB$12:BB307)+1)</f>
        <v/>
      </c>
      <c r="BC308" s="272" t="str">
        <f t="shared" si="361"/>
        <v/>
      </c>
      <c r="BD308" s="53" t="str">
        <f>IF(AND(AM308="NEMA",AN308="NEMA",OR(AV308&amp;AW308="",BC308="NEMA")),MAX(BD$12:BD307)+1,"")</f>
        <v/>
      </c>
      <c r="BE308" s="47" t="s">
        <v>0</v>
      </c>
      <c r="BF308" s="52" t="str">
        <f t="shared" si="401"/>
        <v/>
      </c>
      <c r="BG308" s="66" t="str">
        <f t="shared" si="402"/>
        <v/>
      </c>
      <c r="BH308" s="47" t="s">
        <v>0</v>
      </c>
      <c r="BI308" s="52" t="str">
        <f t="shared" si="362"/>
        <v/>
      </c>
      <c r="BJ308" s="31" t="str">
        <f t="shared" si="363"/>
        <v/>
      </c>
      <c r="BK308" s="73" t="str">
        <f t="shared" si="364"/>
        <v/>
      </c>
      <c r="BL308" s="31" t="str" cm="1">
        <f t="array" ref="BL308">IF(BK308="",""&amp;BJ308,IF(BK308="NEMA",BJ308,INDEX(regKlub_naziv,MATCH(INDEX(regKlub_alias_klubId,BK308),regKlub_id,0))))</f>
        <v/>
      </c>
      <c r="BM308" s="31" t="str" cm="1">
        <f t="array" ref="BM308">IFERROR(""&amp;INDEX(regNatjecatelj_klub,DV308),"")</f>
        <v/>
      </c>
      <c r="BN308" s="88" t="str">
        <f t="shared" si="403"/>
        <v/>
      </c>
      <c r="BO308" s="66" t="str">
        <f t="shared" si="404"/>
        <v/>
      </c>
      <c r="BP308" s="47" t="s">
        <v>0</v>
      </c>
      <c r="BQ308" s="52" t="str">
        <f>IF(X308&lt;&gt;"NEMA","",IF(IFERROR(MATCH(W308,W$12:W307,0),0)&lt;&gt;0,"",W308))</f>
        <v/>
      </c>
      <c r="BR308" s="73" t="str">
        <f t="shared" si="405"/>
        <v/>
      </c>
      <c r="BS308" s="31" t="str">
        <f>IF(OR(BR308="",BR308&lt;&gt;"NEMA"),"",MAX(BS$12:BS307)+1)</f>
        <v/>
      </c>
      <c r="BT308" s="66" t="str">
        <f t="shared" si="406"/>
        <v/>
      </c>
      <c r="BU308" s="47" t="s">
        <v>0</v>
      </c>
      <c r="BV308" s="19" t="str">
        <f t="shared" si="407"/>
        <v/>
      </c>
      <c r="BW308" s="47" t="s">
        <v>0</v>
      </c>
      <c r="BX308" s="82" t="str">
        <f>IF(BK308&lt;&gt;"NEMA","",IF(IFERROR(MATCH(BJ308,BJ$12:BJ307,0),0)&lt;&gt;0,"",BJ308))</f>
        <v/>
      </c>
      <c r="BY308" s="47" t="s">
        <v>0</v>
      </c>
      <c r="BZ308" s="125"/>
      <c r="CA308" s="47" t="s">
        <v>0</v>
      </c>
      <c r="CB308" s="58" t="str">
        <f t="shared" si="408"/>
        <v/>
      </c>
      <c r="CC308" s="31" t="str">
        <f t="shared" si="409"/>
        <v/>
      </c>
      <c r="CD308" s="31" t="str">
        <f>IF(CC308="","",MAX(CD$12:CD307)+1)</f>
        <v/>
      </c>
      <c r="CE308" s="31" t="str">
        <f t="shared" si="365"/>
        <v/>
      </c>
      <c r="CF308" s="31" t="str">
        <f t="shared" si="410"/>
        <v/>
      </c>
      <c r="CG308" s="31" t="str">
        <f>IF(BZ308="","",MAX(CG$12:CG307)+1)</f>
        <v/>
      </c>
      <c r="CH308" s="31" t="str">
        <f t="shared" si="411"/>
        <v/>
      </c>
      <c r="CI308" s="66" t="str">
        <f t="shared" si="412"/>
        <v/>
      </c>
      <c r="CJ308" s="47" t="s">
        <v>0</v>
      </c>
      <c r="CK308" s="73" t="str">
        <f t="shared" si="366"/>
        <v/>
      </c>
      <c r="CL308" s="47"/>
      <c r="CM308" s="19" t="str">
        <f t="shared" si="413"/>
        <v/>
      </c>
      <c r="CN308" s="47" t="s">
        <v>0</v>
      </c>
      <c r="CO308" s="143" t="str">
        <f t="shared" si="414"/>
        <v/>
      </c>
      <c r="CP308" s="47" t="s">
        <v>0</v>
      </c>
      <c r="CQ308" s="58" t="str">
        <f t="shared" si="430"/>
        <v/>
      </c>
      <c r="CR308" s="73" t="str">
        <f t="shared" si="431"/>
        <v>0</v>
      </c>
      <c r="CS308" s="229" t="str">
        <f t="shared" si="367"/>
        <v/>
      </c>
      <c r="CT308" s="230" t="str">
        <f t="shared" si="352"/>
        <v/>
      </c>
      <c r="CU308" s="163" t="str">
        <f t="shared" si="368"/>
        <v/>
      </c>
      <c r="CV308" s="47" t="s">
        <v>0</v>
      </c>
      <c r="CW308" s="222" t="str">
        <f t="shared" si="415"/>
        <v xml:space="preserve">
</v>
      </c>
      <c r="CX308" s="223" t="str">
        <f t="shared" si="416"/>
        <v/>
      </c>
      <c r="CY308" s="47" t="s">
        <v>0</v>
      </c>
      <c r="CZ308" s="47"/>
      <c r="DA308" s="47"/>
      <c r="DB308" s="47"/>
      <c r="DC308" s="47" t="s">
        <v>0</v>
      </c>
      <c r="DD308" s="53" t="str">
        <f t="shared" si="424"/>
        <v/>
      </c>
      <c r="DE308" t="s">
        <v>0</v>
      </c>
      <c r="DF308" s="128" t="str">
        <f t="shared" si="425"/>
        <v>Ž</v>
      </c>
      <c r="DG308" t="s">
        <v>0</v>
      </c>
      <c r="DH308" s="52" t="str">
        <f t="shared" si="426"/>
        <v/>
      </c>
      <c r="DI308" s="66" t="str">
        <f t="shared" si="427"/>
        <v/>
      </c>
      <c r="DJ308" t="s">
        <v>0</v>
      </c>
      <c r="DK308" s="19" t="str">
        <f t="shared" si="428"/>
        <v/>
      </c>
      <c r="DL308" s="47" t="s">
        <v>0</v>
      </c>
      <c r="DM308" s="19" t="str">
        <f t="shared" si="429"/>
        <v/>
      </c>
      <c r="DN308" s="47" t="s">
        <v>0</v>
      </c>
      <c r="DO308" s="52" t="str">
        <f t="shared" si="369"/>
        <v/>
      </c>
      <c r="DP308" s="53" t="str">
        <f t="shared" si="370"/>
        <v/>
      </c>
      <c r="DQ308" s="47" t="s">
        <v>0</v>
      </c>
      <c r="DR308" s="52" t="str">
        <f t="shared" si="371"/>
        <v/>
      </c>
      <c r="DS308" s="53" t="str">
        <f t="shared" si="372"/>
        <v/>
      </c>
      <c r="DT308" s="47" t="s">
        <v>0</v>
      </c>
      <c r="DU308" s="52" t="str">
        <f t="shared" si="373"/>
        <v/>
      </c>
      <c r="DV308" s="53" t="str">
        <f t="shared" si="374"/>
        <v/>
      </c>
      <c r="DW308" s="47" t="s">
        <v>0</v>
      </c>
      <c r="DX308" s="58" t="str">
        <f t="shared" si="417"/>
        <v/>
      </c>
      <c r="DY308" s="53" t="str" cm="1">
        <f t="array" ref="DY308">IF(DX308&lt;&gt;"",INDEX(regNatjecatelj_id,DX308,0),IF(BD308&lt;&gt;"",BD308,""))</f>
        <v/>
      </c>
      <c r="DZ308" s="47" t="s">
        <v>0</v>
      </c>
      <c r="EA308" s="58" t="str">
        <f t="shared" si="375"/>
        <v/>
      </c>
      <c r="EB308" s="73" t="str">
        <f t="shared" si="376"/>
        <v/>
      </c>
      <c r="EC308" s="73" t="str">
        <f t="shared" si="377"/>
        <v/>
      </c>
      <c r="ED308" s="73" t="str">
        <f t="shared" si="378"/>
        <v/>
      </c>
      <c r="EE308" s="66" t="str">
        <f t="shared" si="379"/>
        <v/>
      </c>
      <c r="EF308" s="47" t="s">
        <v>0</v>
      </c>
      <c r="EG308" s="58" t="str">
        <f>IF(AL308="","",MAX(EG$12:EG307)+1)</f>
        <v/>
      </c>
      <c r="EH308" s="73" t="str">
        <f t="shared" si="380"/>
        <v/>
      </c>
      <c r="EI308" s="73" t="str">
        <f t="shared" si="418"/>
        <v/>
      </c>
      <c r="EJ308" s="73" t="str">
        <f t="shared" si="381"/>
        <v/>
      </c>
      <c r="EK308" s="73" t="str">
        <f t="shared" si="382"/>
        <v/>
      </c>
      <c r="EL308" s="73" t="str">
        <f t="shared" si="419"/>
        <v/>
      </c>
      <c r="EM308" s="73" t="str">
        <f t="shared" si="420"/>
        <v/>
      </c>
      <c r="EN308" s="73" t="str">
        <f t="shared" si="383"/>
        <v/>
      </c>
      <c r="EO308" s="73" t="str">
        <f t="shared" si="384"/>
        <v/>
      </c>
      <c r="EP308" s="73" t="str">
        <f t="shared" si="385"/>
        <v/>
      </c>
      <c r="EQ308" s="53" t="str">
        <f t="shared" si="386"/>
        <v/>
      </c>
      <c r="ER308" s="47" t="s">
        <v>0</v>
      </c>
      <c r="ES308" s="19" t="str">
        <f t="shared" si="421"/>
        <v/>
      </c>
      <c r="ET308" s="47" t="s">
        <v>0</v>
      </c>
      <c r="EU308" s="19" t="str">
        <f t="shared" si="422"/>
        <v/>
      </c>
      <c r="EV308" s="47" t="s">
        <v>0</v>
      </c>
      <c r="EW308" s="180" t="str">
        <f t="shared" si="387"/>
        <v/>
      </c>
      <c r="EX308" s="47" t="s">
        <v>0</v>
      </c>
    </row>
    <row r="309" spans="1:154" x14ac:dyDescent="0.25">
      <c r="A309" t="s">
        <v>0</v>
      </c>
      <c r="B309" s="52" t="str">
        <f>IF(csv!F299="","",csv!T299)</f>
        <v>Ž35</v>
      </c>
      <c r="C309" s="31" t="s">
        <v>0</v>
      </c>
      <c r="D309" s="31" t="str">
        <f>IF(csv!F299="","",csv!F299)</f>
        <v>Vacant</v>
      </c>
      <c r="E309" s="31" t="str">
        <f>IF(csv!E299="","",csv!E299)</f>
        <v/>
      </c>
      <c r="F309" s="31" t="s">
        <v>0</v>
      </c>
      <c r="G309" s="73" t="str">
        <f>IF(csv!M299="","",csv!M299)</f>
        <v/>
      </c>
      <c r="H309" s="73" t="str">
        <f>IF(csv!N299="","",csv!N299)</f>
        <v>0</v>
      </c>
      <c r="I309" s="31" t="s">
        <v>0</v>
      </c>
      <c r="J309" s="31" t="str">
        <f>IF(csv!P299="","",csv!P299)</f>
        <v/>
      </c>
      <c r="K309" s="31" t="str">
        <f>IF(csv!Q299="","",csv!Q299)</f>
        <v/>
      </c>
      <c r="L309" s="31" t="s">
        <v>0</v>
      </c>
      <c r="M309" s="66" t="str">
        <f>IF(csv!R299="","",csv!R299)</f>
        <v/>
      </c>
      <c r="N309" s="47" t="s">
        <v>0</v>
      </c>
      <c r="O309" s="246" t="str">
        <f t="shared" si="388"/>
        <v/>
      </c>
      <c r="P309" s="47"/>
      <c r="Q309" s="52" t="str">
        <f t="shared" si="389"/>
        <v>Ž35</v>
      </c>
      <c r="R309" s="73">
        <f>IF(Q309="","",IF(COUNTIF(Q$12:Q308,Q309)=0,R308+1,R308))</f>
        <v>19</v>
      </c>
      <c r="S309" s="73">
        <f t="shared" si="390"/>
        <v>117</v>
      </c>
      <c r="T309" s="73">
        <f t="shared" si="353"/>
        <v>26</v>
      </c>
      <c r="U309" s="66" t="str">
        <f t="shared" si="354"/>
        <v>Ž35</v>
      </c>
      <c r="V309" s="47" t="s">
        <v>0</v>
      </c>
      <c r="W309" s="222" t="str">
        <f t="shared" si="355"/>
        <v/>
      </c>
      <c r="X309" s="223" t="str">
        <f t="shared" si="356"/>
        <v/>
      </c>
      <c r="Y309" s="47" t="s">
        <v>0</v>
      </c>
      <c r="Z309" s="52" t="str">
        <f t="shared" si="391"/>
        <v/>
      </c>
      <c r="AA309" s="73" t="str">
        <f t="shared" si="357"/>
        <v/>
      </c>
      <c r="AB309" s="31" t="str">
        <f t="shared" si="392"/>
        <v/>
      </c>
      <c r="AC309" s="66" t="str">
        <f>IF(AB309="","",MAX(AC$12:AC308)+1)</f>
        <v/>
      </c>
      <c r="AD309" s="47" t="s">
        <v>0</v>
      </c>
      <c r="AE309" s="125"/>
      <c r="AF309" s="47" t="s">
        <v>0</v>
      </c>
      <c r="AG309" s="19" t="str">
        <f t="shared" si="393"/>
        <v/>
      </c>
      <c r="AH309" s="47" t="s">
        <v>0</v>
      </c>
      <c r="AI309" s="143" t="str">
        <f t="shared" si="394"/>
        <v/>
      </c>
      <c r="AJ309" s="47"/>
      <c r="AK309" s="52" t="str">
        <f t="shared" si="395"/>
        <v/>
      </c>
      <c r="AL309" s="31" t="str">
        <f t="shared" si="396"/>
        <v/>
      </c>
      <c r="AM309" s="73" t="str">
        <f t="shared" si="397"/>
        <v/>
      </c>
      <c r="AN309" s="73" t="str">
        <f t="shared" si="398"/>
        <v/>
      </c>
      <c r="AO309" s="31" t="str">
        <f t="shared" si="358"/>
        <v/>
      </c>
      <c r="AP309" s="66" t="str">
        <f t="shared" si="359"/>
        <v/>
      </c>
      <c r="AQ309" s="47" t="s">
        <v>0</v>
      </c>
      <c r="AR309" s="82" t="str">
        <f t="shared" si="399"/>
        <v/>
      </c>
      <c r="AS309" s="47" t="s">
        <v>0</v>
      </c>
      <c r="AT309" s="19" t="str">
        <f t="shared" si="400"/>
        <v/>
      </c>
      <c r="AU309" s="47" t="s">
        <v>0</v>
      </c>
      <c r="AV309" s="103"/>
      <c r="AW309" s="105"/>
      <c r="AX309" s="47" t="s">
        <v>0</v>
      </c>
      <c r="AY309" s="259" t="str">
        <f t="shared" si="423"/>
        <v/>
      </c>
      <c r="AZ309" s="47" t="s">
        <v>0</v>
      </c>
      <c r="BA309" s="52" t="str">
        <f t="shared" si="360"/>
        <v/>
      </c>
      <c r="BB309" s="73" t="str">
        <f>IF(AV309&amp;AW309="","",MAX(BB$12:BB308)+1)</f>
        <v/>
      </c>
      <c r="BC309" s="272" t="str">
        <f t="shared" si="361"/>
        <v/>
      </c>
      <c r="BD309" s="53" t="str">
        <f>IF(AND(AM309="NEMA",AN309="NEMA",OR(AV309&amp;AW309="",BC309="NEMA")),MAX(BD$12:BD308)+1,"")</f>
        <v/>
      </c>
      <c r="BE309" s="47" t="s">
        <v>0</v>
      </c>
      <c r="BF309" s="52" t="str">
        <f t="shared" si="401"/>
        <v/>
      </c>
      <c r="BG309" s="66" t="str">
        <f t="shared" si="402"/>
        <v/>
      </c>
      <c r="BH309" s="47" t="s">
        <v>0</v>
      </c>
      <c r="BI309" s="52" t="str">
        <f t="shared" si="362"/>
        <v/>
      </c>
      <c r="BJ309" s="31" t="str">
        <f t="shared" si="363"/>
        <v/>
      </c>
      <c r="BK309" s="73" t="str">
        <f t="shared" si="364"/>
        <v/>
      </c>
      <c r="BL309" s="31" t="str" cm="1">
        <f t="array" ref="BL309">IF(BK309="",""&amp;BJ309,IF(BK309="NEMA",BJ309,INDEX(regKlub_naziv,MATCH(INDEX(regKlub_alias_klubId,BK309),regKlub_id,0))))</f>
        <v/>
      </c>
      <c r="BM309" s="31" t="str" cm="1">
        <f t="array" ref="BM309">IFERROR(""&amp;INDEX(regNatjecatelj_klub,DV309),"")</f>
        <v/>
      </c>
      <c r="BN309" s="88" t="str">
        <f t="shared" si="403"/>
        <v/>
      </c>
      <c r="BO309" s="66" t="str">
        <f t="shared" si="404"/>
        <v/>
      </c>
      <c r="BP309" s="47" t="s">
        <v>0</v>
      </c>
      <c r="BQ309" s="52" t="str">
        <f>IF(X309&lt;&gt;"NEMA","",IF(IFERROR(MATCH(W309,W$12:W308,0),0)&lt;&gt;0,"",W309))</f>
        <v/>
      </c>
      <c r="BR309" s="73" t="str">
        <f t="shared" si="405"/>
        <v/>
      </c>
      <c r="BS309" s="31" t="str">
        <f>IF(OR(BR309="",BR309&lt;&gt;"NEMA"),"",MAX(BS$12:BS308)+1)</f>
        <v/>
      </c>
      <c r="BT309" s="66" t="str">
        <f t="shared" si="406"/>
        <v/>
      </c>
      <c r="BU309" s="47" t="s">
        <v>0</v>
      </c>
      <c r="BV309" s="19" t="str">
        <f t="shared" si="407"/>
        <v/>
      </c>
      <c r="BW309" s="47" t="s">
        <v>0</v>
      </c>
      <c r="BX309" s="82" t="str">
        <f>IF(BK309&lt;&gt;"NEMA","",IF(IFERROR(MATCH(BJ309,BJ$12:BJ308,0),0)&lt;&gt;0,"",BJ309))</f>
        <v/>
      </c>
      <c r="BY309" s="47" t="s">
        <v>0</v>
      </c>
      <c r="BZ309" s="125"/>
      <c r="CA309" s="47" t="s">
        <v>0</v>
      </c>
      <c r="CB309" s="58" t="str">
        <f t="shared" si="408"/>
        <v/>
      </c>
      <c r="CC309" s="31" t="str">
        <f t="shared" si="409"/>
        <v/>
      </c>
      <c r="CD309" s="31" t="str">
        <f>IF(CC309="","",MAX(CD$12:CD308)+1)</f>
        <v/>
      </c>
      <c r="CE309" s="31" t="str">
        <f t="shared" si="365"/>
        <v/>
      </c>
      <c r="CF309" s="31" t="str">
        <f t="shared" si="410"/>
        <v/>
      </c>
      <c r="CG309" s="31" t="str">
        <f>IF(BZ309="","",MAX(CG$12:CG308)+1)</f>
        <v/>
      </c>
      <c r="CH309" s="31" t="str">
        <f t="shared" si="411"/>
        <v/>
      </c>
      <c r="CI309" s="66" t="str">
        <f t="shared" si="412"/>
        <v/>
      </c>
      <c r="CJ309" s="47" t="s">
        <v>0</v>
      </c>
      <c r="CK309" s="73" t="str">
        <f t="shared" si="366"/>
        <v/>
      </c>
      <c r="CL309" s="47"/>
      <c r="CM309" s="19" t="str">
        <f t="shared" si="413"/>
        <v/>
      </c>
      <c r="CN309" s="47" t="s">
        <v>0</v>
      </c>
      <c r="CO309" s="143" t="str">
        <f t="shared" si="414"/>
        <v/>
      </c>
      <c r="CP309" s="47" t="s">
        <v>0</v>
      </c>
      <c r="CQ309" s="58" t="str">
        <f t="shared" si="430"/>
        <v/>
      </c>
      <c r="CR309" s="73" t="str">
        <f t="shared" si="431"/>
        <v>0</v>
      </c>
      <c r="CS309" s="229" t="str">
        <f t="shared" si="367"/>
        <v/>
      </c>
      <c r="CT309" s="230" t="str">
        <f t="shared" si="352"/>
        <v/>
      </c>
      <c r="CU309" s="163" t="str">
        <f t="shared" si="368"/>
        <v/>
      </c>
      <c r="CV309" s="47" t="s">
        <v>0</v>
      </c>
      <c r="CW309" s="222" t="str">
        <f t="shared" si="415"/>
        <v xml:space="preserve">
</v>
      </c>
      <c r="CX309" s="223" t="str">
        <f t="shared" si="416"/>
        <v/>
      </c>
      <c r="CY309" s="47" t="s">
        <v>0</v>
      </c>
      <c r="CZ309" s="47"/>
      <c r="DA309" s="47"/>
      <c r="DB309" s="47"/>
      <c r="DC309" s="47" t="s">
        <v>0</v>
      </c>
      <c r="DD309" s="53" t="str">
        <f t="shared" si="424"/>
        <v/>
      </c>
      <c r="DE309" t="s">
        <v>0</v>
      </c>
      <c r="DF309" s="128" t="str">
        <f t="shared" si="425"/>
        <v>Ž</v>
      </c>
      <c r="DG309" t="s">
        <v>0</v>
      </c>
      <c r="DH309" s="52" t="str">
        <f t="shared" si="426"/>
        <v/>
      </c>
      <c r="DI309" s="66" t="str">
        <f t="shared" si="427"/>
        <v/>
      </c>
      <c r="DJ309" t="s">
        <v>0</v>
      </c>
      <c r="DK309" s="19" t="str">
        <f t="shared" si="428"/>
        <v/>
      </c>
      <c r="DL309" s="47" t="s">
        <v>0</v>
      </c>
      <c r="DM309" s="19" t="str">
        <f t="shared" si="429"/>
        <v/>
      </c>
      <c r="DN309" s="47" t="s">
        <v>0</v>
      </c>
      <c r="DO309" s="52" t="str">
        <f t="shared" si="369"/>
        <v/>
      </c>
      <c r="DP309" s="53" t="str">
        <f t="shared" si="370"/>
        <v/>
      </c>
      <c r="DQ309" s="47" t="s">
        <v>0</v>
      </c>
      <c r="DR309" s="52" t="str">
        <f t="shared" si="371"/>
        <v/>
      </c>
      <c r="DS309" s="53" t="str">
        <f t="shared" si="372"/>
        <v/>
      </c>
      <c r="DT309" s="47" t="s">
        <v>0</v>
      </c>
      <c r="DU309" s="52" t="str">
        <f t="shared" si="373"/>
        <v/>
      </c>
      <c r="DV309" s="53" t="str">
        <f t="shared" si="374"/>
        <v/>
      </c>
      <c r="DW309" s="47" t="s">
        <v>0</v>
      </c>
      <c r="DX309" s="58" t="str">
        <f t="shared" si="417"/>
        <v/>
      </c>
      <c r="DY309" s="53" t="str" cm="1">
        <f t="array" ref="DY309">IF(DX309&lt;&gt;"",INDEX(regNatjecatelj_id,DX309,0),IF(BD309&lt;&gt;"",BD309,""))</f>
        <v/>
      </c>
      <c r="DZ309" s="47" t="s">
        <v>0</v>
      </c>
      <c r="EA309" s="58" t="str">
        <f t="shared" si="375"/>
        <v/>
      </c>
      <c r="EB309" s="73" t="str">
        <f t="shared" si="376"/>
        <v/>
      </c>
      <c r="EC309" s="73" t="str">
        <f t="shared" si="377"/>
        <v/>
      </c>
      <c r="ED309" s="73" t="str">
        <f t="shared" si="378"/>
        <v/>
      </c>
      <c r="EE309" s="66" t="str">
        <f t="shared" si="379"/>
        <v/>
      </c>
      <c r="EF309" s="47" t="s">
        <v>0</v>
      </c>
      <c r="EG309" s="58" t="str">
        <f>IF(AL309="","",MAX(EG$12:EG308)+1)</f>
        <v/>
      </c>
      <c r="EH309" s="73" t="str">
        <f t="shared" si="380"/>
        <v/>
      </c>
      <c r="EI309" s="73" t="str">
        <f t="shared" si="418"/>
        <v/>
      </c>
      <c r="EJ309" s="73" t="str">
        <f t="shared" si="381"/>
        <v/>
      </c>
      <c r="EK309" s="73" t="str">
        <f t="shared" si="382"/>
        <v/>
      </c>
      <c r="EL309" s="73" t="str">
        <f t="shared" si="419"/>
        <v/>
      </c>
      <c r="EM309" s="73" t="str">
        <f t="shared" si="420"/>
        <v/>
      </c>
      <c r="EN309" s="73" t="str">
        <f t="shared" si="383"/>
        <v/>
      </c>
      <c r="EO309" s="73" t="str">
        <f t="shared" si="384"/>
        <v/>
      </c>
      <c r="EP309" s="73" t="str">
        <f t="shared" si="385"/>
        <v/>
      </c>
      <c r="EQ309" s="53" t="str">
        <f t="shared" si="386"/>
        <v/>
      </c>
      <c r="ER309" s="47" t="s">
        <v>0</v>
      </c>
      <c r="ES309" s="19" t="str">
        <f t="shared" si="421"/>
        <v/>
      </c>
      <c r="ET309" s="47" t="s">
        <v>0</v>
      </c>
      <c r="EU309" s="19" t="str">
        <f t="shared" si="422"/>
        <v/>
      </c>
      <c r="EV309" s="47" t="s">
        <v>0</v>
      </c>
      <c r="EW309" s="180" t="str">
        <f t="shared" si="387"/>
        <v/>
      </c>
      <c r="EX309" s="47" t="s">
        <v>0</v>
      </c>
    </row>
    <row r="310" spans="1:154" x14ac:dyDescent="0.25">
      <c r="A310" t="s">
        <v>0</v>
      </c>
      <c r="B310" s="52" t="str">
        <f>IF(csv!F300="","",csv!T300)</f>
        <v>Ž35</v>
      </c>
      <c r="C310" s="31" t="s">
        <v>0</v>
      </c>
      <c r="D310" s="31" t="str">
        <f>IF(csv!F300="","",csv!F300)</f>
        <v>Violeta</v>
      </c>
      <c r="E310" s="31" t="str">
        <f>IF(csv!E300="","",csv!E300)</f>
        <v>Čalić</v>
      </c>
      <c r="F310" s="31" t="s">
        <v>0</v>
      </c>
      <c r="G310" s="73" t="str">
        <f>IF(csv!M300="","",csv!M300)</f>
        <v/>
      </c>
      <c r="H310" s="73" t="str">
        <f>IF(csv!N300="","",csv!N300)</f>
        <v>1</v>
      </c>
      <c r="I310" s="31" t="s">
        <v>0</v>
      </c>
      <c r="J310" s="31" t="str">
        <f>IF(csv!P300="","",csv!P300)</f>
        <v>Vihor</v>
      </c>
      <c r="K310" s="31" t="str">
        <f>IF(csv!Q300="","",csv!Q300)</f>
        <v>OK Vihor</v>
      </c>
      <c r="L310" s="31" t="s">
        <v>0</v>
      </c>
      <c r="M310" s="66" t="str">
        <f>IF(csv!R300="","",csv!R300)</f>
        <v>CRO</v>
      </c>
      <c r="N310" s="47" t="s">
        <v>0</v>
      </c>
      <c r="O310" s="246" t="str">
        <f t="shared" si="388"/>
        <v>ok</v>
      </c>
      <c r="P310" s="47"/>
      <c r="Q310" s="52" t="str">
        <f t="shared" si="389"/>
        <v>Ž35</v>
      </c>
      <c r="R310" s="73">
        <f>IF(Q310="","",IF(COUNTIF(Q$12:Q309,Q310)=0,R309+1,R309))</f>
        <v>19</v>
      </c>
      <c r="S310" s="73">
        <f t="shared" si="390"/>
        <v>117</v>
      </c>
      <c r="T310" s="73">
        <f t="shared" si="353"/>
        <v>26</v>
      </c>
      <c r="U310" s="66" t="str">
        <f t="shared" si="354"/>
        <v>Ž35</v>
      </c>
      <c r="V310" s="47" t="s">
        <v>0</v>
      </c>
      <c r="W310" s="222" t="str">
        <f t="shared" si="355"/>
        <v>Ž35</v>
      </c>
      <c r="X310" s="223">
        <f t="shared" si="356"/>
        <v>41</v>
      </c>
      <c r="Y310" s="47" t="s">
        <v>0</v>
      </c>
      <c r="Z310" s="52" t="str">
        <f t="shared" si="391"/>
        <v>CRO</v>
      </c>
      <c r="AA310" s="73">
        <f t="shared" si="357"/>
        <v>1</v>
      </c>
      <c r="AB310" s="31" t="str">
        <f t="shared" si="392"/>
        <v/>
      </c>
      <c r="AC310" s="66" t="str">
        <f>IF(AB310="","",MAX(AC$12:AC309)+1)</f>
        <v/>
      </c>
      <c r="AD310" s="47" t="s">
        <v>0</v>
      </c>
      <c r="AE310" s="125"/>
      <c r="AF310" s="47" t="s">
        <v>0</v>
      </c>
      <c r="AG310" s="19" t="str">
        <f t="shared" si="393"/>
        <v/>
      </c>
      <c r="AH310" s="47" t="s">
        <v>0</v>
      </c>
      <c r="AI310" s="143" t="str">
        <f t="shared" si="394"/>
        <v>CRO</v>
      </c>
      <c r="AJ310" s="47"/>
      <c r="AK310" s="52" t="str">
        <f t="shared" si="395"/>
        <v>Violeta</v>
      </c>
      <c r="AL310" s="31" t="str">
        <f t="shared" si="396"/>
        <v>Čalić</v>
      </c>
      <c r="AM310" s="73">
        <f t="shared" si="397"/>
        <v>1330</v>
      </c>
      <c r="AN310" s="73" t="str">
        <f t="shared" si="398"/>
        <v/>
      </c>
      <c r="AO310" s="31" t="str">
        <f t="shared" si="358"/>
        <v>Violeta</v>
      </c>
      <c r="AP310" s="66" t="str">
        <f t="shared" si="359"/>
        <v>Čalić</v>
      </c>
      <c r="AQ310" s="47" t="s">
        <v>0</v>
      </c>
      <c r="AR310" s="82" t="str">
        <f t="shared" si="399"/>
        <v/>
      </c>
      <c r="AS310" s="47" t="s">
        <v>0</v>
      </c>
      <c r="AT310" s="19" t="str">
        <f t="shared" si="400"/>
        <v/>
      </c>
      <c r="AU310" s="47" t="s">
        <v>0</v>
      </c>
      <c r="AV310" s="103"/>
      <c r="AW310" s="105"/>
      <c r="AX310" s="47" t="s">
        <v>0</v>
      </c>
      <c r="AY310" s="259" t="str">
        <f t="shared" si="423"/>
        <v/>
      </c>
      <c r="AZ310" s="47" t="s">
        <v>0</v>
      </c>
      <c r="BA310" s="52" t="str">
        <f t="shared" si="360"/>
        <v/>
      </c>
      <c r="BB310" s="73" t="str">
        <f>IF(AV310&amp;AW310="","",MAX(BB$12:BB309)+1)</f>
        <v/>
      </c>
      <c r="BC310" s="272" t="str">
        <f t="shared" si="361"/>
        <v/>
      </c>
      <c r="BD310" s="53" t="str">
        <f>IF(AND(AM310="NEMA",AN310="NEMA",OR(AV310&amp;AW310="",BC310="NEMA")),MAX(BD$12:BD309)+1,"")</f>
        <v/>
      </c>
      <c r="BE310" s="47" t="s">
        <v>0</v>
      </c>
      <c r="BF310" s="52" t="str">
        <f t="shared" si="401"/>
        <v>Violeta</v>
      </c>
      <c r="BG310" s="66" t="str">
        <f t="shared" si="402"/>
        <v>Čalić</v>
      </c>
      <c r="BH310" s="47" t="s">
        <v>0</v>
      </c>
      <c r="BI310" s="52" t="str">
        <f t="shared" si="362"/>
        <v>Vihor</v>
      </c>
      <c r="BJ310" s="31" t="str">
        <f t="shared" si="363"/>
        <v>OK Vihor</v>
      </c>
      <c r="BK310" s="73" t="str">
        <f t="shared" si="364"/>
        <v/>
      </c>
      <c r="BL310" s="31" t="str" cm="1">
        <f t="array" ref="BL310">IF(BK310="",""&amp;BJ310,IF(BK310="NEMA",BJ310,INDEX(regKlub_naziv,MATCH(INDEX(regKlub_alias_klubId,BK310),regKlub_id,0))))</f>
        <v>OK Vihor</v>
      </c>
      <c r="BM310" s="31" t="str" cm="1">
        <f t="array" ref="BM310">IFERROR(""&amp;INDEX(regNatjecatelj_klub,DV310),"")</f>
        <v>OK Vihor</v>
      </c>
      <c r="BN310" s="88" t="str">
        <f t="shared" si="403"/>
        <v/>
      </c>
      <c r="BO310" s="66" t="str">
        <f t="shared" si="404"/>
        <v>OK Vihor</v>
      </c>
      <c r="BP310" s="47" t="s">
        <v>0</v>
      </c>
      <c r="BQ310" s="52" t="str">
        <f>IF(X310&lt;&gt;"NEMA","",IF(IFERROR(MATCH(W310,W$12:W309,0),0)&lt;&gt;0,"",W310))</f>
        <v/>
      </c>
      <c r="BR310" s="73" t="str">
        <f t="shared" si="405"/>
        <v/>
      </c>
      <c r="BS310" s="31" t="str">
        <f>IF(OR(BR310="",BR310&lt;&gt;"NEMA"),"",MAX(BS$12:BS309)+1)</f>
        <v/>
      </c>
      <c r="BT310" s="66" t="str">
        <f t="shared" si="406"/>
        <v/>
      </c>
      <c r="BU310" s="47" t="s">
        <v>0</v>
      </c>
      <c r="BV310" s="19" t="str">
        <f t="shared" si="407"/>
        <v/>
      </c>
      <c r="BW310" s="47" t="s">
        <v>0</v>
      </c>
      <c r="BX310" s="82" t="str">
        <f>IF(BK310&lt;&gt;"NEMA","",IF(IFERROR(MATCH(BJ310,BJ$12:BJ309,0),0)&lt;&gt;0,"",BJ310))</f>
        <v/>
      </c>
      <c r="BY310" s="47" t="s">
        <v>0</v>
      </c>
      <c r="BZ310" s="125"/>
      <c r="CA310" s="47" t="s">
        <v>0</v>
      </c>
      <c r="CB310" s="58" t="str">
        <f t="shared" si="408"/>
        <v/>
      </c>
      <c r="CC310" s="31" t="str">
        <f t="shared" si="409"/>
        <v/>
      </c>
      <c r="CD310" s="31" t="str">
        <f>IF(CC310="","",MAX(CD$12:CD309)+1)</f>
        <v/>
      </c>
      <c r="CE310" s="31" t="str">
        <f t="shared" si="365"/>
        <v/>
      </c>
      <c r="CF310" s="31" t="str">
        <f t="shared" si="410"/>
        <v/>
      </c>
      <c r="CG310" s="31" t="str">
        <f>IF(BZ310="","",MAX(CG$12:CG309)+1)</f>
        <v/>
      </c>
      <c r="CH310" s="31" t="str">
        <f t="shared" si="411"/>
        <v/>
      </c>
      <c r="CI310" s="66" t="str">
        <f t="shared" si="412"/>
        <v/>
      </c>
      <c r="CJ310" s="47" t="s">
        <v>0</v>
      </c>
      <c r="CK310" s="73" t="str">
        <f t="shared" si="366"/>
        <v/>
      </c>
      <c r="CL310" s="47"/>
      <c r="CM310" s="19" t="str">
        <f t="shared" si="413"/>
        <v/>
      </c>
      <c r="CN310" s="47" t="s">
        <v>0</v>
      </c>
      <c r="CO310" s="143" t="str">
        <f t="shared" si="414"/>
        <v>OK Vihor</v>
      </c>
      <c r="CP310" s="47" t="s">
        <v>0</v>
      </c>
      <c r="CQ310" s="58" t="str">
        <f t="shared" si="430"/>
        <v/>
      </c>
      <c r="CR310" s="73" t="str">
        <f t="shared" si="431"/>
        <v>1</v>
      </c>
      <c r="CS310" s="229" t="str">
        <f t="shared" si="367"/>
        <v/>
      </c>
      <c r="CT310" s="230" t="str">
        <f t="shared" si="352"/>
        <v/>
      </c>
      <c r="CU310" s="163">
        <f t="shared" si="368"/>
        <v>6</v>
      </c>
      <c r="CV310" s="47" t="s">
        <v>0</v>
      </c>
      <c r="CW310" s="222" t="str">
        <f t="shared" si="415"/>
        <v xml:space="preserve">
</v>
      </c>
      <c r="CX310" s="223" t="e">
        <f t="shared" si="416"/>
        <v>#N/A</v>
      </c>
      <c r="CY310" s="47" t="s">
        <v>0</v>
      </c>
      <c r="CZ310" s="47"/>
      <c r="DA310" s="47"/>
      <c r="DB310" s="47"/>
      <c r="DC310" s="47" t="s">
        <v>0</v>
      </c>
      <c r="DD310" s="53" t="str">
        <f t="shared" si="424"/>
        <v/>
      </c>
      <c r="DE310" t="s">
        <v>0</v>
      </c>
      <c r="DF310" s="128" t="str">
        <f t="shared" si="425"/>
        <v>Ž</v>
      </c>
      <c r="DG310" t="s">
        <v>0</v>
      </c>
      <c r="DH310" s="52" t="str">
        <f t="shared" si="426"/>
        <v/>
      </c>
      <c r="DI310" s="66" t="str">
        <f t="shared" si="427"/>
        <v/>
      </c>
      <c r="DJ310" t="s">
        <v>0</v>
      </c>
      <c r="DK310" s="19" t="str">
        <f t="shared" si="428"/>
        <v/>
      </c>
      <c r="DL310" s="47" t="s">
        <v>0</v>
      </c>
      <c r="DM310" s="19" t="str">
        <f t="shared" si="429"/>
        <v/>
      </c>
      <c r="DN310" s="47" t="s">
        <v>0</v>
      </c>
      <c r="DO310" s="52" t="str">
        <f t="shared" si="369"/>
        <v>Violeta – Čalić – OK Vihor – Ž35</v>
      </c>
      <c r="DP310" s="53">
        <f t="shared" si="370"/>
        <v>640</v>
      </c>
      <c r="DQ310" s="47" t="s">
        <v>0</v>
      </c>
      <c r="DR310" s="52" t="str">
        <f t="shared" si="371"/>
        <v>Violeta – Čalić – OK Vihor</v>
      </c>
      <c r="DS310" s="53">
        <f t="shared" si="372"/>
        <v>640</v>
      </c>
      <c r="DT310" s="47" t="s">
        <v>0</v>
      </c>
      <c r="DU310" s="52" t="str">
        <f t="shared" si="373"/>
        <v>Violeta – Čalić</v>
      </c>
      <c r="DV310" s="53">
        <f t="shared" si="374"/>
        <v>640</v>
      </c>
      <c r="DW310" s="47" t="s">
        <v>0</v>
      </c>
      <c r="DX310" s="58">
        <f t="shared" si="417"/>
        <v>640</v>
      </c>
      <c r="DY310" s="53" cm="1">
        <f t="array" ref="DY310">IF(DX310&lt;&gt;"",INDEX(regNatjecatelj_id,DX310,0),IF(BD310&lt;&gt;"",BD310,""))</f>
        <v>1330</v>
      </c>
      <c r="DZ310" s="47" t="s">
        <v>0</v>
      </c>
      <c r="EA310" s="58" t="str">
        <f t="shared" si="375"/>
        <v>imepre</v>
      </c>
      <c r="EB310" s="73" t="str">
        <f t="shared" si="376"/>
        <v>klu</v>
      </c>
      <c r="EC310" s="73" t="str">
        <f t="shared" si="377"/>
        <v>kat</v>
      </c>
      <c r="ED310" s="73" t="str">
        <f t="shared" si="378"/>
        <v/>
      </c>
      <c r="EE310" s="66" t="str">
        <f t="shared" si="379"/>
        <v>imepre-klu-kat</v>
      </c>
      <c r="EF310" s="47" t="s">
        <v>0</v>
      </c>
      <c r="EG310" s="58">
        <f>IF(AL310="","",MAX(EG$12:EG309)+1)</f>
        <v>458</v>
      </c>
      <c r="EH310" s="73">
        <f t="shared" si="380"/>
        <v>41</v>
      </c>
      <c r="EI310" s="73">
        <f t="shared" si="418"/>
        <v>1330</v>
      </c>
      <c r="EJ310" s="73" t="str">
        <f t="shared" si="381"/>
        <v/>
      </c>
      <c r="EK310" s="73">
        <f t="shared" si="382"/>
        <v>6</v>
      </c>
      <c r="EL310" s="73">
        <f t="shared" si="419"/>
        <v>1</v>
      </c>
      <c r="EM310" s="73">
        <f t="shared" si="420"/>
        <v>1</v>
      </c>
      <c r="EN310" s="73" t="str">
        <f t="shared" si="383"/>
        <v>1</v>
      </c>
      <c r="EO310" s="73" t="str">
        <f t="shared" si="384"/>
        <v/>
      </c>
      <c r="EP310" s="73" t="str">
        <f t="shared" si="385"/>
        <v/>
      </c>
      <c r="EQ310" s="53" t="str">
        <f t="shared" si="386"/>
        <v/>
      </c>
      <c r="ER310" s="47" t="s">
        <v>0</v>
      </c>
      <c r="ES310" s="19" t="str">
        <f t="shared" si="421"/>
        <v>INSERT INTO rezultat(id,stazakategorija_id,imeprezime_id,vrijeme_sec,status_id,registracija,uparivanje_id,originalstatus_id,imeprezimealias_id,klubalias_id,kategorijaalias_id) VALUES (458,41,1330,Null,6,1,1,1,Null,Null,Null);</v>
      </c>
      <c r="ET310" s="47" t="s">
        <v>0</v>
      </c>
      <c r="EU310" s="19" t="str">
        <f t="shared" si="422"/>
        <v>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0" s="47" t="s">
        <v>0</v>
      </c>
      <c r="EW310" s="180" t="str">
        <f t="shared" si="387"/>
        <v xml:space="preserve">
INSERT INTO rezultat(id,stazakategorija_id,imeprezime_id,vrijeme_sec,status_id,registracija,uparivanje_id,originalstatus_id,imeprezimealias_id,klubalias_id,kategorijaalias_id) VALUES (458,41,1330,Null,6,1,1,1,Null,Null,Null);
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0" s="47" t="s">
        <v>0</v>
      </c>
    </row>
    <row r="311" spans="1:154" x14ac:dyDescent="0.25">
      <c r="A311" t="s">
        <v>0</v>
      </c>
      <c r="B311" s="52" t="str">
        <f>IF(csv!F301="","",csv!T301)</f>
        <v>Ž35</v>
      </c>
      <c r="C311" s="31" t="s">
        <v>0</v>
      </c>
      <c r="D311" s="31" t="str">
        <f>IF(csv!F301="","",csv!F301)</f>
        <v>Sabina</v>
      </c>
      <c r="E311" s="31" t="str">
        <f>IF(csv!E301="","",csv!E301)</f>
        <v>Rako</v>
      </c>
      <c r="F311" s="31" t="s">
        <v>0</v>
      </c>
      <c r="G311" s="73" t="str">
        <f>IF(csv!M301="","",csv!M301)</f>
        <v/>
      </c>
      <c r="H311" s="73" t="str">
        <f>IF(csv!N301="","",csv!N301)</f>
        <v>1</v>
      </c>
      <c r="I311" s="31" t="s">
        <v>0</v>
      </c>
      <c r="J311" s="31" t="str">
        <f>IF(csv!P301="","",csv!P301)</f>
        <v>Vihor</v>
      </c>
      <c r="K311" s="31" t="str">
        <f>IF(csv!Q301="","",csv!Q301)</f>
        <v>OK Vihor</v>
      </c>
      <c r="L311" s="31" t="s">
        <v>0</v>
      </c>
      <c r="M311" s="66" t="str">
        <f>IF(csv!R301="","",csv!R301)</f>
        <v>CRO</v>
      </c>
      <c r="N311" s="47" t="s">
        <v>0</v>
      </c>
      <c r="O311" s="246" t="str">
        <f t="shared" si="388"/>
        <v>ok</v>
      </c>
      <c r="P311" s="47"/>
      <c r="Q311" s="52" t="str">
        <f t="shared" si="389"/>
        <v>Ž35</v>
      </c>
      <c r="R311" s="73">
        <f>IF(Q311="","",IF(COUNTIF(Q$12:Q310,Q311)=0,R310+1,R310))</f>
        <v>19</v>
      </c>
      <c r="S311" s="73">
        <f t="shared" si="390"/>
        <v>117</v>
      </c>
      <c r="T311" s="73">
        <f t="shared" si="353"/>
        <v>26</v>
      </c>
      <c r="U311" s="66" t="str">
        <f t="shared" si="354"/>
        <v>Ž35</v>
      </c>
      <c r="V311" s="47" t="s">
        <v>0</v>
      </c>
      <c r="W311" s="222" t="str">
        <f t="shared" si="355"/>
        <v>Ž35</v>
      </c>
      <c r="X311" s="223">
        <f t="shared" si="356"/>
        <v>41</v>
      </c>
      <c r="Y311" s="47" t="s">
        <v>0</v>
      </c>
      <c r="Z311" s="52" t="str">
        <f t="shared" si="391"/>
        <v>CRO</v>
      </c>
      <c r="AA311" s="73">
        <f t="shared" si="357"/>
        <v>1</v>
      </c>
      <c r="AB311" s="31" t="str">
        <f t="shared" si="392"/>
        <v/>
      </c>
      <c r="AC311" s="66" t="str">
        <f>IF(AB311="","",MAX(AC$12:AC310)+1)</f>
        <v/>
      </c>
      <c r="AD311" s="47" t="s">
        <v>0</v>
      </c>
      <c r="AE311" s="125"/>
      <c r="AF311" s="47" t="s">
        <v>0</v>
      </c>
      <c r="AG311" s="19" t="str">
        <f t="shared" si="393"/>
        <v/>
      </c>
      <c r="AH311" s="47" t="s">
        <v>0</v>
      </c>
      <c r="AI311" s="143" t="str">
        <f t="shared" si="394"/>
        <v>CRO</v>
      </c>
      <c r="AJ311" s="47"/>
      <c r="AK311" s="52" t="str">
        <f t="shared" si="395"/>
        <v>Sabina</v>
      </c>
      <c r="AL311" s="31" t="str">
        <f t="shared" si="396"/>
        <v>Rako</v>
      </c>
      <c r="AM311" s="73">
        <f t="shared" si="397"/>
        <v>1322</v>
      </c>
      <c r="AN311" s="73" t="str">
        <f t="shared" si="398"/>
        <v/>
      </c>
      <c r="AO311" s="31" t="str">
        <f t="shared" si="358"/>
        <v>Sabina</v>
      </c>
      <c r="AP311" s="66" t="str">
        <f t="shared" si="359"/>
        <v>Rako</v>
      </c>
      <c r="AQ311" s="47" t="s">
        <v>0</v>
      </c>
      <c r="AR311" s="82" t="str">
        <f t="shared" si="399"/>
        <v/>
      </c>
      <c r="AS311" s="47" t="s">
        <v>0</v>
      </c>
      <c r="AT311" s="19" t="str">
        <f t="shared" si="400"/>
        <v/>
      </c>
      <c r="AU311" s="47" t="s">
        <v>0</v>
      </c>
      <c r="AV311" s="103"/>
      <c r="AW311" s="105"/>
      <c r="AX311" s="47" t="s">
        <v>0</v>
      </c>
      <c r="AY311" s="259" t="str">
        <f t="shared" si="423"/>
        <v/>
      </c>
      <c r="AZ311" s="47" t="s">
        <v>0</v>
      </c>
      <c r="BA311" s="52" t="str">
        <f t="shared" si="360"/>
        <v/>
      </c>
      <c r="BB311" s="73" t="str">
        <f>IF(AV311&amp;AW311="","",MAX(BB$12:BB310)+1)</f>
        <v/>
      </c>
      <c r="BC311" s="272" t="str">
        <f t="shared" si="361"/>
        <v/>
      </c>
      <c r="BD311" s="53" t="str">
        <f>IF(AND(AM311="NEMA",AN311="NEMA",OR(AV311&amp;AW311="",BC311="NEMA")),MAX(BD$12:BD310)+1,"")</f>
        <v/>
      </c>
      <c r="BE311" s="47" t="s">
        <v>0</v>
      </c>
      <c r="BF311" s="52" t="str">
        <f t="shared" si="401"/>
        <v>Sabina</v>
      </c>
      <c r="BG311" s="66" t="str">
        <f t="shared" si="402"/>
        <v>Rako</v>
      </c>
      <c r="BH311" s="47" t="s">
        <v>0</v>
      </c>
      <c r="BI311" s="52" t="str">
        <f t="shared" si="362"/>
        <v>Vihor</v>
      </c>
      <c r="BJ311" s="31" t="str">
        <f t="shared" si="363"/>
        <v>OK Vihor</v>
      </c>
      <c r="BK311" s="73" t="str">
        <f t="shared" si="364"/>
        <v/>
      </c>
      <c r="BL311" s="31" t="str" cm="1">
        <f t="array" ref="BL311">IF(BK311="",""&amp;BJ311,IF(BK311="NEMA",BJ311,INDEX(regKlub_naziv,MATCH(INDEX(regKlub_alias_klubId,BK311),regKlub_id,0))))</f>
        <v>OK Vihor</v>
      </c>
      <c r="BM311" s="31" t="str" cm="1">
        <f t="array" ref="BM311">IFERROR(""&amp;INDEX(regNatjecatelj_klub,DV311),"")</f>
        <v>OK Vihor</v>
      </c>
      <c r="BN311" s="88" t="str">
        <f t="shared" si="403"/>
        <v/>
      </c>
      <c r="BO311" s="66" t="str">
        <f t="shared" si="404"/>
        <v>OK Vihor</v>
      </c>
      <c r="BP311" s="47" t="s">
        <v>0</v>
      </c>
      <c r="BQ311" s="52" t="str">
        <f>IF(X311&lt;&gt;"NEMA","",IF(IFERROR(MATCH(W311,W$12:W310,0),0)&lt;&gt;0,"",W311))</f>
        <v/>
      </c>
      <c r="BR311" s="73" t="str">
        <f t="shared" si="405"/>
        <v/>
      </c>
      <c r="BS311" s="31" t="str">
        <f>IF(OR(BR311="",BR311&lt;&gt;"NEMA"),"",MAX(BS$12:BS310)+1)</f>
        <v/>
      </c>
      <c r="BT311" s="66" t="str">
        <f t="shared" si="406"/>
        <v/>
      </c>
      <c r="BU311" s="47" t="s">
        <v>0</v>
      </c>
      <c r="BV311" s="19" t="str">
        <f t="shared" si="407"/>
        <v/>
      </c>
      <c r="BW311" s="47" t="s">
        <v>0</v>
      </c>
      <c r="BX311" s="82" t="str">
        <f>IF(BK311&lt;&gt;"NEMA","",IF(IFERROR(MATCH(BJ311,BJ$12:BJ310,0),0)&lt;&gt;0,"",BJ311))</f>
        <v/>
      </c>
      <c r="BY311" s="47" t="s">
        <v>0</v>
      </c>
      <c r="BZ311" s="125"/>
      <c r="CA311" s="47" t="s">
        <v>0</v>
      </c>
      <c r="CB311" s="58" t="str">
        <f t="shared" si="408"/>
        <v/>
      </c>
      <c r="CC311" s="31" t="str">
        <f t="shared" si="409"/>
        <v/>
      </c>
      <c r="CD311" s="31" t="str">
        <f>IF(CC311="","",MAX(CD$12:CD310)+1)</f>
        <v/>
      </c>
      <c r="CE311" s="31" t="str">
        <f t="shared" si="365"/>
        <v/>
      </c>
      <c r="CF311" s="31" t="str">
        <f t="shared" si="410"/>
        <v/>
      </c>
      <c r="CG311" s="31" t="str">
        <f>IF(BZ311="","",MAX(CG$12:CG310)+1)</f>
        <v/>
      </c>
      <c r="CH311" s="31" t="str">
        <f t="shared" si="411"/>
        <v/>
      </c>
      <c r="CI311" s="66" t="str">
        <f t="shared" si="412"/>
        <v/>
      </c>
      <c r="CJ311" s="47" t="s">
        <v>0</v>
      </c>
      <c r="CK311" s="73" t="str">
        <f t="shared" si="366"/>
        <v/>
      </c>
      <c r="CL311" s="47"/>
      <c r="CM311" s="19" t="str">
        <f t="shared" si="413"/>
        <v/>
      </c>
      <c r="CN311" s="47" t="s">
        <v>0</v>
      </c>
      <c r="CO311" s="143" t="str">
        <f t="shared" si="414"/>
        <v>OK Vihor</v>
      </c>
      <c r="CP311" s="47" t="s">
        <v>0</v>
      </c>
      <c r="CQ311" s="58" t="str">
        <f t="shared" si="430"/>
        <v/>
      </c>
      <c r="CR311" s="73" t="str">
        <f t="shared" si="431"/>
        <v>1</v>
      </c>
      <c r="CS311" s="229" t="str">
        <f t="shared" si="367"/>
        <v/>
      </c>
      <c r="CT311" s="230" t="str">
        <f t="shared" si="352"/>
        <v/>
      </c>
      <c r="CU311" s="163">
        <f t="shared" si="368"/>
        <v>6</v>
      </c>
      <c r="CV311" s="47" t="s">
        <v>0</v>
      </c>
      <c r="CW311" s="222" t="str">
        <f t="shared" si="415"/>
        <v xml:space="preserve">
</v>
      </c>
      <c r="CX311" s="223" t="e">
        <f t="shared" si="416"/>
        <v>#N/A</v>
      </c>
      <c r="CY311" s="47" t="s">
        <v>0</v>
      </c>
      <c r="CZ311" s="47"/>
      <c r="DA311" s="47"/>
      <c r="DB311" s="47"/>
      <c r="DC311" s="47" t="s">
        <v>0</v>
      </c>
      <c r="DD311" s="53" t="str">
        <f t="shared" si="424"/>
        <v/>
      </c>
      <c r="DE311" t="s">
        <v>0</v>
      </c>
      <c r="DF311" s="128" t="str">
        <f t="shared" si="425"/>
        <v>Ž</v>
      </c>
      <c r="DG311" t="s">
        <v>0</v>
      </c>
      <c r="DH311" s="52" t="str">
        <f t="shared" si="426"/>
        <v/>
      </c>
      <c r="DI311" s="66" t="str">
        <f t="shared" si="427"/>
        <v/>
      </c>
      <c r="DJ311" t="s">
        <v>0</v>
      </c>
      <c r="DK311" s="19" t="str">
        <f t="shared" si="428"/>
        <v/>
      </c>
      <c r="DL311" s="47" t="s">
        <v>0</v>
      </c>
      <c r="DM311" s="19" t="str">
        <f t="shared" si="429"/>
        <v/>
      </c>
      <c r="DN311" s="47" t="s">
        <v>0</v>
      </c>
      <c r="DO311" s="52" t="str">
        <f t="shared" si="369"/>
        <v>Sabina – Rako – OK Vihor – Ž35</v>
      </c>
      <c r="DP311" s="53">
        <f t="shared" si="370"/>
        <v>871</v>
      </c>
      <c r="DQ311" s="47" t="s">
        <v>0</v>
      </c>
      <c r="DR311" s="52" t="str">
        <f t="shared" si="371"/>
        <v>Sabina – Rako – OK Vihor</v>
      </c>
      <c r="DS311" s="53">
        <f t="shared" si="372"/>
        <v>871</v>
      </c>
      <c r="DT311" s="47" t="s">
        <v>0</v>
      </c>
      <c r="DU311" s="52" t="str">
        <f t="shared" si="373"/>
        <v>Sabina – Rako</v>
      </c>
      <c r="DV311" s="53">
        <f t="shared" si="374"/>
        <v>871</v>
      </c>
      <c r="DW311" s="47" t="s">
        <v>0</v>
      </c>
      <c r="DX311" s="58">
        <f t="shared" si="417"/>
        <v>871</v>
      </c>
      <c r="DY311" s="53" cm="1">
        <f t="array" ref="DY311">IF(DX311&lt;&gt;"",INDEX(regNatjecatelj_id,DX311,0),IF(BD311&lt;&gt;"",BD311,""))</f>
        <v>1322</v>
      </c>
      <c r="DZ311" s="47" t="s">
        <v>0</v>
      </c>
      <c r="EA311" s="58" t="str">
        <f t="shared" si="375"/>
        <v>imepre</v>
      </c>
      <c r="EB311" s="73" t="str">
        <f t="shared" si="376"/>
        <v>klu</v>
      </c>
      <c r="EC311" s="73" t="str">
        <f t="shared" si="377"/>
        <v>kat</v>
      </c>
      <c r="ED311" s="73" t="str">
        <f t="shared" si="378"/>
        <v/>
      </c>
      <c r="EE311" s="66" t="str">
        <f t="shared" si="379"/>
        <v>imepre-klu-kat</v>
      </c>
      <c r="EF311" s="47" t="s">
        <v>0</v>
      </c>
      <c r="EG311" s="58">
        <f>IF(AL311="","",MAX(EG$12:EG310)+1)</f>
        <v>459</v>
      </c>
      <c r="EH311" s="73">
        <f t="shared" si="380"/>
        <v>41</v>
      </c>
      <c r="EI311" s="73">
        <f t="shared" si="418"/>
        <v>1322</v>
      </c>
      <c r="EJ311" s="73" t="str">
        <f t="shared" si="381"/>
        <v/>
      </c>
      <c r="EK311" s="73">
        <f t="shared" si="382"/>
        <v>6</v>
      </c>
      <c r="EL311" s="73">
        <f t="shared" si="419"/>
        <v>1</v>
      </c>
      <c r="EM311" s="73">
        <f t="shared" si="420"/>
        <v>1</v>
      </c>
      <c r="EN311" s="73" t="str">
        <f t="shared" si="383"/>
        <v>1</v>
      </c>
      <c r="EO311" s="73" t="str">
        <f t="shared" si="384"/>
        <v/>
      </c>
      <c r="EP311" s="73" t="str">
        <f t="shared" si="385"/>
        <v/>
      </c>
      <c r="EQ311" s="53" t="str">
        <f t="shared" si="386"/>
        <v/>
      </c>
      <c r="ER311" s="47" t="s">
        <v>0</v>
      </c>
      <c r="ES311" s="19" t="str">
        <f t="shared" si="421"/>
        <v>INSERT INTO rezultat(id,stazakategorija_id,imeprezime_id,vrijeme_sec,status_id,registracija,uparivanje_id,originalstatus_id,imeprezimealias_id,klubalias_id,kategorijaalias_id) VALUES (459,41,1322,Null,6,1,1,1,Null,Null,Null);</v>
      </c>
      <c r="ET311" s="47" t="s">
        <v>0</v>
      </c>
      <c r="EU311" s="19" t="str">
        <f t="shared" si="422"/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1" s="47" t="s">
        <v>0</v>
      </c>
      <c r="EW311" s="180" t="str">
        <f t="shared" si="387"/>
        <v xml:space="preserve">
INSERT INTO rezultat(id,stazakategorija_id,imeprezime_id,vrijeme_sec,status_id,registracija,uparivanje_id,originalstatus_id,imeprezimealias_id,klubalias_id,kategorijaalias_id) VALUES (459,41,1322,Null,6,1,1,1,Null,Null,Null);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1" s="47" t="s">
        <v>0</v>
      </c>
    </row>
    <row r="312" spans="1:154" x14ac:dyDescent="0.25">
      <c r="A312" t="s">
        <v>0</v>
      </c>
      <c r="B312" s="52" t="str">
        <f>IF(csv!F302="","",csv!T302)</f>
        <v>Ž45</v>
      </c>
      <c r="C312" s="31" t="s">
        <v>0</v>
      </c>
      <c r="D312" s="31" t="str">
        <f>IF(csv!F302="","",csv!F302)</f>
        <v>Ivana</v>
      </c>
      <c r="E312" s="31" t="str">
        <f>IF(csv!E302="","",csv!E302)</f>
        <v>Gobec</v>
      </c>
      <c r="F312" s="31" t="s">
        <v>0</v>
      </c>
      <c r="G312" s="73" t="str">
        <f>IF(csv!M302="","",csv!M302)</f>
        <v>35:48</v>
      </c>
      <c r="H312" s="73" t="str">
        <f>IF(csv!N302="","",csv!N302)</f>
        <v>0</v>
      </c>
      <c r="I312" s="31" t="s">
        <v>0</v>
      </c>
      <c r="J312" s="31" t="str">
        <f>IF(csv!P302="","",csv!P302)</f>
        <v>Vihor</v>
      </c>
      <c r="K312" s="31" t="str">
        <f>IF(csv!Q302="","",csv!Q302)</f>
        <v>OK Vihor</v>
      </c>
      <c r="L312" s="31" t="s">
        <v>0</v>
      </c>
      <c r="M312" s="66" t="str">
        <f>IF(csv!R302="","",csv!R302)</f>
        <v>CRO</v>
      </c>
      <c r="N312" s="47" t="s">
        <v>0</v>
      </c>
      <c r="O312" s="246" t="str">
        <f t="shared" si="388"/>
        <v>ok</v>
      </c>
      <c r="P312" s="47"/>
      <c r="Q312" s="52" t="str">
        <f t="shared" si="389"/>
        <v>Ž45</v>
      </c>
      <c r="R312" s="73">
        <f>IF(Q312="","",IF(COUNTIF(Q$12:Q311,Q312)=0,R311+1,R311))</f>
        <v>20</v>
      </c>
      <c r="S312" s="73">
        <f t="shared" si="390"/>
        <v>116</v>
      </c>
      <c r="T312" s="73">
        <f t="shared" si="353"/>
        <v>25</v>
      </c>
      <c r="U312" s="66" t="str">
        <f t="shared" si="354"/>
        <v>Ž45</v>
      </c>
      <c r="V312" s="47" t="s">
        <v>0</v>
      </c>
      <c r="W312" s="222" t="str">
        <f t="shared" si="355"/>
        <v>Ž45</v>
      </c>
      <c r="X312" s="223">
        <f t="shared" si="356"/>
        <v>42</v>
      </c>
      <c r="Y312" s="47" t="s">
        <v>0</v>
      </c>
      <c r="Z312" s="52" t="str">
        <f t="shared" si="391"/>
        <v>CRO</v>
      </c>
      <c r="AA312" s="73">
        <f t="shared" si="357"/>
        <v>1</v>
      </c>
      <c r="AB312" s="31" t="str">
        <f t="shared" si="392"/>
        <v/>
      </c>
      <c r="AC312" s="66" t="str">
        <f>IF(AB312="","",MAX(AC$12:AC311)+1)</f>
        <v/>
      </c>
      <c r="AD312" s="47" t="s">
        <v>0</v>
      </c>
      <c r="AE312" s="125"/>
      <c r="AF312" s="47" t="s">
        <v>0</v>
      </c>
      <c r="AG312" s="19" t="str">
        <f t="shared" si="393"/>
        <v/>
      </c>
      <c r="AH312" s="47" t="s">
        <v>0</v>
      </c>
      <c r="AI312" s="143" t="str">
        <f t="shared" si="394"/>
        <v>CRO</v>
      </c>
      <c r="AJ312" s="47"/>
      <c r="AK312" s="52" t="str">
        <f t="shared" si="395"/>
        <v>Ivana</v>
      </c>
      <c r="AL312" s="31" t="str">
        <f t="shared" si="396"/>
        <v>Gobec</v>
      </c>
      <c r="AM312" s="73">
        <f t="shared" si="397"/>
        <v>1309</v>
      </c>
      <c r="AN312" s="73" t="str">
        <f t="shared" si="398"/>
        <v/>
      </c>
      <c r="AO312" s="31" t="str">
        <f t="shared" si="358"/>
        <v>Ivana</v>
      </c>
      <c r="AP312" s="66" t="str">
        <f t="shared" si="359"/>
        <v>Gobec</v>
      </c>
      <c r="AQ312" s="47" t="s">
        <v>0</v>
      </c>
      <c r="AR312" s="82" t="str">
        <f t="shared" si="399"/>
        <v/>
      </c>
      <c r="AS312" s="47" t="s">
        <v>0</v>
      </c>
      <c r="AT312" s="19" t="str">
        <f t="shared" si="400"/>
        <v/>
      </c>
      <c r="AU312" s="47" t="s">
        <v>0</v>
      </c>
      <c r="AV312" s="103"/>
      <c r="AW312" s="105"/>
      <c r="AX312" s="47" t="s">
        <v>0</v>
      </c>
      <c r="AY312" s="259" t="str">
        <f t="shared" si="423"/>
        <v/>
      </c>
      <c r="AZ312" s="47" t="s">
        <v>0</v>
      </c>
      <c r="BA312" s="52" t="str">
        <f t="shared" si="360"/>
        <v/>
      </c>
      <c r="BB312" s="73" t="str">
        <f>IF(AV312&amp;AW312="","",MAX(BB$12:BB311)+1)</f>
        <v/>
      </c>
      <c r="BC312" s="272" t="str">
        <f t="shared" si="361"/>
        <v/>
      </c>
      <c r="BD312" s="53" t="str">
        <f>IF(AND(AM312="NEMA",AN312="NEMA",OR(AV312&amp;AW312="",BC312="NEMA")),MAX(BD$12:BD311)+1,"")</f>
        <v/>
      </c>
      <c r="BE312" s="47" t="s">
        <v>0</v>
      </c>
      <c r="BF312" s="52" t="str">
        <f t="shared" si="401"/>
        <v>Ivana</v>
      </c>
      <c r="BG312" s="66" t="str">
        <f t="shared" si="402"/>
        <v>Gobec</v>
      </c>
      <c r="BH312" s="47" t="s">
        <v>0</v>
      </c>
      <c r="BI312" s="52" t="str">
        <f t="shared" si="362"/>
        <v>Vihor</v>
      </c>
      <c r="BJ312" s="31" t="str">
        <f t="shared" si="363"/>
        <v>OK Vihor</v>
      </c>
      <c r="BK312" s="73" t="str">
        <f t="shared" si="364"/>
        <v/>
      </c>
      <c r="BL312" s="31" t="str" cm="1">
        <f t="array" ref="BL312">IF(BK312="",""&amp;BJ312,IF(BK312="NEMA",BJ312,INDEX(regKlub_naziv,MATCH(INDEX(regKlub_alias_klubId,BK312),regKlub_id,0))))</f>
        <v>OK Vihor</v>
      </c>
      <c r="BM312" s="31" t="str" cm="1">
        <f t="array" ref="BM312">IFERROR(""&amp;INDEX(regNatjecatelj_klub,DV312),"")</f>
        <v>OK Vihor</v>
      </c>
      <c r="BN312" s="88" t="str">
        <f t="shared" si="403"/>
        <v/>
      </c>
      <c r="BO312" s="66" t="str">
        <f t="shared" si="404"/>
        <v>OK Vihor</v>
      </c>
      <c r="BP312" s="47" t="s">
        <v>0</v>
      </c>
      <c r="BQ312" s="52" t="str">
        <f>IF(X312&lt;&gt;"NEMA","",IF(IFERROR(MATCH(W312,W$12:W311,0),0)&lt;&gt;0,"",W312))</f>
        <v/>
      </c>
      <c r="BR312" s="73" t="str">
        <f t="shared" si="405"/>
        <v/>
      </c>
      <c r="BS312" s="31" t="str">
        <f>IF(OR(BR312="",BR312&lt;&gt;"NEMA"),"",MAX(BS$12:BS311)+1)</f>
        <v/>
      </c>
      <c r="BT312" s="66" t="str">
        <f t="shared" si="406"/>
        <v/>
      </c>
      <c r="BU312" s="47" t="s">
        <v>0</v>
      </c>
      <c r="BV312" s="19" t="str">
        <f t="shared" si="407"/>
        <v/>
      </c>
      <c r="BW312" s="47" t="s">
        <v>0</v>
      </c>
      <c r="BX312" s="82" t="str">
        <f>IF(BK312&lt;&gt;"NEMA","",IF(IFERROR(MATCH(BJ312,BJ$12:BJ311,0),0)&lt;&gt;0,"",BJ312))</f>
        <v/>
      </c>
      <c r="BY312" s="47" t="s">
        <v>0</v>
      </c>
      <c r="BZ312" s="125"/>
      <c r="CA312" s="47" t="s">
        <v>0</v>
      </c>
      <c r="CB312" s="58" t="str">
        <f t="shared" si="408"/>
        <v/>
      </c>
      <c r="CC312" s="31" t="str">
        <f t="shared" si="409"/>
        <v/>
      </c>
      <c r="CD312" s="31" t="str">
        <f>IF(CC312="","",MAX(CD$12:CD311)+1)</f>
        <v/>
      </c>
      <c r="CE312" s="31" t="str">
        <f t="shared" si="365"/>
        <v/>
      </c>
      <c r="CF312" s="31" t="str">
        <f t="shared" si="410"/>
        <v/>
      </c>
      <c r="CG312" s="31" t="str">
        <f>IF(BZ312="","",MAX(CG$12:CG311)+1)</f>
        <v/>
      </c>
      <c r="CH312" s="31" t="str">
        <f t="shared" si="411"/>
        <v/>
      </c>
      <c r="CI312" s="66" t="str">
        <f t="shared" si="412"/>
        <v/>
      </c>
      <c r="CJ312" s="47" t="s">
        <v>0</v>
      </c>
      <c r="CK312" s="73" t="str">
        <f t="shared" si="366"/>
        <v/>
      </c>
      <c r="CL312" s="47"/>
      <c r="CM312" s="19" t="str">
        <f t="shared" si="413"/>
        <v/>
      </c>
      <c r="CN312" s="47" t="s">
        <v>0</v>
      </c>
      <c r="CO312" s="143" t="str">
        <f t="shared" si="414"/>
        <v>OK Vihor</v>
      </c>
      <c r="CP312" s="47" t="s">
        <v>0</v>
      </c>
      <c r="CQ312" s="58" t="str">
        <f t="shared" si="430"/>
        <v>35:48</v>
      </c>
      <c r="CR312" s="73" t="str">
        <f t="shared" si="431"/>
        <v>0</v>
      </c>
      <c r="CS312" s="229" t="str">
        <f t="shared" si="367"/>
        <v/>
      </c>
      <c r="CT312" s="230">
        <f t="shared" si="352"/>
        <v>2148</v>
      </c>
      <c r="CU312" s="163">
        <f t="shared" si="368"/>
        <v>1</v>
      </c>
      <c r="CV312" s="47" t="s">
        <v>0</v>
      </c>
      <c r="CW312" s="222" t="str">
        <f t="shared" si="415"/>
        <v xml:space="preserve">
</v>
      </c>
      <c r="CX312" s="223">
        <f t="shared" si="416"/>
        <v>6</v>
      </c>
      <c r="CY312" s="47" t="s">
        <v>0</v>
      </c>
      <c r="CZ312" s="47"/>
      <c r="DA312" s="47"/>
      <c r="DB312" s="47"/>
      <c r="DC312" s="47" t="s">
        <v>0</v>
      </c>
      <c r="DD312" s="53" t="str">
        <f t="shared" si="424"/>
        <v/>
      </c>
      <c r="DE312" t="s">
        <v>0</v>
      </c>
      <c r="DF312" s="128" t="str">
        <f t="shared" si="425"/>
        <v>Ž</v>
      </c>
      <c r="DG312" t="s">
        <v>0</v>
      </c>
      <c r="DH312" s="52" t="str">
        <f t="shared" si="426"/>
        <v/>
      </c>
      <c r="DI312" s="66" t="str">
        <f t="shared" si="427"/>
        <v/>
      </c>
      <c r="DJ312" t="s">
        <v>0</v>
      </c>
      <c r="DK312" s="19" t="str">
        <f t="shared" si="428"/>
        <v/>
      </c>
      <c r="DL312" s="47" t="s">
        <v>0</v>
      </c>
      <c r="DM312" s="19" t="str">
        <f t="shared" si="429"/>
        <v/>
      </c>
      <c r="DN312" s="47" t="s">
        <v>0</v>
      </c>
      <c r="DO312" s="52" t="str">
        <f t="shared" si="369"/>
        <v>Ivana – Gobec – OK Vihor – Ž45</v>
      </c>
      <c r="DP312" s="53">
        <f t="shared" si="370"/>
        <v>673</v>
      </c>
      <c r="DQ312" s="47" t="s">
        <v>0</v>
      </c>
      <c r="DR312" s="52" t="str">
        <f t="shared" si="371"/>
        <v>Ivana – Gobec – OK Vihor</v>
      </c>
      <c r="DS312" s="53">
        <f t="shared" si="372"/>
        <v>673</v>
      </c>
      <c r="DT312" s="47" t="s">
        <v>0</v>
      </c>
      <c r="DU312" s="52" t="str">
        <f t="shared" si="373"/>
        <v>Ivana – Gobec</v>
      </c>
      <c r="DV312" s="53">
        <f t="shared" si="374"/>
        <v>673</v>
      </c>
      <c r="DW312" s="47" t="s">
        <v>0</v>
      </c>
      <c r="DX312" s="58">
        <f t="shared" si="417"/>
        <v>673</v>
      </c>
      <c r="DY312" s="53" cm="1">
        <f t="array" ref="DY312">IF(DX312&lt;&gt;"",INDEX(regNatjecatelj_id,DX312,0),IF(BD312&lt;&gt;"",BD312,""))</f>
        <v>1309</v>
      </c>
      <c r="DZ312" s="47" t="s">
        <v>0</v>
      </c>
      <c r="EA312" s="58" t="str">
        <f t="shared" si="375"/>
        <v>imepre</v>
      </c>
      <c r="EB312" s="73" t="str">
        <f t="shared" si="376"/>
        <v>klu</v>
      </c>
      <c r="EC312" s="73" t="str">
        <f t="shared" si="377"/>
        <v>kat</v>
      </c>
      <c r="ED312" s="73" t="str">
        <f t="shared" si="378"/>
        <v/>
      </c>
      <c r="EE312" s="66" t="str">
        <f t="shared" si="379"/>
        <v>imepre-klu-kat</v>
      </c>
      <c r="EF312" s="47" t="s">
        <v>0</v>
      </c>
      <c r="EG312" s="58">
        <f>IF(AL312="","",MAX(EG$12:EG311)+1)</f>
        <v>460</v>
      </c>
      <c r="EH312" s="73">
        <f t="shared" si="380"/>
        <v>42</v>
      </c>
      <c r="EI312" s="73">
        <f t="shared" si="418"/>
        <v>1309</v>
      </c>
      <c r="EJ312" s="73">
        <f t="shared" si="381"/>
        <v>2148</v>
      </c>
      <c r="EK312" s="73">
        <f t="shared" si="382"/>
        <v>1</v>
      </c>
      <c r="EL312" s="73">
        <f t="shared" si="419"/>
        <v>1</v>
      </c>
      <c r="EM312" s="73">
        <f t="shared" si="420"/>
        <v>1</v>
      </c>
      <c r="EN312" s="73" t="str">
        <f t="shared" si="383"/>
        <v>0</v>
      </c>
      <c r="EO312" s="73" t="str">
        <f t="shared" si="384"/>
        <v/>
      </c>
      <c r="EP312" s="73" t="str">
        <f t="shared" si="385"/>
        <v/>
      </c>
      <c r="EQ312" s="53" t="str">
        <f t="shared" si="386"/>
        <v/>
      </c>
      <c r="ER312" s="47" t="s">
        <v>0</v>
      </c>
      <c r="ES312" s="19" t="str">
        <f t="shared" si="421"/>
        <v>INSERT INTO rezultat(id,stazakategorija_id,imeprezime_id,vrijeme_sec,status_id,registracija,uparivanje_id,originalstatus_id,imeprezimealias_id,klubalias_id,kategorijaalias_id) VALUES (460,42,1309,2148,1,1,1,0,Null,Null,Null);</v>
      </c>
      <c r="ET312" s="47" t="s">
        <v>0</v>
      </c>
      <c r="EU312" s="19" t="str">
        <f t="shared" si="422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2" s="47" t="s">
        <v>0</v>
      </c>
      <c r="EW312" s="180" t="str">
        <f t="shared" si="387"/>
        <v xml:space="preserve">
INSERT INTO rezultat(id,stazakategorija_id,imeprezime_id,vrijeme_sec,status_id,registracija,uparivanje_id,originalstatus_id,imeprezimealias_id,klubalias_id,kategorijaalias_id) VALUES (460,42,1309,2148,1,1,1,0,Null,Null,Null);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2" s="47" t="s">
        <v>0</v>
      </c>
    </row>
    <row r="313" spans="1:154" x14ac:dyDescent="0.25">
      <c r="A313" t="s">
        <v>0</v>
      </c>
      <c r="B313" s="52" t="str">
        <f>IF(csv!F303="","",csv!T303)</f>
        <v>Ž45</v>
      </c>
      <c r="C313" s="31" t="s">
        <v>0</v>
      </c>
      <c r="D313" s="31" t="str">
        <f>IF(csv!F303="","",csv!F303)</f>
        <v>Bojana</v>
      </c>
      <c r="E313" s="31" t="str">
        <f>IF(csv!E303="","",csv!E303)</f>
        <v>Nikolić</v>
      </c>
      <c r="F313" s="31" t="s">
        <v>0</v>
      </c>
      <c r="G313" s="73" t="str">
        <f>IF(csv!M303="","",csv!M303)</f>
        <v>39:57</v>
      </c>
      <c r="H313" s="73" t="str">
        <f>IF(csv!N303="","",csv!N303)</f>
        <v>0</v>
      </c>
      <c r="I313" s="31" t="s">
        <v>0</v>
      </c>
      <c r="J313" s="31" t="str">
        <f>IF(csv!P303="","",csv!P303)</f>
        <v>Vihor</v>
      </c>
      <c r="K313" s="31" t="str">
        <f>IF(csv!Q303="","",csv!Q303)</f>
        <v>OK Vihor</v>
      </c>
      <c r="L313" s="31" t="s">
        <v>0</v>
      </c>
      <c r="M313" s="66" t="str">
        <f>IF(csv!R303="","",csv!R303)</f>
        <v>CRO</v>
      </c>
      <c r="N313" s="47" t="s">
        <v>0</v>
      </c>
      <c r="O313" s="246" t="str">
        <f t="shared" si="388"/>
        <v>ok</v>
      </c>
      <c r="P313" s="47"/>
      <c r="Q313" s="52" t="str">
        <f t="shared" si="389"/>
        <v>Ž45</v>
      </c>
      <c r="R313" s="73">
        <f>IF(Q313="","",IF(COUNTIF(Q$12:Q312,Q313)=0,R312+1,R312))</f>
        <v>20</v>
      </c>
      <c r="S313" s="73">
        <f t="shared" si="390"/>
        <v>116</v>
      </c>
      <c r="T313" s="73">
        <f t="shared" si="353"/>
        <v>25</v>
      </c>
      <c r="U313" s="66" t="str">
        <f t="shared" si="354"/>
        <v>Ž45</v>
      </c>
      <c r="V313" s="47" t="s">
        <v>0</v>
      </c>
      <c r="W313" s="222" t="str">
        <f t="shared" si="355"/>
        <v>Ž45</v>
      </c>
      <c r="X313" s="223">
        <f t="shared" si="356"/>
        <v>42</v>
      </c>
      <c r="Y313" s="47" t="s">
        <v>0</v>
      </c>
      <c r="Z313" s="52" t="str">
        <f t="shared" si="391"/>
        <v>CRO</v>
      </c>
      <c r="AA313" s="73">
        <f t="shared" si="357"/>
        <v>1</v>
      </c>
      <c r="AB313" s="31" t="str">
        <f t="shared" si="392"/>
        <v/>
      </c>
      <c r="AC313" s="66" t="str">
        <f>IF(AB313="","",MAX(AC$12:AC312)+1)</f>
        <v/>
      </c>
      <c r="AD313" s="47" t="s">
        <v>0</v>
      </c>
      <c r="AE313" s="125"/>
      <c r="AF313" s="47" t="s">
        <v>0</v>
      </c>
      <c r="AG313" s="19" t="str">
        <f t="shared" si="393"/>
        <v/>
      </c>
      <c r="AH313" s="47" t="s">
        <v>0</v>
      </c>
      <c r="AI313" s="143" t="str">
        <f t="shared" si="394"/>
        <v>CRO</v>
      </c>
      <c r="AJ313" s="47"/>
      <c r="AK313" s="52" t="str">
        <f t="shared" si="395"/>
        <v>Bojana</v>
      </c>
      <c r="AL313" s="31" t="str">
        <f t="shared" si="396"/>
        <v>Nikolić</v>
      </c>
      <c r="AM313" s="73">
        <f t="shared" si="397"/>
        <v>1445</v>
      </c>
      <c r="AN313" s="73" t="str">
        <f t="shared" si="398"/>
        <v/>
      </c>
      <c r="AO313" s="31" t="str">
        <f t="shared" si="358"/>
        <v>Bojana</v>
      </c>
      <c r="AP313" s="66" t="str">
        <f t="shared" si="359"/>
        <v>Nikolić</v>
      </c>
      <c r="AQ313" s="47" t="s">
        <v>0</v>
      </c>
      <c r="AR313" s="82" t="str">
        <f t="shared" si="399"/>
        <v/>
      </c>
      <c r="AS313" s="47" t="s">
        <v>0</v>
      </c>
      <c r="AT313" s="19" t="str">
        <f t="shared" si="400"/>
        <v/>
      </c>
      <c r="AU313" s="47" t="s">
        <v>0</v>
      </c>
      <c r="AV313" s="103"/>
      <c r="AW313" s="105"/>
      <c r="AX313" s="47" t="s">
        <v>0</v>
      </c>
      <c r="AY313" s="259" t="str">
        <f t="shared" si="423"/>
        <v/>
      </c>
      <c r="AZ313" s="47" t="s">
        <v>0</v>
      </c>
      <c r="BA313" s="52" t="str">
        <f t="shared" si="360"/>
        <v/>
      </c>
      <c r="BB313" s="73" t="str">
        <f>IF(AV313&amp;AW313="","",MAX(BB$12:BB312)+1)</f>
        <v/>
      </c>
      <c r="BC313" s="272" t="str">
        <f t="shared" si="361"/>
        <v/>
      </c>
      <c r="BD313" s="53" t="str">
        <f>IF(AND(AM313="NEMA",AN313="NEMA",OR(AV313&amp;AW313="",BC313="NEMA")),MAX(BD$12:BD312)+1,"")</f>
        <v/>
      </c>
      <c r="BE313" s="47" t="s">
        <v>0</v>
      </c>
      <c r="BF313" s="52" t="str">
        <f t="shared" si="401"/>
        <v>Bojana</v>
      </c>
      <c r="BG313" s="66" t="str">
        <f t="shared" si="402"/>
        <v>Nikolić</v>
      </c>
      <c r="BH313" s="47" t="s">
        <v>0</v>
      </c>
      <c r="BI313" s="52" t="str">
        <f t="shared" si="362"/>
        <v>Vihor</v>
      </c>
      <c r="BJ313" s="31" t="str">
        <f t="shared" si="363"/>
        <v>OK Vihor</v>
      </c>
      <c r="BK313" s="73" t="str">
        <f t="shared" si="364"/>
        <v/>
      </c>
      <c r="BL313" s="31" t="str" cm="1">
        <f t="array" ref="BL313">IF(BK313="",""&amp;BJ313,IF(BK313="NEMA",BJ313,INDEX(regKlub_naziv,MATCH(INDEX(regKlub_alias_klubId,BK313),regKlub_id,0))))</f>
        <v>OK Vihor</v>
      </c>
      <c r="BM313" s="31" t="str" cm="1">
        <f t="array" ref="BM313">IFERROR(""&amp;INDEX(regNatjecatelj_klub,DV313),"")</f>
        <v>OK Vihor</v>
      </c>
      <c r="BN313" s="88" t="str">
        <f t="shared" si="403"/>
        <v/>
      </c>
      <c r="BO313" s="66" t="str">
        <f t="shared" si="404"/>
        <v>OK Vihor</v>
      </c>
      <c r="BP313" s="47" t="s">
        <v>0</v>
      </c>
      <c r="BQ313" s="52" t="str">
        <f>IF(X313&lt;&gt;"NEMA","",IF(IFERROR(MATCH(W313,W$12:W312,0),0)&lt;&gt;0,"",W313))</f>
        <v/>
      </c>
      <c r="BR313" s="73" t="str">
        <f t="shared" si="405"/>
        <v/>
      </c>
      <c r="BS313" s="31" t="str">
        <f>IF(OR(BR313="",BR313&lt;&gt;"NEMA"),"",MAX(BS$12:BS312)+1)</f>
        <v/>
      </c>
      <c r="BT313" s="66" t="str">
        <f t="shared" si="406"/>
        <v/>
      </c>
      <c r="BU313" s="47" t="s">
        <v>0</v>
      </c>
      <c r="BV313" s="19" t="str">
        <f t="shared" si="407"/>
        <v/>
      </c>
      <c r="BW313" s="47" t="s">
        <v>0</v>
      </c>
      <c r="BX313" s="82" t="str">
        <f>IF(BK313&lt;&gt;"NEMA","",IF(IFERROR(MATCH(BJ313,BJ$12:BJ312,0),0)&lt;&gt;0,"",BJ313))</f>
        <v/>
      </c>
      <c r="BY313" s="47" t="s">
        <v>0</v>
      </c>
      <c r="BZ313" s="125"/>
      <c r="CA313" s="47" t="s">
        <v>0</v>
      </c>
      <c r="CB313" s="58" t="str">
        <f t="shared" si="408"/>
        <v/>
      </c>
      <c r="CC313" s="31" t="str">
        <f t="shared" si="409"/>
        <v/>
      </c>
      <c r="CD313" s="31" t="str">
        <f>IF(CC313="","",MAX(CD$12:CD312)+1)</f>
        <v/>
      </c>
      <c r="CE313" s="31" t="str">
        <f t="shared" si="365"/>
        <v/>
      </c>
      <c r="CF313" s="31" t="str">
        <f t="shared" si="410"/>
        <v/>
      </c>
      <c r="CG313" s="31" t="str">
        <f>IF(BZ313="","",MAX(CG$12:CG312)+1)</f>
        <v/>
      </c>
      <c r="CH313" s="31" t="str">
        <f t="shared" si="411"/>
        <v/>
      </c>
      <c r="CI313" s="66" t="str">
        <f t="shared" si="412"/>
        <v/>
      </c>
      <c r="CJ313" s="47" t="s">
        <v>0</v>
      </c>
      <c r="CK313" s="73" t="str">
        <f t="shared" si="366"/>
        <v/>
      </c>
      <c r="CL313" s="47"/>
      <c r="CM313" s="19" t="str">
        <f t="shared" si="413"/>
        <v/>
      </c>
      <c r="CN313" s="47" t="s">
        <v>0</v>
      </c>
      <c r="CO313" s="143" t="str">
        <f t="shared" si="414"/>
        <v>OK Vihor</v>
      </c>
      <c r="CP313" s="47" t="s">
        <v>0</v>
      </c>
      <c r="CQ313" s="58" t="str">
        <f t="shared" si="430"/>
        <v>39:57</v>
      </c>
      <c r="CR313" s="73" t="str">
        <f t="shared" si="431"/>
        <v>0</v>
      </c>
      <c r="CS313" s="229" t="str">
        <f t="shared" si="367"/>
        <v/>
      </c>
      <c r="CT313" s="230">
        <f t="shared" si="352"/>
        <v>2397</v>
      </c>
      <c r="CU313" s="163">
        <f t="shared" si="368"/>
        <v>1</v>
      </c>
      <c r="CV313" s="47" t="s">
        <v>0</v>
      </c>
      <c r="CW313" s="222" t="str">
        <f t="shared" si="415"/>
        <v xml:space="preserve">
</v>
      </c>
      <c r="CX313" s="223">
        <f t="shared" si="416"/>
        <v>6</v>
      </c>
      <c r="CY313" s="47" t="s">
        <v>0</v>
      </c>
      <c r="CZ313" s="47"/>
      <c r="DA313" s="47"/>
      <c r="DB313" s="47"/>
      <c r="DC313" s="47" t="s">
        <v>0</v>
      </c>
      <c r="DD313" s="53" t="str">
        <f t="shared" si="424"/>
        <v/>
      </c>
      <c r="DE313" t="s">
        <v>0</v>
      </c>
      <c r="DF313" s="128" t="str">
        <f t="shared" si="425"/>
        <v>Ž</v>
      </c>
      <c r="DG313" t="s">
        <v>0</v>
      </c>
      <c r="DH313" s="52" t="str">
        <f t="shared" si="426"/>
        <v/>
      </c>
      <c r="DI313" s="66" t="str">
        <f t="shared" si="427"/>
        <v/>
      </c>
      <c r="DJ313" t="s">
        <v>0</v>
      </c>
      <c r="DK313" s="19" t="str">
        <f t="shared" si="428"/>
        <v/>
      </c>
      <c r="DL313" s="47" t="s">
        <v>0</v>
      </c>
      <c r="DM313" s="19" t="str">
        <f t="shared" si="429"/>
        <v/>
      </c>
      <c r="DN313" s="47" t="s">
        <v>0</v>
      </c>
      <c r="DO313" s="52" t="str">
        <f t="shared" si="369"/>
        <v>Bojana – Nikolić – OK Vihor – Ž45</v>
      </c>
      <c r="DP313" s="53">
        <f t="shared" si="370"/>
        <v>818</v>
      </c>
      <c r="DQ313" s="47" t="s">
        <v>0</v>
      </c>
      <c r="DR313" s="52" t="str">
        <f t="shared" si="371"/>
        <v>Bojana – Nikolić – OK Vihor</v>
      </c>
      <c r="DS313" s="53">
        <f t="shared" si="372"/>
        <v>818</v>
      </c>
      <c r="DT313" s="47" t="s">
        <v>0</v>
      </c>
      <c r="DU313" s="52" t="str">
        <f t="shared" si="373"/>
        <v>Bojana – Nikolić</v>
      </c>
      <c r="DV313" s="53">
        <f t="shared" si="374"/>
        <v>818</v>
      </c>
      <c r="DW313" s="47" t="s">
        <v>0</v>
      </c>
      <c r="DX313" s="58">
        <f t="shared" si="417"/>
        <v>818</v>
      </c>
      <c r="DY313" s="53" cm="1">
        <f t="array" ref="DY313">IF(DX313&lt;&gt;"",INDEX(regNatjecatelj_id,DX313,0),IF(BD313&lt;&gt;"",BD313,""))</f>
        <v>1445</v>
      </c>
      <c r="DZ313" s="47" t="s">
        <v>0</v>
      </c>
      <c r="EA313" s="58" t="str">
        <f t="shared" si="375"/>
        <v>imepre</v>
      </c>
      <c r="EB313" s="73" t="str">
        <f t="shared" si="376"/>
        <v>klu</v>
      </c>
      <c r="EC313" s="73" t="str">
        <f t="shared" si="377"/>
        <v>kat</v>
      </c>
      <c r="ED313" s="73" t="str">
        <f t="shared" si="378"/>
        <v/>
      </c>
      <c r="EE313" s="66" t="str">
        <f t="shared" si="379"/>
        <v>imepre-klu-kat</v>
      </c>
      <c r="EF313" s="47" t="s">
        <v>0</v>
      </c>
      <c r="EG313" s="58">
        <f>IF(AL313="","",MAX(EG$12:EG312)+1)</f>
        <v>461</v>
      </c>
      <c r="EH313" s="73">
        <f t="shared" si="380"/>
        <v>42</v>
      </c>
      <c r="EI313" s="73">
        <f t="shared" si="418"/>
        <v>1445</v>
      </c>
      <c r="EJ313" s="73">
        <f t="shared" si="381"/>
        <v>2397</v>
      </c>
      <c r="EK313" s="73">
        <f t="shared" si="382"/>
        <v>1</v>
      </c>
      <c r="EL313" s="73">
        <f t="shared" si="419"/>
        <v>1</v>
      </c>
      <c r="EM313" s="73">
        <f t="shared" si="420"/>
        <v>1</v>
      </c>
      <c r="EN313" s="73" t="str">
        <f t="shared" si="383"/>
        <v>0</v>
      </c>
      <c r="EO313" s="73" t="str">
        <f t="shared" si="384"/>
        <v/>
      </c>
      <c r="EP313" s="73" t="str">
        <f t="shared" si="385"/>
        <v/>
      </c>
      <c r="EQ313" s="53" t="str">
        <f t="shared" si="386"/>
        <v/>
      </c>
      <c r="ER313" s="47" t="s">
        <v>0</v>
      </c>
      <c r="ES313" s="19" t="str">
        <f t="shared" si="421"/>
        <v>INSERT INTO rezultat(id,stazakategorija_id,imeprezime_id,vrijeme_sec,status_id,registracija,uparivanje_id,originalstatus_id,imeprezimealias_id,klubalias_id,kategorijaalias_id) VALUES (461,42,1445,2397,1,1,1,0,Null,Null,Null);</v>
      </c>
      <c r="ET313" s="47" t="s">
        <v>0</v>
      </c>
      <c r="EU313" s="19" t="str">
        <f t="shared" si="422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3" s="47" t="s">
        <v>0</v>
      </c>
      <c r="EW313" s="180" t="str">
        <f t="shared" si="387"/>
        <v xml:space="preserve">
INSERT INTO rezultat(id,stazakategorija_id,imeprezime_id,vrijeme_sec,status_id,registracija,uparivanje_id,originalstatus_id,imeprezimealias_id,klubalias_id,kategorijaalias_id) VALUES (461,42,1445,2397,1,1,1,0,Null,Null,Null);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3" s="47" t="s">
        <v>0</v>
      </c>
    </row>
    <row r="314" spans="1:154" x14ac:dyDescent="0.25">
      <c r="A314" t="s">
        <v>0</v>
      </c>
      <c r="B314" s="52" t="str">
        <f>IF(csv!F304="","",csv!T304)</f>
        <v>Ž45</v>
      </c>
      <c r="C314" s="31" t="s">
        <v>0</v>
      </c>
      <c r="D314" s="31" t="str">
        <f>IF(csv!F304="","",csv!F304)</f>
        <v>Mirka</v>
      </c>
      <c r="E314" s="31" t="str">
        <f>IF(csv!E304="","",csv!E304)</f>
        <v>Jakšić</v>
      </c>
      <c r="F314" s="31" t="s">
        <v>0</v>
      </c>
      <c r="G314" s="73" t="str">
        <f>IF(csv!M304="","",csv!M304)</f>
        <v>42:42</v>
      </c>
      <c r="H314" s="73" t="str">
        <f>IF(csv!N304="","",csv!N304)</f>
        <v>0</v>
      </c>
      <c r="I314" s="31" t="s">
        <v>0</v>
      </c>
      <c r="J314" s="31" t="str">
        <f>IF(csv!P304="","",csv!P304)</f>
        <v>Maksimir</v>
      </c>
      <c r="K314" s="31" t="str">
        <f>IF(csv!Q304="","",csv!Q304)</f>
        <v>OK Maksimir</v>
      </c>
      <c r="L314" s="31" t="s">
        <v>0</v>
      </c>
      <c r="M314" s="66" t="str">
        <f>IF(csv!R304="","",csv!R304)</f>
        <v>CRO</v>
      </c>
      <c r="N314" s="47" t="s">
        <v>0</v>
      </c>
      <c r="O314" s="246" t="str">
        <f t="shared" si="388"/>
        <v>ok</v>
      </c>
      <c r="P314" s="47"/>
      <c r="Q314" s="52" t="str">
        <f t="shared" si="389"/>
        <v>Ž45</v>
      </c>
      <c r="R314" s="73">
        <f>IF(Q314="","",IF(COUNTIF(Q$12:Q313,Q314)=0,R313+1,R313))</f>
        <v>20</v>
      </c>
      <c r="S314" s="73">
        <f t="shared" si="390"/>
        <v>116</v>
      </c>
      <c r="T314" s="73">
        <f t="shared" si="353"/>
        <v>25</v>
      </c>
      <c r="U314" s="66" t="str">
        <f t="shared" si="354"/>
        <v>Ž45</v>
      </c>
      <c r="V314" s="47" t="s">
        <v>0</v>
      </c>
      <c r="W314" s="222" t="str">
        <f t="shared" si="355"/>
        <v>Ž45</v>
      </c>
      <c r="X314" s="223">
        <f t="shared" si="356"/>
        <v>42</v>
      </c>
      <c r="Y314" s="47" t="s">
        <v>0</v>
      </c>
      <c r="Z314" s="52" t="str">
        <f t="shared" si="391"/>
        <v>CRO</v>
      </c>
      <c r="AA314" s="73">
        <f t="shared" si="357"/>
        <v>1</v>
      </c>
      <c r="AB314" s="31" t="str">
        <f t="shared" si="392"/>
        <v/>
      </c>
      <c r="AC314" s="66" t="str">
        <f>IF(AB314="","",MAX(AC$12:AC313)+1)</f>
        <v/>
      </c>
      <c r="AD314" s="47" t="s">
        <v>0</v>
      </c>
      <c r="AE314" s="125"/>
      <c r="AF314" s="47" t="s">
        <v>0</v>
      </c>
      <c r="AG314" s="19" t="str">
        <f t="shared" si="393"/>
        <v/>
      </c>
      <c r="AH314" s="47" t="s">
        <v>0</v>
      </c>
      <c r="AI314" s="143" t="str">
        <f t="shared" si="394"/>
        <v>CRO</v>
      </c>
      <c r="AJ314" s="47"/>
      <c r="AK314" s="52" t="str">
        <f t="shared" si="395"/>
        <v>Mirka</v>
      </c>
      <c r="AL314" s="31" t="str">
        <f t="shared" si="396"/>
        <v>Jakšić</v>
      </c>
      <c r="AM314" s="73">
        <f t="shared" si="397"/>
        <v>1372</v>
      </c>
      <c r="AN314" s="73" t="str">
        <f t="shared" si="398"/>
        <v/>
      </c>
      <c r="AO314" s="31" t="str">
        <f t="shared" si="358"/>
        <v>Mirka</v>
      </c>
      <c r="AP314" s="66" t="str">
        <f t="shared" si="359"/>
        <v>Jakšić</v>
      </c>
      <c r="AQ314" s="47" t="s">
        <v>0</v>
      </c>
      <c r="AR314" s="82" t="str">
        <f t="shared" si="399"/>
        <v/>
      </c>
      <c r="AS314" s="47" t="s">
        <v>0</v>
      </c>
      <c r="AT314" s="19" t="str">
        <f t="shared" si="400"/>
        <v/>
      </c>
      <c r="AU314" s="47" t="s">
        <v>0</v>
      </c>
      <c r="AV314" s="103"/>
      <c r="AW314" s="105"/>
      <c r="AX314" s="47" t="s">
        <v>0</v>
      </c>
      <c r="AY314" s="259" t="str">
        <f t="shared" si="423"/>
        <v/>
      </c>
      <c r="AZ314" s="47" t="s">
        <v>0</v>
      </c>
      <c r="BA314" s="52" t="str">
        <f t="shared" si="360"/>
        <v/>
      </c>
      <c r="BB314" s="73" t="str">
        <f>IF(AV314&amp;AW314="","",MAX(BB$12:BB313)+1)</f>
        <v/>
      </c>
      <c r="BC314" s="272" t="str">
        <f t="shared" si="361"/>
        <v/>
      </c>
      <c r="BD314" s="53" t="str">
        <f>IF(AND(AM314="NEMA",AN314="NEMA",OR(AV314&amp;AW314="",BC314="NEMA")),MAX(BD$12:BD313)+1,"")</f>
        <v/>
      </c>
      <c r="BE314" s="47" t="s">
        <v>0</v>
      </c>
      <c r="BF314" s="52" t="str">
        <f t="shared" si="401"/>
        <v>Mirka</v>
      </c>
      <c r="BG314" s="66" t="str">
        <f t="shared" si="402"/>
        <v>Jakšić</v>
      </c>
      <c r="BH314" s="47" t="s">
        <v>0</v>
      </c>
      <c r="BI314" s="52" t="str">
        <f t="shared" si="362"/>
        <v>Maksimir</v>
      </c>
      <c r="BJ314" s="31" t="str">
        <f t="shared" si="363"/>
        <v>OK Maksimir</v>
      </c>
      <c r="BK314" s="73" t="str">
        <f t="shared" si="364"/>
        <v/>
      </c>
      <c r="BL314" s="31" t="str" cm="1">
        <f t="array" ref="BL314">IF(BK314="",""&amp;BJ314,IF(BK314="NEMA",BJ314,INDEX(regKlub_naziv,MATCH(INDEX(regKlub_alias_klubId,BK314),regKlub_id,0))))</f>
        <v>OK Maksimir</v>
      </c>
      <c r="BM314" s="31" t="str" cm="1">
        <f t="array" ref="BM314">IFERROR(""&amp;INDEX(regNatjecatelj_klub,DV314),"")</f>
        <v>OK Maksimir</v>
      </c>
      <c r="BN314" s="88" t="str">
        <f t="shared" si="403"/>
        <v/>
      </c>
      <c r="BO314" s="66" t="str">
        <f t="shared" si="404"/>
        <v>OK Maksimir</v>
      </c>
      <c r="BP314" s="47" t="s">
        <v>0</v>
      </c>
      <c r="BQ314" s="52" t="str">
        <f>IF(X314&lt;&gt;"NEMA","",IF(IFERROR(MATCH(W314,W$12:W313,0),0)&lt;&gt;0,"",W314))</f>
        <v/>
      </c>
      <c r="BR314" s="73" t="str">
        <f t="shared" si="405"/>
        <v/>
      </c>
      <c r="BS314" s="31" t="str">
        <f>IF(OR(BR314="",BR314&lt;&gt;"NEMA"),"",MAX(BS$12:BS313)+1)</f>
        <v/>
      </c>
      <c r="BT314" s="66" t="str">
        <f t="shared" si="406"/>
        <v/>
      </c>
      <c r="BU314" s="47" t="s">
        <v>0</v>
      </c>
      <c r="BV314" s="19" t="str">
        <f t="shared" si="407"/>
        <v/>
      </c>
      <c r="BW314" s="47" t="s">
        <v>0</v>
      </c>
      <c r="BX314" s="82" t="str">
        <f>IF(BK314&lt;&gt;"NEMA","",IF(IFERROR(MATCH(BJ314,BJ$12:BJ313,0),0)&lt;&gt;0,"",BJ314))</f>
        <v/>
      </c>
      <c r="BY314" s="47" t="s">
        <v>0</v>
      </c>
      <c r="BZ314" s="125"/>
      <c r="CA314" s="47" t="s">
        <v>0</v>
      </c>
      <c r="CB314" s="58" t="str">
        <f t="shared" si="408"/>
        <v/>
      </c>
      <c r="CC314" s="31" t="str">
        <f t="shared" si="409"/>
        <v/>
      </c>
      <c r="CD314" s="31" t="str">
        <f>IF(CC314="","",MAX(CD$12:CD313)+1)</f>
        <v/>
      </c>
      <c r="CE314" s="31" t="str">
        <f t="shared" si="365"/>
        <v/>
      </c>
      <c r="CF314" s="31" t="str">
        <f t="shared" si="410"/>
        <v/>
      </c>
      <c r="CG314" s="31" t="str">
        <f>IF(BZ314="","",MAX(CG$12:CG313)+1)</f>
        <v/>
      </c>
      <c r="CH314" s="31" t="str">
        <f t="shared" si="411"/>
        <v/>
      </c>
      <c r="CI314" s="66" t="str">
        <f t="shared" si="412"/>
        <v/>
      </c>
      <c r="CJ314" s="47" t="s">
        <v>0</v>
      </c>
      <c r="CK314" s="73" t="str">
        <f t="shared" si="366"/>
        <v/>
      </c>
      <c r="CL314" s="47"/>
      <c r="CM314" s="19" t="str">
        <f t="shared" si="413"/>
        <v/>
      </c>
      <c r="CN314" s="47" t="s">
        <v>0</v>
      </c>
      <c r="CO314" s="143" t="str">
        <f t="shared" si="414"/>
        <v>OK Maksimir</v>
      </c>
      <c r="CP314" s="47" t="s">
        <v>0</v>
      </c>
      <c r="CQ314" s="58" t="str">
        <f t="shared" si="430"/>
        <v>42:42</v>
      </c>
      <c r="CR314" s="73" t="str">
        <f t="shared" si="431"/>
        <v>0</v>
      </c>
      <c r="CS314" s="229" t="str">
        <f t="shared" si="367"/>
        <v/>
      </c>
      <c r="CT314" s="230">
        <f t="shared" si="352"/>
        <v>2562</v>
      </c>
      <c r="CU314" s="163">
        <f t="shared" si="368"/>
        <v>1</v>
      </c>
      <c r="CV314" s="47" t="s">
        <v>0</v>
      </c>
      <c r="CW314" s="222" t="str">
        <f t="shared" si="415"/>
        <v xml:space="preserve">
</v>
      </c>
      <c r="CX314" s="223">
        <f t="shared" si="416"/>
        <v>6</v>
      </c>
      <c r="CY314" s="47" t="s">
        <v>0</v>
      </c>
      <c r="CZ314" s="47"/>
      <c r="DA314" s="47"/>
      <c r="DB314" s="47"/>
      <c r="DC314" s="47" t="s">
        <v>0</v>
      </c>
      <c r="DD314" s="53" t="str">
        <f t="shared" si="424"/>
        <v/>
      </c>
      <c r="DE314" t="s">
        <v>0</v>
      </c>
      <c r="DF314" s="128" t="str">
        <f t="shared" si="425"/>
        <v>Ž</v>
      </c>
      <c r="DG314" t="s">
        <v>0</v>
      </c>
      <c r="DH314" s="52" t="str">
        <f t="shared" si="426"/>
        <v/>
      </c>
      <c r="DI314" s="66" t="str">
        <f t="shared" si="427"/>
        <v/>
      </c>
      <c r="DJ314" t="s">
        <v>0</v>
      </c>
      <c r="DK314" s="19" t="str">
        <f t="shared" si="428"/>
        <v/>
      </c>
      <c r="DL314" s="47" t="s">
        <v>0</v>
      </c>
      <c r="DM314" s="19" t="str">
        <f t="shared" si="429"/>
        <v/>
      </c>
      <c r="DN314" s="47" t="s">
        <v>0</v>
      </c>
      <c r="DO314" s="52" t="str">
        <f t="shared" si="369"/>
        <v>Mirka – Jakšić – OK Maksimir – Ž45</v>
      </c>
      <c r="DP314" s="53">
        <f t="shared" si="370"/>
        <v>353</v>
      </c>
      <c r="DQ314" s="47" t="s">
        <v>0</v>
      </c>
      <c r="DR314" s="52" t="str">
        <f t="shared" si="371"/>
        <v>Mirka – Jakšić – OK Maksimir</v>
      </c>
      <c r="DS314" s="53">
        <f t="shared" si="372"/>
        <v>353</v>
      </c>
      <c r="DT314" s="47" t="s">
        <v>0</v>
      </c>
      <c r="DU314" s="52" t="str">
        <f t="shared" si="373"/>
        <v>Mirka – Jakšić</v>
      </c>
      <c r="DV314" s="53">
        <f t="shared" si="374"/>
        <v>353</v>
      </c>
      <c r="DW314" s="47" t="s">
        <v>0</v>
      </c>
      <c r="DX314" s="58">
        <f t="shared" si="417"/>
        <v>353</v>
      </c>
      <c r="DY314" s="53" cm="1">
        <f t="array" ref="DY314">IF(DX314&lt;&gt;"",INDEX(regNatjecatelj_id,DX314,0),IF(BD314&lt;&gt;"",BD314,""))</f>
        <v>1372</v>
      </c>
      <c r="DZ314" s="47" t="s">
        <v>0</v>
      </c>
      <c r="EA314" s="58" t="str">
        <f t="shared" si="375"/>
        <v>imepre</v>
      </c>
      <c r="EB314" s="73" t="str">
        <f t="shared" si="376"/>
        <v>klu</v>
      </c>
      <c r="EC314" s="73" t="str">
        <f t="shared" si="377"/>
        <v>kat</v>
      </c>
      <c r="ED314" s="73" t="str">
        <f t="shared" si="378"/>
        <v/>
      </c>
      <c r="EE314" s="66" t="str">
        <f t="shared" si="379"/>
        <v>imepre-klu-kat</v>
      </c>
      <c r="EF314" s="47" t="s">
        <v>0</v>
      </c>
      <c r="EG314" s="58">
        <f>IF(AL314="","",MAX(EG$12:EG313)+1)</f>
        <v>462</v>
      </c>
      <c r="EH314" s="73">
        <f t="shared" si="380"/>
        <v>42</v>
      </c>
      <c r="EI314" s="73">
        <f t="shared" si="418"/>
        <v>1372</v>
      </c>
      <c r="EJ314" s="73">
        <f t="shared" si="381"/>
        <v>2562</v>
      </c>
      <c r="EK314" s="73">
        <f t="shared" si="382"/>
        <v>1</v>
      </c>
      <c r="EL314" s="73">
        <f t="shared" si="419"/>
        <v>1</v>
      </c>
      <c r="EM314" s="73">
        <f t="shared" si="420"/>
        <v>1</v>
      </c>
      <c r="EN314" s="73" t="str">
        <f t="shared" si="383"/>
        <v>0</v>
      </c>
      <c r="EO314" s="73" t="str">
        <f t="shared" si="384"/>
        <v/>
      </c>
      <c r="EP314" s="73" t="str">
        <f t="shared" si="385"/>
        <v/>
      </c>
      <c r="EQ314" s="53" t="str">
        <f t="shared" si="386"/>
        <v/>
      </c>
      <c r="ER314" s="47" t="s">
        <v>0</v>
      </c>
      <c r="ES314" s="19" t="str">
        <f t="shared" si="421"/>
        <v>INSERT INTO rezultat(id,stazakategorija_id,imeprezime_id,vrijeme_sec,status_id,registracija,uparivanje_id,originalstatus_id,imeprezimealias_id,klubalias_id,kategorijaalias_id) VALUES (462,42,1372,2562,1,1,1,0,Null,Null,Null);</v>
      </c>
      <c r="ET314" s="47" t="s">
        <v>0</v>
      </c>
      <c r="EU314" s="19" t="str">
        <f t="shared" si="422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4" s="47" t="s">
        <v>0</v>
      </c>
      <c r="EW314" s="180" t="str">
        <f t="shared" si="387"/>
        <v xml:space="preserve">
INSERT INTO rezultat(id,stazakategorija_id,imeprezime_id,vrijeme_sec,status_id,registracija,uparivanje_id,originalstatus_id,imeprezimealias_id,klubalias_id,kategorijaalias_id) VALUES (462,42,1372,2562,1,1,1,0,Null,Null,Null);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4" s="47" t="s">
        <v>0</v>
      </c>
    </row>
    <row r="315" spans="1:154" x14ac:dyDescent="0.25">
      <c r="A315" t="s">
        <v>0</v>
      </c>
      <c r="B315" s="52" t="str">
        <f>IF(csv!F305="","",csv!T305)</f>
        <v>Ž45</v>
      </c>
      <c r="C315" s="31" t="s">
        <v>0</v>
      </c>
      <c r="D315" s="31" t="str">
        <f>IF(csv!F305="","",csv!F305)</f>
        <v>Neda</v>
      </c>
      <c r="E315" s="31" t="str">
        <f>IF(csv!E305="","",csv!E305)</f>
        <v>Gobec</v>
      </c>
      <c r="F315" s="31" t="s">
        <v>0</v>
      </c>
      <c r="G315" s="73" t="str">
        <f>IF(csv!M305="","",csv!M305)</f>
        <v>43:29</v>
      </c>
      <c r="H315" s="73" t="str">
        <f>IF(csv!N305="","",csv!N305)</f>
        <v>0</v>
      </c>
      <c r="I315" s="31" t="s">
        <v>0</v>
      </c>
      <c r="J315" s="31" t="str">
        <f>IF(csv!P305="","",csv!P305)</f>
        <v>Vihor</v>
      </c>
      <c r="K315" s="31" t="str">
        <f>IF(csv!Q305="","",csv!Q305)</f>
        <v>OK Vihor</v>
      </c>
      <c r="L315" s="31" t="s">
        <v>0</v>
      </c>
      <c r="M315" s="66" t="str">
        <f>IF(csv!R305="","",csv!R305)</f>
        <v>CRO</v>
      </c>
      <c r="N315" s="47" t="s">
        <v>0</v>
      </c>
      <c r="O315" s="246" t="str">
        <f t="shared" si="388"/>
        <v>ok</v>
      </c>
      <c r="P315" s="47"/>
      <c r="Q315" s="52" t="str">
        <f t="shared" si="389"/>
        <v>Ž45</v>
      </c>
      <c r="R315" s="73">
        <f>IF(Q315="","",IF(COUNTIF(Q$12:Q314,Q315)=0,R314+1,R314))</f>
        <v>20</v>
      </c>
      <c r="S315" s="73">
        <f t="shared" si="390"/>
        <v>116</v>
      </c>
      <c r="T315" s="73">
        <f t="shared" si="353"/>
        <v>25</v>
      </c>
      <c r="U315" s="66" t="str">
        <f t="shared" si="354"/>
        <v>Ž45</v>
      </c>
      <c r="V315" s="47" t="s">
        <v>0</v>
      </c>
      <c r="W315" s="222" t="str">
        <f t="shared" si="355"/>
        <v>Ž45</v>
      </c>
      <c r="X315" s="223">
        <f t="shared" si="356"/>
        <v>42</v>
      </c>
      <c r="Y315" s="47" t="s">
        <v>0</v>
      </c>
      <c r="Z315" s="52" t="str">
        <f t="shared" si="391"/>
        <v>CRO</v>
      </c>
      <c r="AA315" s="73">
        <f t="shared" si="357"/>
        <v>1</v>
      </c>
      <c r="AB315" s="31" t="str">
        <f t="shared" si="392"/>
        <v/>
      </c>
      <c r="AC315" s="66" t="str">
        <f>IF(AB315="","",MAX(AC$12:AC314)+1)</f>
        <v/>
      </c>
      <c r="AD315" s="47" t="s">
        <v>0</v>
      </c>
      <c r="AE315" s="125"/>
      <c r="AF315" s="47" t="s">
        <v>0</v>
      </c>
      <c r="AG315" s="19" t="str">
        <f t="shared" si="393"/>
        <v/>
      </c>
      <c r="AH315" s="47" t="s">
        <v>0</v>
      </c>
      <c r="AI315" s="143" t="str">
        <f t="shared" si="394"/>
        <v>CRO</v>
      </c>
      <c r="AJ315" s="47"/>
      <c r="AK315" s="52" t="str">
        <f t="shared" si="395"/>
        <v>Neda</v>
      </c>
      <c r="AL315" s="31" t="str">
        <f t="shared" si="396"/>
        <v>Gobec</v>
      </c>
      <c r="AM315" s="73">
        <f t="shared" si="397"/>
        <v>1913</v>
      </c>
      <c r="AN315" s="73" t="str">
        <f t="shared" si="398"/>
        <v/>
      </c>
      <c r="AO315" s="31" t="str">
        <f t="shared" si="358"/>
        <v>Neda</v>
      </c>
      <c r="AP315" s="66" t="str">
        <f t="shared" si="359"/>
        <v>Gobec</v>
      </c>
      <c r="AQ315" s="47" t="s">
        <v>0</v>
      </c>
      <c r="AR315" s="82" t="str">
        <f t="shared" si="399"/>
        <v/>
      </c>
      <c r="AS315" s="47" t="s">
        <v>0</v>
      </c>
      <c r="AT315" s="19" t="str">
        <f t="shared" si="400"/>
        <v/>
      </c>
      <c r="AU315" s="47" t="s">
        <v>0</v>
      </c>
      <c r="AV315" s="103"/>
      <c r="AW315" s="105"/>
      <c r="AX315" s="47" t="s">
        <v>0</v>
      </c>
      <c r="AY315" s="259" t="str">
        <f t="shared" si="423"/>
        <v/>
      </c>
      <c r="AZ315" s="47" t="s">
        <v>0</v>
      </c>
      <c r="BA315" s="52" t="str">
        <f t="shared" si="360"/>
        <v/>
      </c>
      <c r="BB315" s="73" t="str">
        <f>IF(AV315&amp;AW315="","",MAX(BB$12:BB314)+1)</f>
        <v/>
      </c>
      <c r="BC315" s="272" t="str">
        <f t="shared" si="361"/>
        <v/>
      </c>
      <c r="BD315" s="53" t="str">
        <f>IF(AND(AM315="NEMA",AN315="NEMA",OR(AV315&amp;AW315="",BC315="NEMA")),MAX(BD$12:BD314)+1,"")</f>
        <v/>
      </c>
      <c r="BE315" s="47" t="s">
        <v>0</v>
      </c>
      <c r="BF315" s="52" t="str">
        <f t="shared" si="401"/>
        <v>Neda</v>
      </c>
      <c r="BG315" s="66" t="str">
        <f t="shared" si="402"/>
        <v>Gobec</v>
      </c>
      <c r="BH315" s="47" t="s">
        <v>0</v>
      </c>
      <c r="BI315" s="52" t="str">
        <f t="shared" si="362"/>
        <v>Vihor</v>
      </c>
      <c r="BJ315" s="31" t="str">
        <f t="shared" si="363"/>
        <v>OK Vihor</v>
      </c>
      <c r="BK315" s="73" t="str">
        <f t="shared" si="364"/>
        <v/>
      </c>
      <c r="BL315" s="31" t="str" cm="1">
        <f t="array" ref="BL315">IF(BK315="",""&amp;BJ315,IF(BK315="NEMA",BJ315,INDEX(regKlub_naziv,MATCH(INDEX(regKlub_alias_klubId,BK315),regKlub_id,0))))</f>
        <v>OK Vihor</v>
      </c>
      <c r="BM315" s="31" t="str" cm="1">
        <f t="array" ref="BM315">IFERROR(""&amp;INDEX(regNatjecatelj_klub,DV315),"")</f>
        <v>OK Vihor</v>
      </c>
      <c r="BN315" s="88" t="str">
        <f t="shared" si="403"/>
        <v/>
      </c>
      <c r="BO315" s="66" t="str">
        <f t="shared" si="404"/>
        <v>OK Vihor</v>
      </c>
      <c r="BP315" s="47" t="s">
        <v>0</v>
      </c>
      <c r="BQ315" s="52" t="str">
        <f>IF(X315&lt;&gt;"NEMA","",IF(IFERROR(MATCH(W315,W$12:W314,0),0)&lt;&gt;0,"",W315))</f>
        <v/>
      </c>
      <c r="BR315" s="73" t="str">
        <f t="shared" si="405"/>
        <v/>
      </c>
      <c r="BS315" s="31" t="str">
        <f>IF(OR(BR315="",BR315&lt;&gt;"NEMA"),"",MAX(BS$12:BS314)+1)</f>
        <v/>
      </c>
      <c r="BT315" s="66" t="str">
        <f t="shared" si="406"/>
        <v/>
      </c>
      <c r="BU315" s="47" t="s">
        <v>0</v>
      </c>
      <c r="BV315" s="19" t="str">
        <f t="shared" si="407"/>
        <v/>
      </c>
      <c r="BW315" s="47" t="s">
        <v>0</v>
      </c>
      <c r="BX315" s="82" t="str">
        <f>IF(BK315&lt;&gt;"NEMA","",IF(IFERROR(MATCH(BJ315,BJ$12:BJ314,0),0)&lt;&gt;0,"",BJ315))</f>
        <v/>
      </c>
      <c r="BY315" s="47" t="s">
        <v>0</v>
      </c>
      <c r="BZ315" s="125"/>
      <c r="CA315" s="47" t="s">
        <v>0</v>
      </c>
      <c r="CB315" s="58" t="str">
        <f t="shared" si="408"/>
        <v/>
      </c>
      <c r="CC315" s="31" t="str">
        <f t="shared" si="409"/>
        <v/>
      </c>
      <c r="CD315" s="31" t="str">
        <f>IF(CC315="","",MAX(CD$12:CD314)+1)</f>
        <v/>
      </c>
      <c r="CE315" s="31" t="str">
        <f t="shared" si="365"/>
        <v/>
      </c>
      <c r="CF315" s="31" t="str">
        <f t="shared" si="410"/>
        <v/>
      </c>
      <c r="CG315" s="31" t="str">
        <f>IF(BZ315="","",MAX(CG$12:CG314)+1)</f>
        <v/>
      </c>
      <c r="CH315" s="31" t="str">
        <f t="shared" si="411"/>
        <v/>
      </c>
      <c r="CI315" s="66" t="str">
        <f t="shared" si="412"/>
        <v/>
      </c>
      <c r="CJ315" s="47" t="s">
        <v>0</v>
      </c>
      <c r="CK315" s="73" t="str">
        <f t="shared" si="366"/>
        <v/>
      </c>
      <c r="CL315" s="47"/>
      <c r="CM315" s="19" t="str">
        <f t="shared" si="413"/>
        <v/>
      </c>
      <c r="CN315" s="47" t="s">
        <v>0</v>
      </c>
      <c r="CO315" s="143" t="str">
        <f t="shared" si="414"/>
        <v>OK Vihor</v>
      </c>
      <c r="CP315" s="47" t="s">
        <v>0</v>
      </c>
      <c r="CQ315" s="58" t="str">
        <f t="shared" si="430"/>
        <v>43:29</v>
      </c>
      <c r="CR315" s="73" t="str">
        <f t="shared" si="431"/>
        <v>0</v>
      </c>
      <c r="CS315" s="229" t="str">
        <f t="shared" si="367"/>
        <v/>
      </c>
      <c r="CT315" s="230">
        <f t="shared" si="352"/>
        <v>2609</v>
      </c>
      <c r="CU315" s="163">
        <f t="shared" si="368"/>
        <v>1</v>
      </c>
      <c r="CV315" s="47" t="s">
        <v>0</v>
      </c>
      <c r="CW315" s="222" t="str">
        <f t="shared" si="415"/>
        <v xml:space="preserve">
</v>
      </c>
      <c r="CX315" s="223">
        <f t="shared" si="416"/>
        <v>6</v>
      </c>
      <c r="CY315" s="47" t="s">
        <v>0</v>
      </c>
      <c r="CZ315" s="47"/>
      <c r="DA315" s="47"/>
      <c r="DB315" s="47"/>
      <c r="DC315" s="47" t="s">
        <v>0</v>
      </c>
      <c r="DD315" s="53" t="str">
        <f t="shared" si="424"/>
        <v/>
      </c>
      <c r="DE315" t="s">
        <v>0</v>
      </c>
      <c r="DF315" s="128" t="str">
        <f t="shared" si="425"/>
        <v>Ž</v>
      </c>
      <c r="DG315" t="s">
        <v>0</v>
      </c>
      <c r="DH315" s="52" t="str">
        <f t="shared" si="426"/>
        <v/>
      </c>
      <c r="DI315" s="66" t="str">
        <f t="shared" si="427"/>
        <v/>
      </c>
      <c r="DJ315" t="s">
        <v>0</v>
      </c>
      <c r="DK315" s="19" t="str">
        <f t="shared" si="428"/>
        <v/>
      </c>
      <c r="DL315" s="47" t="s">
        <v>0</v>
      </c>
      <c r="DM315" s="19" t="str">
        <f t="shared" si="429"/>
        <v/>
      </c>
      <c r="DN315" s="47" t="s">
        <v>0</v>
      </c>
      <c r="DO315" s="52" t="str">
        <f t="shared" si="369"/>
        <v>Neda – Gobec – OK Vihor – Ž45</v>
      </c>
      <c r="DP315" s="53">
        <f t="shared" si="370"/>
        <v>679</v>
      </c>
      <c r="DQ315" s="47" t="s">
        <v>0</v>
      </c>
      <c r="DR315" s="52" t="str">
        <f t="shared" si="371"/>
        <v>Neda – Gobec – OK Vihor</v>
      </c>
      <c r="DS315" s="53">
        <f t="shared" si="372"/>
        <v>679</v>
      </c>
      <c r="DT315" s="47" t="s">
        <v>0</v>
      </c>
      <c r="DU315" s="52" t="str">
        <f t="shared" si="373"/>
        <v>Neda – Gobec</v>
      </c>
      <c r="DV315" s="53">
        <f t="shared" si="374"/>
        <v>679</v>
      </c>
      <c r="DW315" s="47" t="s">
        <v>0</v>
      </c>
      <c r="DX315" s="58">
        <f t="shared" si="417"/>
        <v>679</v>
      </c>
      <c r="DY315" s="53" cm="1">
        <f t="array" ref="DY315">IF(DX315&lt;&gt;"",INDEX(regNatjecatelj_id,DX315,0),IF(BD315&lt;&gt;"",BD315,""))</f>
        <v>1913</v>
      </c>
      <c r="DZ315" s="47" t="s">
        <v>0</v>
      </c>
      <c r="EA315" s="58" t="str">
        <f t="shared" si="375"/>
        <v>imepre</v>
      </c>
      <c r="EB315" s="73" t="str">
        <f t="shared" si="376"/>
        <v>klu</v>
      </c>
      <c r="EC315" s="73" t="str">
        <f t="shared" si="377"/>
        <v>kat</v>
      </c>
      <c r="ED315" s="73" t="str">
        <f t="shared" si="378"/>
        <v/>
      </c>
      <c r="EE315" s="66" t="str">
        <f t="shared" si="379"/>
        <v>imepre-klu-kat</v>
      </c>
      <c r="EF315" s="47" t="s">
        <v>0</v>
      </c>
      <c r="EG315" s="58">
        <f>IF(AL315="","",MAX(EG$12:EG314)+1)</f>
        <v>463</v>
      </c>
      <c r="EH315" s="73">
        <f t="shared" si="380"/>
        <v>42</v>
      </c>
      <c r="EI315" s="73">
        <f t="shared" si="418"/>
        <v>1913</v>
      </c>
      <c r="EJ315" s="73">
        <f t="shared" si="381"/>
        <v>2609</v>
      </c>
      <c r="EK315" s="73">
        <f t="shared" si="382"/>
        <v>1</v>
      </c>
      <c r="EL315" s="73">
        <f t="shared" si="419"/>
        <v>1</v>
      </c>
      <c r="EM315" s="73">
        <f t="shared" si="420"/>
        <v>1</v>
      </c>
      <c r="EN315" s="73" t="str">
        <f t="shared" si="383"/>
        <v>0</v>
      </c>
      <c r="EO315" s="73" t="str">
        <f t="shared" si="384"/>
        <v/>
      </c>
      <c r="EP315" s="73" t="str">
        <f t="shared" si="385"/>
        <v/>
      </c>
      <c r="EQ315" s="53" t="str">
        <f t="shared" si="386"/>
        <v/>
      </c>
      <c r="ER315" s="47" t="s">
        <v>0</v>
      </c>
      <c r="ES315" s="19" t="str">
        <f t="shared" si="421"/>
        <v>INSERT INTO rezultat(id,stazakategorija_id,imeprezime_id,vrijeme_sec,status_id,registracija,uparivanje_id,originalstatus_id,imeprezimealias_id,klubalias_id,kategorijaalias_id) VALUES (463,42,1913,2609,1,1,1,0,Null,Null,Null);</v>
      </c>
      <c r="ET315" s="47" t="s">
        <v>0</v>
      </c>
      <c r="EU315" s="19" t="str">
        <f t="shared" si="422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5" s="47" t="s">
        <v>0</v>
      </c>
      <c r="EW315" s="180" t="str">
        <f t="shared" si="387"/>
        <v xml:space="preserve">
INSERT INTO rezultat(id,stazakategorija_id,imeprezime_id,vrijeme_sec,status_id,registracija,uparivanje_id,originalstatus_id,imeprezimealias_id,klubalias_id,kategorijaalias_id) VALUES (463,42,1913,2609,1,1,1,0,Null,Null,Null);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5" s="47" t="s">
        <v>0</v>
      </c>
    </row>
    <row r="316" spans="1:154" x14ac:dyDescent="0.25">
      <c r="A316" t="s">
        <v>0</v>
      </c>
      <c r="B316" s="52" t="str">
        <f>IF(csv!F306="","",csv!T306)</f>
        <v>Ž45</v>
      </c>
      <c r="C316" s="31" t="s">
        <v>0</v>
      </c>
      <c r="D316" s="31" t="str">
        <f>IF(csv!F306="","",csv!F306)</f>
        <v>Srebrenka</v>
      </c>
      <c r="E316" s="31" t="str">
        <f>IF(csv!E306="","",csv!E306)</f>
        <v>Vuk</v>
      </c>
      <c r="F316" s="31" t="s">
        <v>0</v>
      </c>
      <c r="G316" s="73" t="str">
        <f>IF(csv!M306="","",csv!M306)</f>
        <v>43:37</v>
      </c>
      <c r="H316" s="73" t="str">
        <f>IF(csv!N306="","",csv!N306)</f>
        <v>0</v>
      </c>
      <c r="I316" s="31" t="s">
        <v>0</v>
      </c>
      <c r="J316" s="31" t="str">
        <f>IF(csv!P306="","",csv!P306)</f>
        <v>KAP</v>
      </c>
      <c r="K316" s="31" t="str">
        <f>IF(csv!Q306="","",csv!Q306)</f>
        <v>OK Kapela</v>
      </c>
      <c r="L316" s="31" t="s">
        <v>0</v>
      </c>
      <c r="M316" s="66" t="str">
        <f>IF(csv!R306="","",csv!R306)</f>
        <v>CRO</v>
      </c>
      <c r="N316" s="47" t="s">
        <v>0</v>
      </c>
      <c r="O316" s="246" t="str">
        <f t="shared" si="388"/>
        <v>ok</v>
      </c>
      <c r="P316" s="47"/>
      <c r="Q316" s="52" t="str">
        <f t="shared" si="389"/>
        <v>Ž45</v>
      </c>
      <c r="R316" s="73">
        <f>IF(Q316="","",IF(COUNTIF(Q$12:Q315,Q316)=0,R315+1,R315))</f>
        <v>20</v>
      </c>
      <c r="S316" s="73">
        <f t="shared" si="390"/>
        <v>116</v>
      </c>
      <c r="T316" s="73">
        <f t="shared" si="353"/>
        <v>25</v>
      </c>
      <c r="U316" s="66" t="str">
        <f t="shared" si="354"/>
        <v>Ž45</v>
      </c>
      <c r="V316" s="47" t="s">
        <v>0</v>
      </c>
      <c r="W316" s="222" t="str">
        <f t="shared" si="355"/>
        <v>Ž45</v>
      </c>
      <c r="X316" s="223">
        <f t="shared" si="356"/>
        <v>42</v>
      </c>
      <c r="Y316" s="47" t="s">
        <v>0</v>
      </c>
      <c r="Z316" s="52" t="str">
        <f t="shared" si="391"/>
        <v>CRO</v>
      </c>
      <c r="AA316" s="73">
        <f t="shared" si="357"/>
        <v>1</v>
      </c>
      <c r="AB316" s="31" t="str">
        <f t="shared" si="392"/>
        <v/>
      </c>
      <c r="AC316" s="66" t="str">
        <f>IF(AB316="","",MAX(AC$12:AC315)+1)</f>
        <v/>
      </c>
      <c r="AD316" s="47" t="s">
        <v>0</v>
      </c>
      <c r="AE316" s="125"/>
      <c r="AF316" s="47" t="s">
        <v>0</v>
      </c>
      <c r="AG316" s="19" t="str">
        <f t="shared" si="393"/>
        <v/>
      </c>
      <c r="AH316" s="47" t="s">
        <v>0</v>
      </c>
      <c r="AI316" s="143" t="str">
        <f t="shared" si="394"/>
        <v>CRO</v>
      </c>
      <c r="AJ316" s="47"/>
      <c r="AK316" s="52" t="str">
        <f t="shared" si="395"/>
        <v>Srebrenka</v>
      </c>
      <c r="AL316" s="31" t="str">
        <f t="shared" si="396"/>
        <v>Vuk</v>
      </c>
      <c r="AM316" s="73">
        <f t="shared" si="397"/>
        <v>1053</v>
      </c>
      <c r="AN316" s="73" t="str">
        <f t="shared" si="398"/>
        <v/>
      </c>
      <c r="AO316" s="31" t="str">
        <f t="shared" si="358"/>
        <v>Srebrenka</v>
      </c>
      <c r="AP316" s="66" t="str">
        <f t="shared" si="359"/>
        <v>Vuk</v>
      </c>
      <c r="AQ316" s="47" t="s">
        <v>0</v>
      </c>
      <c r="AR316" s="82" t="str">
        <f t="shared" si="399"/>
        <v/>
      </c>
      <c r="AS316" s="47" t="s">
        <v>0</v>
      </c>
      <c r="AT316" s="19" t="str">
        <f t="shared" si="400"/>
        <v/>
      </c>
      <c r="AU316" s="47" t="s">
        <v>0</v>
      </c>
      <c r="AV316" s="103"/>
      <c r="AW316" s="105"/>
      <c r="AX316" s="47" t="s">
        <v>0</v>
      </c>
      <c r="AY316" s="259" t="str">
        <f t="shared" si="423"/>
        <v/>
      </c>
      <c r="AZ316" s="47" t="s">
        <v>0</v>
      </c>
      <c r="BA316" s="52" t="str">
        <f t="shared" si="360"/>
        <v/>
      </c>
      <c r="BB316" s="73" t="str">
        <f>IF(AV316&amp;AW316="","",MAX(BB$12:BB315)+1)</f>
        <v/>
      </c>
      <c r="BC316" s="272" t="str">
        <f t="shared" si="361"/>
        <v/>
      </c>
      <c r="BD316" s="53" t="str">
        <f>IF(AND(AM316="NEMA",AN316="NEMA",OR(AV316&amp;AW316="",BC316="NEMA")),MAX(BD$12:BD315)+1,"")</f>
        <v/>
      </c>
      <c r="BE316" s="47" t="s">
        <v>0</v>
      </c>
      <c r="BF316" s="52" t="str">
        <f t="shared" si="401"/>
        <v>Srebrenka</v>
      </c>
      <c r="BG316" s="66" t="str">
        <f t="shared" si="402"/>
        <v>Vuk</v>
      </c>
      <c r="BH316" s="47" t="s">
        <v>0</v>
      </c>
      <c r="BI316" s="52" t="str">
        <f t="shared" si="362"/>
        <v>KAP</v>
      </c>
      <c r="BJ316" s="31" t="str">
        <f t="shared" si="363"/>
        <v>OK Kapela</v>
      </c>
      <c r="BK316" s="73" t="str">
        <f t="shared" si="364"/>
        <v/>
      </c>
      <c r="BL316" s="31" t="str" cm="1">
        <f t="array" ref="BL316">IF(BK316="",""&amp;BJ316,IF(BK316="NEMA",BJ316,INDEX(regKlub_naziv,MATCH(INDEX(regKlub_alias_klubId,BK316),regKlub_id,0))))</f>
        <v>OK Kapela</v>
      </c>
      <c r="BM316" s="31" t="str" cm="1">
        <f t="array" ref="BM316">IFERROR(""&amp;INDEX(regNatjecatelj_klub,DV316),"")</f>
        <v>OK Kapela</v>
      </c>
      <c r="BN316" s="88" t="str">
        <f t="shared" si="403"/>
        <v/>
      </c>
      <c r="BO316" s="66" t="str">
        <f t="shared" si="404"/>
        <v>OK Kapela</v>
      </c>
      <c r="BP316" s="47" t="s">
        <v>0</v>
      </c>
      <c r="BQ316" s="52" t="str">
        <f>IF(X316&lt;&gt;"NEMA","",IF(IFERROR(MATCH(W316,W$12:W315,0),0)&lt;&gt;0,"",W316))</f>
        <v/>
      </c>
      <c r="BR316" s="73" t="str">
        <f t="shared" si="405"/>
        <v/>
      </c>
      <c r="BS316" s="31" t="str">
        <f>IF(OR(BR316="",BR316&lt;&gt;"NEMA"),"",MAX(BS$12:BS315)+1)</f>
        <v/>
      </c>
      <c r="BT316" s="66" t="str">
        <f t="shared" si="406"/>
        <v/>
      </c>
      <c r="BU316" s="47" t="s">
        <v>0</v>
      </c>
      <c r="BV316" s="19" t="str">
        <f t="shared" si="407"/>
        <v/>
      </c>
      <c r="BW316" s="47" t="s">
        <v>0</v>
      </c>
      <c r="BX316" s="82" t="str">
        <f>IF(BK316&lt;&gt;"NEMA","",IF(IFERROR(MATCH(BJ316,BJ$12:BJ315,0),0)&lt;&gt;0,"",BJ316))</f>
        <v/>
      </c>
      <c r="BY316" s="47" t="s">
        <v>0</v>
      </c>
      <c r="BZ316" s="125"/>
      <c r="CA316" s="47" t="s">
        <v>0</v>
      </c>
      <c r="CB316" s="58" t="str">
        <f t="shared" si="408"/>
        <v/>
      </c>
      <c r="CC316" s="31" t="str">
        <f t="shared" si="409"/>
        <v/>
      </c>
      <c r="CD316" s="31" t="str">
        <f>IF(CC316="","",MAX(CD$12:CD315)+1)</f>
        <v/>
      </c>
      <c r="CE316" s="31" t="str">
        <f t="shared" si="365"/>
        <v/>
      </c>
      <c r="CF316" s="31" t="str">
        <f t="shared" si="410"/>
        <v/>
      </c>
      <c r="CG316" s="31" t="str">
        <f>IF(BZ316="","",MAX(CG$12:CG315)+1)</f>
        <v/>
      </c>
      <c r="CH316" s="31" t="str">
        <f t="shared" si="411"/>
        <v/>
      </c>
      <c r="CI316" s="66" t="str">
        <f t="shared" si="412"/>
        <v/>
      </c>
      <c r="CJ316" s="47" t="s">
        <v>0</v>
      </c>
      <c r="CK316" s="73" t="str">
        <f t="shared" si="366"/>
        <v/>
      </c>
      <c r="CL316" s="47"/>
      <c r="CM316" s="19" t="str">
        <f t="shared" si="413"/>
        <v/>
      </c>
      <c r="CN316" s="47" t="s">
        <v>0</v>
      </c>
      <c r="CO316" s="143" t="str">
        <f t="shared" si="414"/>
        <v>OK Kapela</v>
      </c>
      <c r="CP316" s="47" t="s">
        <v>0</v>
      </c>
      <c r="CQ316" s="58" t="str">
        <f t="shared" si="430"/>
        <v>43:37</v>
      </c>
      <c r="CR316" s="73" t="str">
        <f t="shared" si="431"/>
        <v>0</v>
      </c>
      <c r="CS316" s="229" t="str">
        <f t="shared" si="367"/>
        <v/>
      </c>
      <c r="CT316" s="230">
        <f t="shared" si="352"/>
        <v>2617</v>
      </c>
      <c r="CU316" s="163">
        <f t="shared" si="368"/>
        <v>1</v>
      </c>
      <c r="CV316" s="47" t="s">
        <v>0</v>
      </c>
      <c r="CW316" s="222" t="str">
        <f t="shared" si="415"/>
        <v xml:space="preserve">
</v>
      </c>
      <c r="CX316" s="223">
        <f t="shared" si="416"/>
        <v>6</v>
      </c>
      <c r="CY316" s="47" t="s">
        <v>0</v>
      </c>
      <c r="CZ316" s="47"/>
      <c r="DA316" s="47"/>
      <c r="DB316" s="47"/>
      <c r="DC316" s="47" t="s">
        <v>0</v>
      </c>
      <c r="DD316" s="53" t="str">
        <f t="shared" si="424"/>
        <v/>
      </c>
      <c r="DE316" t="s">
        <v>0</v>
      </c>
      <c r="DF316" s="128" t="str">
        <f t="shared" si="425"/>
        <v>Ž</v>
      </c>
      <c r="DG316" t="s">
        <v>0</v>
      </c>
      <c r="DH316" s="52" t="str">
        <f t="shared" si="426"/>
        <v/>
      </c>
      <c r="DI316" s="66" t="str">
        <f t="shared" si="427"/>
        <v/>
      </c>
      <c r="DJ316" t="s">
        <v>0</v>
      </c>
      <c r="DK316" s="19" t="str">
        <f t="shared" si="428"/>
        <v/>
      </c>
      <c r="DL316" s="47" t="s">
        <v>0</v>
      </c>
      <c r="DM316" s="19" t="str">
        <f t="shared" si="429"/>
        <v/>
      </c>
      <c r="DN316" s="47" t="s">
        <v>0</v>
      </c>
      <c r="DO316" s="52" t="str">
        <f t="shared" si="369"/>
        <v>Srebrenka – Vuk – OK Kapela – Ž45</v>
      </c>
      <c r="DP316" s="53">
        <f t="shared" si="370"/>
        <v>329</v>
      </c>
      <c r="DQ316" s="47" t="s">
        <v>0</v>
      </c>
      <c r="DR316" s="52" t="str">
        <f t="shared" si="371"/>
        <v>Srebrenka – Vuk – OK Kapela</v>
      </c>
      <c r="DS316" s="53">
        <f t="shared" si="372"/>
        <v>329</v>
      </c>
      <c r="DT316" s="47" t="s">
        <v>0</v>
      </c>
      <c r="DU316" s="52" t="str">
        <f t="shared" si="373"/>
        <v>Srebrenka – Vuk</v>
      </c>
      <c r="DV316" s="53">
        <f t="shared" si="374"/>
        <v>329</v>
      </c>
      <c r="DW316" s="47" t="s">
        <v>0</v>
      </c>
      <c r="DX316" s="58">
        <f t="shared" si="417"/>
        <v>329</v>
      </c>
      <c r="DY316" s="53" cm="1">
        <f t="array" ref="DY316">IF(DX316&lt;&gt;"",INDEX(regNatjecatelj_id,DX316,0),IF(BD316&lt;&gt;"",BD316,""))</f>
        <v>1053</v>
      </c>
      <c r="DZ316" s="47" t="s">
        <v>0</v>
      </c>
      <c r="EA316" s="58" t="str">
        <f t="shared" si="375"/>
        <v>imepre</v>
      </c>
      <c r="EB316" s="73" t="str">
        <f t="shared" si="376"/>
        <v>klu</v>
      </c>
      <c r="EC316" s="73" t="str">
        <f t="shared" si="377"/>
        <v>kat</v>
      </c>
      <c r="ED316" s="73" t="str">
        <f t="shared" si="378"/>
        <v/>
      </c>
      <c r="EE316" s="66" t="str">
        <f t="shared" si="379"/>
        <v>imepre-klu-kat</v>
      </c>
      <c r="EF316" s="47" t="s">
        <v>0</v>
      </c>
      <c r="EG316" s="58">
        <f>IF(AL316="","",MAX(EG$12:EG315)+1)</f>
        <v>464</v>
      </c>
      <c r="EH316" s="73">
        <f t="shared" si="380"/>
        <v>42</v>
      </c>
      <c r="EI316" s="73">
        <f t="shared" si="418"/>
        <v>1053</v>
      </c>
      <c r="EJ316" s="73">
        <f t="shared" si="381"/>
        <v>2617</v>
      </c>
      <c r="EK316" s="73">
        <f t="shared" si="382"/>
        <v>1</v>
      </c>
      <c r="EL316" s="73">
        <f t="shared" si="419"/>
        <v>1</v>
      </c>
      <c r="EM316" s="73">
        <f t="shared" si="420"/>
        <v>1</v>
      </c>
      <c r="EN316" s="73" t="str">
        <f t="shared" si="383"/>
        <v>0</v>
      </c>
      <c r="EO316" s="73" t="str">
        <f t="shared" si="384"/>
        <v/>
      </c>
      <c r="EP316" s="73" t="str">
        <f t="shared" si="385"/>
        <v/>
      </c>
      <c r="EQ316" s="53" t="str">
        <f t="shared" si="386"/>
        <v/>
      </c>
      <c r="ER316" s="47" t="s">
        <v>0</v>
      </c>
      <c r="ES316" s="19" t="str">
        <f t="shared" si="421"/>
        <v>INSERT INTO rezultat(id,stazakategorija_id,imeprezime_id,vrijeme_sec,status_id,registracija,uparivanje_id,originalstatus_id,imeprezimealias_id,klubalias_id,kategorijaalias_id) VALUES (464,42,1053,2617,1,1,1,0,Null,Null,Null);</v>
      </c>
      <c r="ET316" s="47" t="s">
        <v>0</v>
      </c>
      <c r="EU316" s="19" t="str">
        <f t="shared" si="422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6" s="47" t="s">
        <v>0</v>
      </c>
      <c r="EW316" s="180" t="str">
        <f t="shared" si="387"/>
        <v xml:space="preserve">
INSERT INTO rezultat(id,stazakategorija_id,imeprezime_id,vrijeme_sec,status_id,registracija,uparivanje_id,originalstatus_id,imeprezimealias_id,klubalias_id,kategorijaalias_id) VALUES (464,42,1053,2617,1,1,1,0,Null,Null,Null);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6" s="47" t="s">
        <v>0</v>
      </c>
    </row>
    <row r="317" spans="1:154" x14ac:dyDescent="0.25">
      <c r="A317" t="s">
        <v>0</v>
      </c>
      <c r="B317" s="52" t="str">
        <f>IF(csv!F307="","",csv!T307)</f>
        <v>Ž45</v>
      </c>
      <c r="C317" s="31" t="s">
        <v>0</v>
      </c>
      <c r="D317" s="31" t="str">
        <f>IF(csv!F307="","",csv!F307)</f>
        <v>Sandra</v>
      </c>
      <c r="E317" s="31" t="str">
        <f>IF(csv!E307="","",csv!E307)</f>
        <v>Perica Cvjetko</v>
      </c>
      <c r="F317" s="31" t="s">
        <v>0</v>
      </c>
      <c r="G317" s="73" t="str">
        <f>IF(csv!M307="","",csv!M307)</f>
        <v>45:24</v>
      </c>
      <c r="H317" s="73" t="str">
        <f>IF(csv!N307="","",csv!N307)</f>
        <v>0</v>
      </c>
      <c r="I317" s="31" t="s">
        <v>0</v>
      </c>
      <c r="J317" s="31" t="str">
        <f>IF(csv!P307="","",csv!P307)</f>
        <v>JAP</v>
      </c>
      <c r="K317" s="31" t="str">
        <f>IF(csv!Q307="","",csv!Q307)</f>
        <v>OK Japetic</v>
      </c>
      <c r="L317" s="31" t="s">
        <v>0</v>
      </c>
      <c r="M317" s="66" t="str">
        <f>IF(csv!R307="","",csv!R307)</f>
        <v>CRO</v>
      </c>
      <c r="N317" s="47" t="s">
        <v>0</v>
      </c>
      <c r="O317" s="246" t="str">
        <f t="shared" si="388"/>
        <v>ok</v>
      </c>
      <c r="P317" s="47"/>
      <c r="Q317" s="52" t="str">
        <f t="shared" si="389"/>
        <v>Ž45</v>
      </c>
      <c r="R317" s="73">
        <f>IF(Q317="","",IF(COUNTIF(Q$12:Q316,Q317)=0,R316+1,R316))</f>
        <v>20</v>
      </c>
      <c r="S317" s="73">
        <f t="shared" si="390"/>
        <v>116</v>
      </c>
      <c r="T317" s="73">
        <f t="shared" si="353"/>
        <v>25</v>
      </c>
      <c r="U317" s="66" t="str">
        <f t="shared" si="354"/>
        <v>Ž45</v>
      </c>
      <c r="V317" s="47" t="s">
        <v>0</v>
      </c>
      <c r="W317" s="222" t="str">
        <f t="shared" si="355"/>
        <v>Ž45</v>
      </c>
      <c r="X317" s="223">
        <f t="shared" si="356"/>
        <v>42</v>
      </c>
      <c r="Y317" s="47" t="s">
        <v>0</v>
      </c>
      <c r="Z317" s="52" t="str">
        <f t="shared" si="391"/>
        <v>CRO</v>
      </c>
      <c r="AA317" s="73">
        <f t="shared" si="357"/>
        <v>1</v>
      </c>
      <c r="AB317" s="31" t="str">
        <f t="shared" si="392"/>
        <v/>
      </c>
      <c r="AC317" s="66" t="str">
        <f>IF(AB317="","",MAX(AC$12:AC316)+1)</f>
        <v/>
      </c>
      <c r="AD317" s="47" t="s">
        <v>0</v>
      </c>
      <c r="AE317" s="125"/>
      <c r="AF317" s="47" t="s">
        <v>0</v>
      </c>
      <c r="AG317" s="19" t="str">
        <f t="shared" si="393"/>
        <v/>
      </c>
      <c r="AH317" s="47" t="s">
        <v>0</v>
      </c>
      <c r="AI317" s="143" t="str">
        <f t="shared" si="394"/>
        <v>CRO</v>
      </c>
      <c r="AJ317" s="47"/>
      <c r="AK317" s="52" t="str">
        <f t="shared" si="395"/>
        <v>Sandra</v>
      </c>
      <c r="AL317" s="31" t="str">
        <f t="shared" si="396"/>
        <v>Perica Cvjetko</v>
      </c>
      <c r="AM317" s="73">
        <f t="shared" si="397"/>
        <v>1860</v>
      </c>
      <c r="AN317" s="73" t="str">
        <f t="shared" si="398"/>
        <v/>
      </c>
      <c r="AO317" s="31" t="str">
        <f t="shared" si="358"/>
        <v>Sandra</v>
      </c>
      <c r="AP317" s="66" t="str">
        <f t="shared" si="359"/>
        <v>Perica Cvjetko</v>
      </c>
      <c r="AQ317" s="47" t="s">
        <v>0</v>
      </c>
      <c r="AR317" s="82" t="str">
        <f t="shared" si="399"/>
        <v/>
      </c>
      <c r="AS317" s="47" t="s">
        <v>0</v>
      </c>
      <c r="AT317" s="19" t="str">
        <f t="shared" si="400"/>
        <v/>
      </c>
      <c r="AU317" s="47" t="s">
        <v>0</v>
      </c>
      <c r="AV317" s="103"/>
      <c r="AW317" s="105"/>
      <c r="AX317" s="47" t="s">
        <v>0</v>
      </c>
      <c r="AY317" s="259" t="str">
        <f t="shared" si="423"/>
        <v/>
      </c>
      <c r="AZ317" s="47" t="s">
        <v>0</v>
      </c>
      <c r="BA317" s="52" t="str">
        <f t="shared" si="360"/>
        <v/>
      </c>
      <c r="BB317" s="73" t="str">
        <f>IF(AV317&amp;AW317="","",MAX(BB$12:BB316)+1)</f>
        <v/>
      </c>
      <c r="BC317" s="272" t="str">
        <f t="shared" si="361"/>
        <v/>
      </c>
      <c r="BD317" s="53" t="str">
        <f>IF(AND(AM317="NEMA",AN317="NEMA",OR(AV317&amp;AW317="",BC317="NEMA")),MAX(BD$12:BD316)+1,"")</f>
        <v/>
      </c>
      <c r="BE317" s="47" t="s">
        <v>0</v>
      </c>
      <c r="BF317" s="52" t="str">
        <f t="shared" si="401"/>
        <v>Sandra</v>
      </c>
      <c r="BG317" s="66" t="str">
        <f t="shared" si="402"/>
        <v>Perica Cvjetko</v>
      </c>
      <c r="BH317" s="47" t="s">
        <v>0</v>
      </c>
      <c r="BI317" s="52" t="str">
        <f t="shared" si="362"/>
        <v>JAP</v>
      </c>
      <c r="BJ317" s="31" t="str">
        <f t="shared" si="363"/>
        <v>OK Japetic</v>
      </c>
      <c r="BK317" s="73">
        <f t="shared" si="364"/>
        <v>1</v>
      </c>
      <c r="BL317" s="31" t="str" cm="1">
        <f t="array" ref="BL317">IF(BK317="",""&amp;BJ317,IF(BK317="NEMA",BJ317,INDEX(regKlub_naziv,MATCH(INDEX(regKlub_alias_klubId,BK317),regKlub_id,0))))</f>
        <v>OK Japetić</v>
      </c>
      <c r="BM317" s="31" t="str" cm="1">
        <f t="array" ref="BM317">IFERROR(""&amp;INDEX(regNatjecatelj_klub,DV317),"")</f>
        <v>OK Japetić</v>
      </c>
      <c r="BN317" s="88" t="str">
        <f t="shared" si="403"/>
        <v/>
      </c>
      <c r="BO317" s="66" t="str">
        <f t="shared" si="404"/>
        <v>OK Japetić</v>
      </c>
      <c r="BP317" s="47" t="s">
        <v>0</v>
      </c>
      <c r="BQ317" s="52" t="str">
        <f>IF(X317&lt;&gt;"NEMA","",IF(IFERROR(MATCH(W317,W$12:W316,0),0)&lt;&gt;0,"",W317))</f>
        <v/>
      </c>
      <c r="BR317" s="73" t="str">
        <f t="shared" si="405"/>
        <v/>
      </c>
      <c r="BS317" s="31" t="str">
        <f>IF(OR(BR317="",BR317&lt;&gt;"NEMA"),"",MAX(BS$12:BS316)+1)</f>
        <v/>
      </c>
      <c r="BT317" s="66" t="str">
        <f t="shared" si="406"/>
        <v/>
      </c>
      <c r="BU317" s="47" t="s">
        <v>0</v>
      </c>
      <c r="BV317" s="19" t="str">
        <f t="shared" si="407"/>
        <v/>
      </c>
      <c r="BW317" s="47" t="s">
        <v>0</v>
      </c>
      <c r="BX317" s="82" t="str">
        <f>IF(BK317&lt;&gt;"NEMA","",IF(IFERROR(MATCH(BJ317,BJ$12:BJ316,0),0)&lt;&gt;0,"",BJ317))</f>
        <v/>
      </c>
      <c r="BY317" s="47" t="s">
        <v>0</v>
      </c>
      <c r="BZ317" s="125"/>
      <c r="CA317" s="47" t="s">
        <v>0</v>
      </c>
      <c r="CB317" s="58" t="str">
        <f t="shared" si="408"/>
        <v/>
      </c>
      <c r="CC317" s="31" t="str">
        <f t="shared" si="409"/>
        <v/>
      </c>
      <c r="CD317" s="31" t="str">
        <f>IF(CC317="","",MAX(CD$12:CD316)+1)</f>
        <v/>
      </c>
      <c r="CE317" s="31" t="str">
        <f t="shared" si="365"/>
        <v/>
      </c>
      <c r="CF317" s="31" t="str">
        <f t="shared" si="410"/>
        <v/>
      </c>
      <c r="CG317" s="31" t="str">
        <f>IF(BZ317="","",MAX(CG$12:CG316)+1)</f>
        <v/>
      </c>
      <c r="CH317" s="31" t="str">
        <f t="shared" si="411"/>
        <v/>
      </c>
      <c r="CI317" s="66" t="str">
        <f t="shared" si="412"/>
        <v/>
      </c>
      <c r="CJ317" s="47" t="s">
        <v>0</v>
      </c>
      <c r="CK317" s="73" t="str">
        <f t="shared" si="366"/>
        <v/>
      </c>
      <c r="CL317" s="47"/>
      <c r="CM317" s="19" t="str">
        <f t="shared" si="413"/>
        <v/>
      </c>
      <c r="CN317" s="47" t="s">
        <v>0</v>
      </c>
      <c r="CO317" s="143" t="str">
        <f t="shared" si="414"/>
        <v>OK Japetić</v>
      </c>
      <c r="CP317" s="47" t="s">
        <v>0</v>
      </c>
      <c r="CQ317" s="58" t="str">
        <f t="shared" si="430"/>
        <v>45:24</v>
      </c>
      <c r="CR317" s="73" t="str">
        <f t="shared" si="431"/>
        <v>0</v>
      </c>
      <c r="CS317" s="229" t="str">
        <f t="shared" si="367"/>
        <v/>
      </c>
      <c r="CT317" s="230">
        <f t="shared" ref="CT317:CT380" si="432">IF(CQ317="","",VALUE(LEFT(CQ317,SEARCH(":",CQ317)-1))*60+VALUE(RIGHT(CQ317,2)))</f>
        <v>2724</v>
      </c>
      <c r="CU317" s="163">
        <f t="shared" si="368"/>
        <v>1</v>
      </c>
      <c r="CV317" s="47" t="s">
        <v>0</v>
      </c>
      <c r="CW317" s="222" t="str">
        <f t="shared" si="415"/>
        <v xml:space="preserve">
</v>
      </c>
      <c r="CX317" s="223">
        <f t="shared" si="416"/>
        <v>6</v>
      </c>
      <c r="CY317" s="47" t="s">
        <v>0</v>
      </c>
      <c r="CZ317" s="47"/>
      <c r="DA317" s="47"/>
      <c r="DB317" s="47"/>
      <c r="DC317" s="47" t="s">
        <v>0</v>
      </c>
      <c r="DD317" s="53" t="str">
        <f t="shared" si="424"/>
        <v/>
      </c>
      <c r="DE317" t="s">
        <v>0</v>
      </c>
      <c r="DF317" s="128" t="str">
        <f t="shared" si="425"/>
        <v>Ž</v>
      </c>
      <c r="DG317" t="s">
        <v>0</v>
      </c>
      <c r="DH317" s="52" t="str">
        <f t="shared" si="426"/>
        <v/>
      </c>
      <c r="DI317" s="66" t="str">
        <f t="shared" si="427"/>
        <v/>
      </c>
      <c r="DJ317" t="s">
        <v>0</v>
      </c>
      <c r="DK317" s="19" t="str">
        <f t="shared" si="428"/>
        <v/>
      </c>
      <c r="DL317" s="47" t="s">
        <v>0</v>
      </c>
      <c r="DM317" s="19" t="str">
        <f t="shared" si="429"/>
        <v/>
      </c>
      <c r="DN317" s="47" t="s">
        <v>0</v>
      </c>
      <c r="DO317" s="52" t="str">
        <f t="shared" si="369"/>
        <v>Sandra – Perica Cvjetko – OK Japetić – Ž45</v>
      </c>
      <c r="DP317" s="53">
        <f t="shared" si="370"/>
        <v>126</v>
      </c>
      <c r="DQ317" s="47" t="s">
        <v>0</v>
      </c>
      <c r="DR317" s="52" t="str">
        <f t="shared" si="371"/>
        <v>Sandra – Perica Cvjetko – OK Japetić</v>
      </c>
      <c r="DS317" s="53">
        <f t="shared" si="372"/>
        <v>126</v>
      </c>
      <c r="DT317" s="47" t="s">
        <v>0</v>
      </c>
      <c r="DU317" s="52" t="str">
        <f t="shared" si="373"/>
        <v>Sandra – Perica Cvjetko</v>
      </c>
      <c r="DV317" s="53">
        <f t="shared" si="374"/>
        <v>126</v>
      </c>
      <c r="DW317" s="47" t="s">
        <v>0</v>
      </c>
      <c r="DX317" s="58">
        <f t="shared" si="417"/>
        <v>126</v>
      </c>
      <c r="DY317" s="53" cm="1">
        <f t="array" ref="DY317">IF(DX317&lt;&gt;"",INDEX(regNatjecatelj_id,DX317,0),IF(BD317&lt;&gt;"",BD317,""))</f>
        <v>1860</v>
      </c>
      <c r="DZ317" s="47" t="s">
        <v>0</v>
      </c>
      <c r="EA317" s="58" t="str">
        <f t="shared" si="375"/>
        <v>imepre</v>
      </c>
      <c r="EB317" s="73" t="str">
        <f t="shared" si="376"/>
        <v>klu(ali)</v>
      </c>
      <c r="EC317" s="73" t="str">
        <f t="shared" si="377"/>
        <v>kat</v>
      </c>
      <c r="ED317" s="73" t="str">
        <f t="shared" si="378"/>
        <v/>
      </c>
      <c r="EE317" s="66" t="str">
        <f t="shared" si="379"/>
        <v>imepre-klu(ali)-kat</v>
      </c>
      <c r="EF317" s="47" t="s">
        <v>0</v>
      </c>
      <c r="EG317" s="58">
        <f>IF(AL317="","",MAX(EG$12:EG316)+1)</f>
        <v>465</v>
      </c>
      <c r="EH317" s="73">
        <f t="shared" si="380"/>
        <v>42</v>
      </c>
      <c r="EI317" s="73">
        <f t="shared" si="418"/>
        <v>1860</v>
      </c>
      <c r="EJ317" s="73">
        <f t="shared" si="381"/>
        <v>2724</v>
      </c>
      <c r="EK317" s="73">
        <f t="shared" si="382"/>
        <v>1</v>
      </c>
      <c r="EL317" s="73">
        <f t="shared" si="419"/>
        <v>1</v>
      </c>
      <c r="EM317" s="73">
        <f t="shared" si="420"/>
        <v>3</v>
      </c>
      <c r="EN317" s="73" t="str">
        <f t="shared" si="383"/>
        <v>0</v>
      </c>
      <c r="EO317" s="73" t="str">
        <f t="shared" si="384"/>
        <v/>
      </c>
      <c r="EP317" s="73">
        <f t="shared" si="385"/>
        <v>1</v>
      </c>
      <c r="EQ317" s="53" t="str">
        <f t="shared" si="386"/>
        <v/>
      </c>
      <c r="ER317" s="47" t="s">
        <v>0</v>
      </c>
      <c r="ES317" s="19" t="str">
        <f t="shared" si="421"/>
        <v>INSERT INTO rezultat(id,stazakategorija_id,imeprezime_id,vrijeme_sec,status_id,registracija,uparivanje_id,originalstatus_id,imeprezimealias_id,klubalias_id,kategorijaalias_id) VALUES (465,42,1860,2724,1,1,3,0,Null,1,Null);</v>
      </c>
      <c r="ET317" s="47" t="s">
        <v>0</v>
      </c>
      <c r="EU317" s="19" t="str">
        <f t="shared" si="422"/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7" s="47" t="s">
        <v>0</v>
      </c>
      <c r="EW317" s="180" t="str">
        <f t="shared" si="387"/>
        <v xml:space="preserve">
INSERT INTO rezultat(id,stazakategorija_id,imeprezime_id,vrijeme_sec,status_id,registracija,uparivanje_id,originalstatus_id,imeprezimealias_id,klubalias_id,kategorijaalias_id) VALUES (465,42,1860,2724,1,1,3,0,Null,1,Null);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7" s="47" t="s">
        <v>0</v>
      </c>
    </row>
    <row r="318" spans="1:154" x14ac:dyDescent="0.25">
      <c r="A318" t="s">
        <v>0</v>
      </c>
      <c r="B318" s="52" t="str">
        <f>IF(csv!F308="","",csv!T308)</f>
        <v>Ž45</v>
      </c>
      <c r="C318" s="31" t="s">
        <v>0</v>
      </c>
      <c r="D318" s="31" t="str">
        <f>IF(csv!F308="","",csv!F308)</f>
        <v>Ivana</v>
      </c>
      <c r="E318" s="31" t="str">
        <f>IF(csv!E308="","",csv!E308)</f>
        <v>Kuzmanić</v>
      </c>
      <c r="F318" s="31" t="s">
        <v>0</v>
      </c>
      <c r="G318" s="73" t="str">
        <f>IF(csv!M308="","",csv!M308)</f>
        <v>46:41</v>
      </c>
      <c r="H318" s="73" t="str">
        <f>IF(csv!N308="","",csv!N308)</f>
        <v>0</v>
      </c>
      <c r="I318" s="31" t="s">
        <v>0</v>
      </c>
      <c r="J318" s="31" t="str">
        <f>IF(csv!P308="","",csv!P308)</f>
        <v>JAP</v>
      </c>
      <c r="K318" s="31" t="str">
        <f>IF(csv!Q308="","",csv!Q308)</f>
        <v>OK Japetic</v>
      </c>
      <c r="L318" s="31" t="s">
        <v>0</v>
      </c>
      <c r="M318" s="66" t="str">
        <f>IF(csv!R308="","",csv!R308)</f>
        <v>CRO</v>
      </c>
      <c r="N318" s="47" t="s">
        <v>0</v>
      </c>
      <c r="O318" s="246" t="str">
        <f t="shared" si="388"/>
        <v>ok</v>
      </c>
      <c r="P318" s="47"/>
      <c r="Q318" s="52" t="str">
        <f t="shared" si="389"/>
        <v>Ž45</v>
      </c>
      <c r="R318" s="73">
        <f>IF(Q318="","",IF(COUNTIF(Q$12:Q317,Q318)=0,R317+1,R317))</f>
        <v>20</v>
      </c>
      <c r="S318" s="73">
        <f t="shared" si="390"/>
        <v>116</v>
      </c>
      <c r="T318" s="73">
        <f t="shared" si="353"/>
        <v>25</v>
      </c>
      <c r="U318" s="66" t="str">
        <f t="shared" si="354"/>
        <v>Ž45</v>
      </c>
      <c r="V318" s="47" t="s">
        <v>0</v>
      </c>
      <c r="W318" s="222" t="str">
        <f t="shared" si="355"/>
        <v>Ž45</v>
      </c>
      <c r="X318" s="223">
        <f t="shared" si="356"/>
        <v>42</v>
      </c>
      <c r="Y318" s="47" t="s">
        <v>0</v>
      </c>
      <c r="Z318" s="52" t="str">
        <f t="shared" si="391"/>
        <v>CRO</v>
      </c>
      <c r="AA318" s="73">
        <f t="shared" si="357"/>
        <v>1</v>
      </c>
      <c r="AB318" s="31" t="str">
        <f t="shared" si="392"/>
        <v/>
      </c>
      <c r="AC318" s="66" t="str">
        <f>IF(AB318="","",MAX(AC$12:AC317)+1)</f>
        <v/>
      </c>
      <c r="AD318" s="47" t="s">
        <v>0</v>
      </c>
      <c r="AE318" s="125"/>
      <c r="AF318" s="47" t="s">
        <v>0</v>
      </c>
      <c r="AG318" s="19" t="str">
        <f t="shared" si="393"/>
        <v/>
      </c>
      <c r="AH318" s="47" t="s">
        <v>0</v>
      </c>
      <c r="AI318" s="143" t="str">
        <f t="shared" si="394"/>
        <v>CRO</v>
      </c>
      <c r="AJ318" s="47"/>
      <c r="AK318" s="52" t="str">
        <f t="shared" si="395"/>
        <v>Ivana</v>
      </c>
      <c r="AL318" s="31" t="str">
        <f t="shared" si="396"/>
        <v>Kuzmanić</v>
      </c>
      <c r="AM318" s="73">
        <f t="shared" si="397"/>
        <v>1478</v>
      </c>
      <c r="AN318" s="73" t="str">
        <f t="shared" si="398"/>
        <v/>
      </c>
      <c r="AO318" s="31" t="str">
        <f t="shared" si="358"/>
        <v>Ivana</v>
      </c>
      <c r="AP318" s="66" t="str">
        <f t="shared" si="359"/>
        <v>Kuzmanić</v>
      </c>
      <c r="AQ318" s="47" t="s">
        <v>0</v>
      </c>
      <c r="AR318" s="82" t="str">
        <f t="shared" si="399"/>
        <v/>
      </c>
      <c r="AS318" s="47" t="s">
        <v>0</v>
      </c>
      <c r="AT318" s="19" t="str">
        <f t="shared" si="400"/>
        <v/>
      </c>
      <c r="AU318" s="47" t="s">
        <v>0</v>
      </c>
      <c r="AV318" s="103"/>
      <c r="AW318" s="105"/>
      <c r="AX318" s="47" t="s">
        <v>0</v>
      </c>
      <c r="AY318" s="259" t="str">
        <f t="shared" si="423"/>
        <v/>
      </c>
      <c r="AZ318" s="47" t="s">
        <v>0</v>
      </c>
      <c r="BA318" s="52" t="str">
        <f t="shared" si="360"/>
        <v/>
      </c>
      <c r="BB318" s="73" t="str">
        <f>IF(AV318&amp;AW318="","",MAX(BB$12:BB317)+1)</f>
        <v/>
      </c>
      <c r="BC318" s="272" t="str">
        <f t="shared" si="361"/>
        <v/>
      </c>
      <c r="BD318" s="53" t="str">
        <f>IF(AND(AM318="NEMA",AN318="NEMA",OR(AV318&amp;AW318="",BC318="NEMA")),MAX(BD$12:BD317)+1,"")</f>
        <v/>
      </c>
      <c r="BE318" s="47" t="s">
        <v>0</v>
      </c>
      <c r="BF318" s="52" t="str">
        <f t="shared" si="401"/>
        <v>Ivana</v>
      </c>
      <c r="BG318" s="66" t="str">
        <f t="shared" si="402"/>
        <v>Kuzmanić</v>
      </c>
      <c r="BH318" s="47" t="s">
        <v>0</v>
      </c>
      <c r="BI318" s="52" t="str">
        <f t="shared" si="362"/>
        <v>JAP</v>
      </c>
      <c r="BJ318" s="31" t="str">
        <f t="shared" si="363"/>
        <v>OK Japetic</v>
      </c>
      <c r="BK318" s="73">
        <f t="shared" si="364"/>
        <v>1</v>
      </c>
      <c r="BL318" s="31" t="str" cm="1">
        <f t="array" ref="BL318">IF(BK318="",""&amp;BJ318,IF(BK318="NEMA",BJ318,INDEX(regKlub_naziv,MATCH(INDEX(regKlub_alias_klubId,BK318),regKlub_id,0))))</f>
        <v>OK Japetić</v>
      </c>
      <c r="BM318" s="31" t="str" cm="1">
        <f t="array" ref="BM318">IFERROR(""&amp;INDEX(regNatjecatelj_klub,DV318),"")</f>
        <v>OK Japetić</v>
      </c>
      <c r="BN318" s="88" t="str">
        <f t="shared" si="403"/>
        <v/>
      </c>
      <c r="BO318" s="66" t="str">
        <f t="shared" si="404"/>
        <v>OK Japetić</v>
      </c>
      <c r="BP318" s="47" t="s">
        <v>0</v>
      </c>
      <c r="BQ318" s="52" t="str">
        <f>IF(X318&lt;&gt;"NEMA","",IF(IFERROR(MATCH(W318,W$12:W317,0),0)&lt;&gt;0,"",W318))</f>
        <v/>
      </c>
      <c r="BR318" s="73" t="str">
        <f t="shared" si="405"/>
        <v/>
      </c>
      <c r="BS318" s="31" t="str">
        <f>IF(OR(BR318="",BR318&lt;&gt;"NEMA"),"",MAX(BS$12:BS317)+1)</f>
        <v/>
      </c>
      <c r="BT318" s="66" t="str">
        <f t="shared" si="406"/>
        <v/>
      </c>
      <c r="BU318" s="47" t="s">
        <v>0</v>
      </c>
      <c r="BV318" s="19" t="str">
        <f t="shared" si="407"/>
        <v/>
      </c>
      <c r="BW318" s="47" t="s">
        <v>0</v>
      </c>
      <c r="BX318" s="82" t="str">
        <f>IF(BK318&lt;&gt;"NEMA","",IF(IFERROR(MATCH(BJ318,BJ$12:BJ317,0),0)&lt;&gt;0,"",BJ318))</f>
        <v/>
      </c>
      <c r="BY318" s="47" t="s">
        <v>0</v>
      </c>
      <c r="BZ318" s="125"/>
      <c r="CA318" s="47" t="s">
        <v>0</v>
      </c>
      <c r="CB318" s="58" t="str">
        <f t="shared" si="408"/>
        <v/>
      </c>
      <c r="CC318" s="31" t="str">
        <f t="shared" si="409"/>
        <v/>
      </c>
      <c r="CD318" s="31" t="str">
        <f>IF(CC318="","",MAX(CD$12:CD317)+1)</f>
        <v/>
      </c>
      <c r="CE318" s="31" t="str">
        <f t="shared" si="365"/>
        <v/>
      </c>
      <c r="CF318" s="31" t="str">
        <f t="shared" si="410"/>
        <v/>
      </c>
      <c r="CG318" s="31" t="str">
        <f>IF(BZ318="","",MAX(CG$12:CG317)+1)</f>
        <v/>
      </c>
      <c r="CH318" s="31" t="str">
        <f t="shared" si="411"/>
        <v/>
      </c>
      <c r="CI318" s="66" t="str">
        <f t="shared" si="412"/>
        <v/>
      </c>
      <c r="CJ318" s="47" t="s">
        <v>0</v>
      </c>
      <c r="CK318" s="73" t="str">
        <f t="shared" si="366"/>
        <v/>
      </c>
      <c r="CL318" s="47"/>
      <c r="CM318" s="19" t="str">
        <f t="shared" si="413"/>
        <v/>
      </c>
      <c r="CN318" s="47" t="s">
        <v>0</v>
      </c>
      <c r="CO318" s="143" t="str">
        <f t="shared" si="414"/>
        <v>OK Japetić</v>
      </c>
      <c r="CP318" s="47" t="s">
        <v>0</v>
      </c>
      <c r="CQ318" s="58" t="str">
        <f t="shared" si="430"/>
        <v>46:41</v>
      </c>
      <c r="CR318" s="73" t="str">
        <f t="shared" si="431"/>
        <v>0</v>
      </c>
      <c r="CS318" s="229" t="str">
        <f t="shared" si="367"/>
        <v/>
      </c>
      <c r="CT318" s="230">
        <f t="shared" si="432"/>
        <v>2801</v>
      </c>
      <c r="CU318" s="163">
        <f t="shared" si="368"/>
        <v>1</v>
      </c>
      <c r="CV318" s="47" t="s">
        <v>0</v>
      </c>
      <c r="CW318" s="222" t="str">
        <f t="shared" si="415"/>
        <v xml:space="preserve">
</v>
      </c>
      <c r="CX318" s="223">
        <f t="shared" si="416"/>
        <v>6</v>
      </c>
      <c r="CY318" s="47" t="s">
        <v>0</v>
      </c>
      <c r="CZ318" s="47"/>
      <c r="DA318" s="47"/>
      <c r="DB318" s="47"/>
      <c r="DC318" s="47" t="s">
        <v>0</v>
      </c>
      <c r="DD318" s="53" t="str">
        <f t="shared" si="424"/>
        <v/>
      </c>
      <c r="DE318" t="s">
        <v>0</v>
      </c>
      <c r="DF318" s="128" t="str">
        <f t="shared" si="425"/>
        <v>Ž</v>
      </c>
      <c r="DG318" t="s">
        <v>0</v>
      </c>
      <c r="DH318" s="52" t="str">
        <f t="shared" si="426"/>
        <v/>
      </c>
      <c r="DI318" s="66" t="str">
        <f t="shared" si="427"/>
        <v/>
      </c>
      <c r="DJ318" t="s">
        <v>0</v>
      </c>
      <c r="DK318" s="19" t="str">
        <f t="shared" si="428"/>
        <v/>
      </c>
      <c r="DL318" s="47" t="s">
        <v>0</v>
      </c>
      <c r="DM318" s="19" t="str">
        <f t="shared" si="429"/>
        <v/>
      </c>
      <c r="DN318" s="47" t="s">
        <v>0</v>
      </c>
      <c r="DO318" s="52" t="str">
        <f t="shared" si="369"/>
        <v>Ivana – Kuzmanić – OK Japetić – Ž45</v>
      </c>
      <c r="DP318" s="53">
        <f t="shared" si="370"/>
        <v>102</v>
      </c>
      <c r="DQ318" s="47" t="s">
        <v>0</v>
      </c>
      <c r="DR318" s="52" t="str">
        <f t="shared" si="371"/>
        <v>Ivana – Kuzmanić – OK Japetić</v>
      </c>
      <c r="DS318" s="53">
        <f t="shared" si="372"/>
        <v>102</v>
      </c>
      <c r="DT318" s="47" t="s">
        <v>0</v>
      </c>
      <c r="DU318" s="52" t="str">
        <f t="shared" si="373"/>
        <v>Ivana – Kuzmanić</v>
      </c>
      <c r="DV318" s="53">
        <f t="shared" si="374"/>
        <v>102</v>
      </c>
      <c r="DW318" s="47" t="s">
        <v>0</v>
      </c>
      <c r="DX318" s="58">
        <f t="shared" si="417"/>
        <v>102</v>
      </c>
      <c r="DY318" s="53" cm="1">
        <f t="array" ref="DY318">IF(DX318&lt;&gt;"",INDEX(regNatjecatelj_id,DX318,0),IF(BD318&lt;&gt;"",BD318,""))</f>
        <v>1478</v>
      </c>
      <c r="DZ318" s="47" t="s">
        <v>0</v>
      </c>
      <c r="EA318" s="58" t="str">
        <f t="shared" si="375"/>
        <v>imepre</v>
      </c>
      <c r="EB318" s="73" t="str">
        <f t="shared" si="376"/>
        <v>klu(ali)</v>
      </c>
      <c r="EC318" s="73" t="str">
        <f t="shared" si="377"/>
        <v>kat</v>
      </c>
      <c r="ED318" s="73" t="str">
        <f t="shared" si="378"/>
        <v/>
      </c>
      <c r="EE318" s="66" t="str">
        <f t="shared" si="379"/>
        <v>imepre-klu(ali)-kat</v>
      </c>
      <c r="EF318" s="47" t="s">
        <v>0</v>
      </c>
      <c r="EG318" s="58">
        <f>IF(AL318="","",MAX(EG$12:EG317)+1)</f>
        <v>466</v>
      </c>
      <c r="EH318" s="73">
        <f t="shared" si="380"/>
        <v>42</v>
      </c>
      <c r="EI318" s="73">
        <f t="shared" si="418"/>
        <v>1478</v>
      </c>
      <c r="EJ318" s="73">
        <f t="shared" si="381"/>
        <v>2801</v>
      </c>
      <c r="EK318" s="73">
        <f t="shared" si="382"/>
        <v>1</v>
      </c>
      <c r="EL318" s="73">
        <f t="shared" si="419"/>
        <v>1</v>
      </c>
      <c r="EM318" s="73">
        <f t="shared" si="420"/>
        <v>3</v>
      </c>
      <c r="EN318" s="73" t="str">
        <f t="shared" si="383"/>
        <v>0</v>
      </c>
      <c r="EO318" s="73" t="str">
        <f t="shared" si="384"/>
        <v/>
      </c>
      <c r="EP318" s="73">
        <f t="shared" si="385"/>
        <v>1</v>
      </c>
      <c r="EQ318" s="53" t="str">
        <f t="shared" si="386"/>
        <v/>
      </c>
      <c r="ER318" s="47" t="s">
        <v>0</v>
      </c>
      <c r="ES318" s="19" t="str">
        <f t="shared" si="421"/>
        <v>INSERT INTO rezultat(id,stazakategorija_id,imeprezime_id,vrijeme_sec,status_id,registracija,uparivanje_id,originalstatus_id,imeprezimealias_id,klubalias_id,kategorijaalias_id) VALUES (466,42,1478,2801,1,1,3,0,Null,1,Null);</v>
      </c>
      <c r="ET318" s="47" t="s">
        <v>0</v>
      </c>
      <c r="EU318" s="19" t="str">
        <f t="shared" si="422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8" s="47" t="s">
        <v>0</v>
      </c>
      <c r="EW318" s="180" t="str">
        <f t="shared" si="387"/>
        <v xml:space="preserve">
INSERT INTO rezultat(id,stazakategorija_id,imeprezime_id,vrijeme_sec,status_id,registracija,uparivanje_id,originalstatus_id,imeprezimealias_id,klubalias_id,kategorijaalias_id) VALUES (466,42,1478,2801,1,1,3,0,Null,1,Null);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8" s="47" t="s">
        <v>0</v>
      </c>
    </row>
    <row r="319" spans="1:154" x14ac:dyDescent="0.25">
      <c r="A319" t="s">
        <v>0</v>
      </c>
      <c r="B319" s="52" t="str">
        <f>IF(csv!F309="","",csv!T309)</f>
        <v>Ž45</v>
      </c>
      <c r="C319" s="31" t="s">
        <v>0</v>
      </c>
      <c r="D319" s="31" t="str">
        <f>IF(csv!F309="","",csv!F309)</f>
        <v>Mirjana</v>
      </c>
      <c r="E319" s="31" t="str">
        <f>IF(csv!E309="","",csv!E309)</f>
        <v>Horvat</v>
      </c>
      <c r="F319" s="31" t="s">
        <v>0</v>
      </c>
      <c r="G319" s="73" t="str">
        <f>IF(csv!M309="","",csv!M309)</f>
        <v>48:06</v>
      </c>
      <c r="H319" s="73" t="str">
        <f>IF(csv!N309="","",csv!N309)</f>
        <v>0</v>
      </c>
      <c r="I319" s="31" t="s">
        <v>0</v>
      </c>
      <c r="J319" s="31" t="str">
        <f>IF(csv!P309="","",csv!P309)</f>
        <v>Maksimir</v>
      </c>
      <c r="K319" s="31" t="str">
        <f>IF(csv!Q309="","",csv!Q309)</f>
        <v>OK Maksimir</v>
      </c>
      <c r="L319" s="31" t="s">
        <v>0</v>
      </c>
      <c r="M319" s="66" t="str">
        <f>IF(csv!R309="","",csv!R309)</f>
        <v>CRO</v>
      </c>
      <c r="N319" s="47" t="s">
        <v>0</v>
      </c>
      <c r="O319" s="246" t="str">
        <f t="shared" si="388"/>
        <v>ok</v>
      </c>
      <c r="P319" s="47"/>
      <c r="Q319" s="52" t="str">
        <f t="shared" si="389"/>
        <v>Ž45</v>
      </c>
      <c r="R319" s="73">
        <f>IF(Q319="","",IF(COUNTIF(Q$12:Q318,Q319)=0,R318+1,R318))</f>
        <v>20</v>
      </c>
      <c r="S319" s="73">
        <f t="shared" si="390"/>
        <v>116</v>
      </c>
      <c r="T319" s="73">
        <f t="shared" si="353"/>
        <v>25</v>
      </c>
      <c r="U319" s="66" t="str">
        <f t="shared" si="354"/>
        <v>Ž45</v>
      </c>
      <c r="V319" s="47" t="s">
        <v>0</v>
      </c>
      <c r="W319" s="222" t="str">
        <f t="shared" si="355"/>
        <v>Ž45</v>
      </c>
      <c r="X319" s="223">
        <f t="shared" si="356"/>
        <v>42</v>
      </c>
      <c r="Y319" s="47" t="s">
        <v>0</v>
      </c>
      <c r="Z319" s="52" t="str">
        <f t="shared" si="391"/>
        <v>CRO</v>
      </c>
      <c r="AA319" s="73">
        <f t="shared" si="357"/>
        <v>1</v>
      </c>
      <c r="AB319" s="31" t="str">
        <f t="shared" si="392"/>
        <v/>
      </c>
      <c r="AC319" s="66" t="str">
        <f>IF(AB319="","",MAX(AC$12:AC318)+1)</f>
        <v/>
      </c>
      <c r="AD319" s="47" t="s">
        <v>0</v>
      </c>
      <c r="AE319" s="125"/>
      <c r="AF319" s="47" t="s">
        <v>0</v>
      </c>
      <c r="AG319" s="19" t="str">
        <f t="shared" si="393"/>
        <v/>
      </c>
      <c r="AH319" s="47" t="s">
        <v>0</v>
      </c>
      <c r="AI319" s="143" t="str">
        <f t="shared" si="394"/>
        <v>CRO</v>
      </c>
      <c r="AJ319" s="47"/>
      <c r="AK319" s="52" t="str">
        <f t="shared" si="395"/>
        <v>Mirjana</v>
      </c>
      <c r="AL319" s="31" t="str">
        <f t="shared" si="396"/>
        <v>Horvat</v>
      </c>
      <c r="AM319" s="73">
        <f t="shared" si="397"/>
        <v>1515</v>
      </c>
      <c r="AN319" s="73" t="str">
        <f t="shared" si="398"/>
        <v/>
      </c>
      <c r="AO319" s="31" t="str">
        <f t="shared" si="358"/>
        <v>Mirjana</v>
      </c>
      <c r="AP319" s="66" t="str">
        <f t="shared" si="359"/>
        <v>Horvat</v>
      </c>
      <c r="AQ319" s="47" t="s">
        <v>0</v>
      </c>
      <c r="AR319" s="82" t="str">
        <f t="shared" si="399"/>
        <v/>
      </c>
      <c r="AS319" s="47" t="s">
        <v>0</v>
      </c>
      <c r="AT319" s="19" t="str">
        <f t="shared" si="400"/>
        <v/>
      </c>
      <c r="AU319" s="47" t="s">
        <v>0</v>
      </c>
      <c r="AV319" s="103"/>
      <c r="AW319" s="105"/>
      <c r="AX319" s="47" t="s">
        <v>0</v>
      </c>
      <c r="AY319" s="259" t="str">
        <f t="shared" si="423"/>
        <v/>
      </c>
      <c r="AZ319" s="47" t="s">
        <v>0</v>
      </c>
      <c r="BA319" s="52" t="str">
        <f t="shared" si="360"/>
        <v/>
      </c>
      <c r="BB319" s="73" t="str">
        <f>IF(AV319&amp;AW319="","",MAX(BB$12:BB318)+1)</f>
        <v/>
      </c>
      <c r="BC319" s="272" t="str">
        <f t="shared" si="361"/>
        <v/>
      </c>
      <c r="BD319" s="53" t="str">
        <f>IF(AND(AM319="NEMA",AN319="NEMA",OR(AV319&amp;AW319="",BC319="NEMA")),MAX(BD$12:BD318)+1,"")</f>
        <v/>
      </c>
      <c r="BE319" s="47" t="s">
        <v>0</v>
      </c>
      <c r="BF319" s="52" t="str">
        <f t="shared" si="401"/>
        <v>Mirjana</v>
      </c>
      <c r="BG319" s="66" t="str">
        <f t="shared" si="402"/>
        <v>Horvat</v>
      </c>
      <c r="BH319" s="47" t="s">
        <v>0</v>
      </c>
      <c r="BI319" s="52" t="str">
        <f t="shared" si="362"/>
        <v>Maksimir</v>
      </c>
      <c r="BJ319" s="31" t="str">
        <f t="shared" si="363"/>
        <v>OK Maksimir</v>
      </c>
      <c r="BK319" s="73" t="str">
        <f t="shared" si="364"/>
        <v/>
      </c>
      <c r="BL319" s="31" t="str" cm="1">
        <f t="array" ref="BL319">IF(BK319="",""&amp;BJ319,IF(BK319="NEMA",BJ319,INDEX(regKlub_naziv,MATCH(INDEX(regKlub_alias_klubId,BK319),regKlub_id,0))))</f>
        <v>OK Maksimir</v>
      </c>
      <c r="BM319" s="31" t="str" cm="1">
        <f t="array" ref="BM319">IFERROR(""&amp;INDEX(regNatjecatelj_klub,DV319),"")</f>
        <v>OK Maksimir</v>
      </c>
      <c r="BN319" s="88" t="str">
        <f t="shared" si="403"/>
        <v/>
      </c>
      <c r="BO319" s="66" t="str">
        <f t="shared" si="404"/>
        <v>OK Maksimir</v>
      </c>
      <c r="BP319" s="47" t="s">
        <v>0</v>
      </c>
      <c r="BQ319" s="52" t="str">
        <f>IF(X319&lt;&gt;"NEMA","",IF(IFERROR(MATCH(W319,W$12:W318,0),0)&lt;&gt;0,"",W319))</f>
        <v/>
      </c>
      <c r="BR319" s="73" t="str">
        <f t="shared" si="405"/>
        <v/>
      </c>
      <c r="BS319" s="31" t="str">
        <f>IF(OR(BR319="",BR319&lt;&gt;"NEMA"),"",MAX(BS$12:BS318)+1)</f>
        <v/>
      </c>
      <c r="BT319" s="66" t="str">
        <f t="shared" si="406"/>
        <v/>
      </c>
      <c r="BU319" s="47" t="s">
        <v>0</v>
      </c>
      <c r="BV319" s="19" t="str">
        <f t="shared" si="407"/>
        <v/>
      </c>
      <c r="BW319" s="47" t="s">
        <v>0</v>
      </c>
      <c r="BX319" s="82" t="str">
        <f>IF(BK319&lt;&gt;"NEMA","",IF(IFERROR(MATCH(BJ319,BJ$12:BJ318,0),0)&lt;&gt;0,"",BJ319))</f>
        <v/>
      </c>
      <c r="BY319" s="47" t="s">
        <v>0</v>
      </c>
      <c r="BZ319" s="125"/>
      <c r="CA319" s="47" t="s">
        <v>0</v>
      </c>
      <c r="CB319" s="58" t="str">
        <f t="shared" si="408"/>
        <v/>
      </c>
      <c r="CC319" s="31" t="str">
        <f t="shared" si="409"/>
        <v/>
      </c>
      <c r="CD319" s="31" t="str">
        <f>IF(CC319="","",MAX(CD$12:CD318)+1)</f>
        <v/>
      </c>
      <c r="CE319" s="31" t="str">
        <f t="shared" si="365"/>
        <v/>
      </c>
      <c r="CF319" s="31" t="str">
        <f t="shared" si="410"/>
        <v/>
      </c>
      <c r="CG319" s="31" t="str">
        <f>IF(BZ319="","",MAX(CG$12:CG318)+1)</f>
        <v/>
      </c>
      <c r="CH319" s="31" t="str">
        <f t="shared" si="411"/>
        <v/>
      </c>
      <c r="CI319" s="66" t="str">
        <f t="shared" si="412"/>
        <v/>
      </c>
      <c r="CJ319" s="47" t="s">
        <v>0</v>
      </c>
      <c r="CK319" s="73" t="str">
        <f t="shared" si="366"/>
        <v/>
      </c>
      <c r="CL319" s="47"/>
      <c r="CM319" s="19" t="str">
        <f t="shared" si="413"/>
        <v/>
      </c>
      <c r="CN319" s="47" t="s">
        <v>0</v>
      </c>
      <c r="CO319" s="143" t="str">
        <f t="shared" si="414"/>
        <v>OK Maksimir</v>
      </c>
      <c r="CP319" s="47" t="s">
        <v>0</v>
      </c>
      <c r="CQ319" s="58" t="str">
        <f t="shared" si="430"/>
        <v>48:06</v>
      </c>
      <c r="CR319" s="73" t="str">
        <f t="shared" si="431"/>
        <v>0</v>
      </c>
      <c r="CS319" s="229" t="str">
        <f t="shared" si="367"/>
        <v/>
      </c>
      <c r="CT319" s="230">
        <f t="shared" si="432"/>
        <v>2886</v>
      </c>
      <c r="CU319" s="163">
        <f t="shared" si="368"/>
        <v>1</v>
      </c>
      <c r="CV319" s="47" t="s">
        <v>0</v>
      </c>
      <c r="CW319" s="222" t="str">
        <f t="shared" si="415"/>
        <v xml:space="preserve">
</v>
      </c>
      <c r="CX319" s="223">
        <f t="shared" si="416"/>
        <v>6</v>
      </c>
      <c r="CY319" s="47" t="s">
        <v>0</v>
      </c>
      <c r="CZ319" s="47"/>
      <c r="DA319" s="47"/>
      <c r="DB319" s="47"/>
      <c r="DC319" s="47" t="s">
        <v>0</v>
      </c>
      <c r="DD319" s="53" t="str">
        <f t="shared" si="424"/>
        <v/>
      </c>
      <c r="DE319" t="s">
        <v>0</v>
      </c>
      <c r="DF319" s="128" t="str">
        <f t="shared" si="425"/>
        <v>Ž</v>
      </c>
      <c r="DG319" t="s">
        <v>0</v>
      </c>
      <c r="DH319" s="52" t="str">
        <f t="shared" si="426"/>
        <v/>
      </c>
      <c r="DI319" s="66" t="str">
        <f t="shared" si="427"/>
        <v/>
      </c>
      <c r="DJ319" t="s">
        <v>0</v>
      </c>
      <c r="DK319" s="19" t="str">
        <f t="shared" si="428"/>
        <v/>
      </c>
      <c r="DL319" s="47" t="s">
        <v>0</v>
      </c>
      <c r="DM319" s="19" t="str">
        <f t="shared" si="429"/>
        <v/>
      </c>
      <c r="DN319" s="47" t="s">
        <v>0</v>
      </c>
      <c r="DO319" s="52" t="str">
        <f t="shared" si="369"/>
        <v>Mirjana – Horvat – OK Maksimir – Ž45</v>
      </c>
      <c r="DP319" s="53">
        <f t="shared" si="370"/>
        <v>350</v>
      </c>
      <c r="DQ319" s="47" t="s">
        <v>0</v>
      </c>
      <c r="DR319" s="52" t="str">
        <f t="shared" si="371"/>
        <v>Mirjana – Horvat – OK Maksimir</v>
      </c>
      <c r="DS319" s="53">
        <f t="shared" si="372"/>
        <v>350</v>
      </c>
      <c r="DT319" s="47" t="s">
        <v>0</v>
      </c>
      <c r="DU319" s="52" t="str">
        <f t="shared" si="373"/>
        <v>Mirjana – Horvat</v>
      </c>
      <c r="DV319" s="53">
        <f t="shared" si="374"/>
        <v>350</v>
      </c>
      <c r="DW319" s="47" t="s">
        <v>0</v>
      </c>
      <c r="DX319" s="58">
        <f t="shared" si="417"/>
        <v>350</v>
      </c>
      <c r="DY319" s="53" cm="1">
        <f t="array" ref="DY319">IF(DX319&lt;&gt;"",INDEX(regNatjecatelj_id,DX319,0),IF(BD319&lt;&gt;"",BD319,""))</f>
        <v>1515</v>
      </c>
      <c r="DZ319" s="47" t="s">
        <v>0</v>
      </c>
      <c r="EA319" s="58" t="str">
        <f t="shared" si="375"/>
        <v>imepre</v>
      </c>
      <c r="EB319" s="73" t="str">
        <f t="shared" si="376"/>
        <v>klu</v>
      </c>
      <c r="EC319" s="73" t="str">
        <f t="shared" si="377"/>
        <v>kat</v>
      </c>
      <c r="ED319" s="73" t="str">
        <f t="shared" si="378"/>
        <v/>
      </c>
      <c r="EE319" s="66" t="str">
        <f t="shared" si="379"/>
        <v>imepre-klu-kat</v>
      </c>
      <c r="EF319" s="47" t="s">
        <v>0</v>
      </c>
      <c r="EG319" s="58">
        <f>IF(AL319="","",MAX(EG$12:EG318)+1)</f>
        <v>467</v>
      </c>
      <c r="EH319" s="73">
        <f t="shared" si="380"/>
        <v>42</v>
      </c>
      <c r="EI319" s="73">
        <f t="shared" si="418"/>
        <v>1515</v>
      </c>
      <c r="EJ319" s="73">
        <f t="shared" si="381"/>
        <v>2886</v>
      </c>
      <c r="EK319" s="73">
        <f t="shared" si="382"/>
        <v>1</v>
      </c>
      <c r="EL319" s="73">
        <f t="shared" si="419"/>
        <v>1</v>
      </c>
      <c r="EM319" s="73">
        <f t="shared" si="420"/>
        <v>1</v>
      </c>
      <c r="EN319" s="73" t="str">
        <f t="shared" si="383"/>
        <v>0</v>
      </c>
      <c r="EO319" s="73" t="str">
        <f t="shared" si="384"/>
        <v/>
      </c>
      <c r="EP319" s="73" t="str">
        <f t="shared" si="385"/>
        <v/>
      </c>
      <c r="EQ319" s="53" t="str">
        <f t="shared" si="386"/>
        <v/>
      </c>
      <c r="ER319" s="47" t="s">
        <v>0</v>
      </c>
      <c r="ES319" s="19" t="str">
        <f t="shared" si="421"/>
        <v>INSERT INTO rezultat(id,stazakategorija_id,imeprezime_id,vrijeme_sec,status_id,registracija,uparivanje_id,originalstatus_id,imeprezimealias_id,klubalias_id,kategorijaalias_id) VALUES (467,42,1515,2886,1,1,1,0,Null,Null,Null);</v>
      </c>
      <c r="ET319" s="47" t="s">
        <v>0</v>
      </c>
      <c r="EU319" s="19" t="str">
        <f t="shared" si="422"/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9" s="47" t="s">
        <v>0</v>
      </c>
      <c r="EW319" s="180" t="str">
        <f t="shared" si="387"/>
        <v xml:space="preserve">
INSERT INTO rezultat(id,stazakategorija_id,imeprezime_id,vrijeme_sec,status_id,registracija,uparivanje_id,originalstatus_id,imeprezimealias_id,klubalias_id,kategorijaalias_id) VALUES (467,42,1515,2886,1,1,1,0,Null,Null,Null);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9" s="47" t="s">
        <v>0</v>
      </c>
    </row>
    <row r="320" spans="1:154" x14ac:dyDescent="0.25">
      <c r="A320" t="s">
        <v>0</v>
      </c>
      <c r="B320" s="52" t="str">
        <f>IF(csv!F310="","",csv!T310)</f>
        <v>Ž45</v>
      </c>
      <c r="C320" s="31" t="s">
        <v>0</v>
      </c>
      <c r="D320" s="31" t="str">
        <f>IF(csv!F310="","",csv!F310)</f>
        <v>Nataša</v>
      </c>
      <c r="E320" s="31" t="str">
        <f>IF(csv!E310="","",csv!E310)</f>
        <v>Kolarek</v>
      </c>
      <c r="F320" s="31" t="s">
        <v>0</v>
      </c>
      <c r="G320" s="73" t="str">
        <f>IF(csv!M310="","",csv!M310)</f>
        <v>51:39</v>
      </c>
      <c r="H320" s="73" t="str">
        <f>IF(csv!N310="","",csv!N310)</f>
        <v>0</v>
      </c>
      <c r="I320" s="31" t="s">
        <v>0</v>
      </c>
      <c r="J320" s="31" t="str">
        <f>IF(csv!P310="","",csv!P310)</f>
        <v>Vihor</v>
      </c>
      <c r="K320" s="31" t="str">
        <f>IF(csv!Q310="","",csv!Q310)</f>
        <v>OK Vihor</v>
      </c>
      <c r="L320" s="31" t="s">
        <v>0</v>
      </c>
      <c r="M320" s="66" t="str">
        <f>IF(csv!R310="","",csv!R310)</f>
        <v>CRO</v>
      </c>
      <c r="N320" s="47" t="s">
        <v>0</v>
      </c>
      <c r="O320" s="246" t="str">
        <f t="shared" si="388"/>
        <v>ok</v>
      </c>
      <c r="P320" s="47"/>
      <c r="Q320" s="52" t="str">
        <f t="shared" si="389"/>
        <v>Ž45</v>
      </c>
      <c r="R320" s="73">
        <f>IF(Q320="","",IF(COUNTIF(Q$12:Q319,Q320)=0,R319+1,R319))</f>
        <v>20</v>
      </c>
      <c r="S320" s="73">
        <f t="shared" si="390"/>
        <v>116</v>
      </c>
      <c r="T320" s="73">
        <f t="shared" si="353"/>
        <v>25</v>
      </c>
      <c r="U320" s="66" t="str">
        <f t="shared" si="354"/>
        <v>Ž45</v>
      </c>
      <c r="V320" s="47" t="s">
        <v>0</v>
      </c>
      <c r="W320" s="222" t="str">
        <f t="shared" si="355"/>
        <v>Ž45</v>
      </c>
      <c r="X320" s="223">
        <f t="shared" si="356"/>
        <v>42</v>
      </c>
      <c r="Y320" s="47" t="s">
        <v>0</v>
      </c>
      <c r="Z320" s="52" t="str">
        <f t="shared" si="391"/>
        <v>CRO</v>
      </c>
      <c r="AA320" s="73">
        <f t="shared" si="357"/>
        <v>1</v>
      </c>
      <c r="AB320" s="31" t="str">
        <f t="shared" si="392"/>
        <v/>
      </c>
      <c r="AC320" s="66" t="str">
        <f>IF(AB320="","",MAX(AC$12:AC319)+1)</f>
        <v/>
      </c>
      <c r="AD320" s="47" t="s">
        <v>0</v>
      </c>
      <c r="AE320" s="125"/>
      <c r="AF320" s="47" t="s">
        <v>0</v>
      </c>
      <c r="AG320" s="19" t="str">
        <f t="shared" si="393"/>
        <v/>
      </c>
      <c r="AH320" s="47" t="s">
        <v>0</v>
      </c>
      <c r="AI320" s="143" t="str">
        <f t="shared" si="394"/>
        <v>CRO</v>
      </c>
      <c r="AJ320" s="47"/>
      <c r="AK320" s="52" t="str">
        <f t="shared" si="395"/>
        <v>Nataša</v>
      </c>
      <c r="AL320" s="31" t="str">
        <f t="shared" si="396"/>
        <v>Kolarek</v>
      </c>
      <c r="AM320" s="73">
        <f t="shared" si="397"/>
        <v>1070</v>
      </c>
      <c r="AN320" s="73" t="str">
        <f t="shared" si="398"/>
        <v/>
      </c>
      <c r="AO320" s="31" t="str">
        <f t="shared" si="358"/>
        <v>Nataša</v>
      </c>
      <c r="AP320" s="66" t="str">
        <f t="shared" si="359"/>
        <v>Kolarek</v>
      </c>
      <c r="AQ320" s="47" t="s">
        <v>0</v>
      </c>
      <c r="AR320" s="82" t="str">
        <f t="shared" si="399"/>
        <v/>
      </c>
      <c r="AS320" s="47" t="s">
        <v>0</v>
      </c>
      <c r="AT320" s="19" t="str">
        <f t="shared" si="400"/>
        <v/>
      </c>
      <c r="AU320" s="47" t="s">
        <v>0</v>
      </c>
      <c r="AV320" s="103"/>
      <c r="AW320" s="105"/>
      <c r="AX320" s="47" t="s">
        <v>0</v>
      </c>
      <c r="AY320" s="259" t="str">
        <f t="shared" si="423"/>
        <v/>
      </c>
      <c r="AZ320" s="47" t="s">
        <v>0</v>
      </c>
      <c r="BA320" s="52" t="str">
        <f t="shared" si="360"/>
        <v/>
      </c>
      <c r="BB320" s="73" t="str">
        <f>IF(AV320&amp;AW320="","",MAX(BB$12:BB319)+1)</f>
        <v/>
      </c>
      <c r="BC320" s="272" t="str">
        <f t="shared" si="361"/>
        <v/>
      </c>
      <c r="BD320" s="53" t="str">
        <f>IF(AND(AM320="NEMA",AN320="NEMA",OR(AV320&amp;AW320="",BC320="NEMA")),MAX(BD$12:BD319)+1,"")</f>
        <v/>
      </c>
      <c r="BE320" s="47" t="s">
        <v>0</v>
      </c>
      <c r="BF320" s="52" t="str">
        <f t="shared" si="401"/>
        <v>Nataša</v>
      </c>
      <c r="BG320" s="66" t="str">
        <f t="shared" si="402"/>
        <v>Kolarek</v>
      </c>
      <c r="BH320" s="47" t="s">
        <v>0</v>
      </c>
      <c r="BI320" s="52" t="str">
        <f t="shared" si="362"/>
        <v>Vihor</v>
      </c>
      <c r="BJ320" s="31" t="str">
        <f t="shared" si="363"/>
        <v>OK Vihor</v>
      </c>
      <c r="BK320" s="73" t="str">
        <f t="shared" si="364"/>
        <v/>
      </c>
      <c r="BL320" s="31" t="str" cm="1">
        <f t="array" ref="BL320">IF(BK320="",""&amp;BJ320,IF(BK320="NEMA",BJ320,INDEX(regKlub_naziv,MATCH(INDEX(regKlub_alias_klubId,BK320),regKlub_id,0))))</f>
        <v>OK Vihor</v>
      </c>
      <c r="BM320" s="31" t="str" cm="1">
        <f t="array" ref="BM320">IFERROR(""&amp;INDEX(regNatjecatelj_klub,DV320),"")</f>
        <v>OK Vihor</v>
      </c>
      <c r="BN320" s="88" t="str">
        <f t="shared" si="403"/>
        <v/>
      </c>
      <c r="BO320" s="66" t="str">
        <f t="shared" si="404"/>
        <v>OK Vihor</v>
      </c>
      <c r="BP320" s="47" t="s">
        <v>0</v>
      </c>
      <c r="BQ320" s="52" t="str">
        <f>IF(X320&lt;&gt;"NEMA","",IF(IFERROR(MATCH(W320,W$12:W319,0),0)&lt;&gt;0,"",W320))</f>
        <v/>
      </c>
      <c r="BR320" s="73" t="str">
        <f t="shared" si="405"/>
        <v/>
      </c>
      <c r="BS320" s="31" t="str">
        <f>IF(OR(BR320="",BR320&lt;&gt;"NEMA"),"",MAX(BS$12:BS319)+1)</f>
        <v/>
      </c>
      <c r="BT320" s="66" t="str">
        <f t="shared" si="406"/>
        <v/>
      </c>
      <c r="BU320" s="47" t="s">
        <v>0</v>
      </c>
      <c r="BV320" s="19" t="str">
        <f t="shared" si="407"/>
        <v/>
      </c>
      <c r="BW320" s="47" t="s">
        <v>0</v>
      </c>
      <c r="BX320" s="82" t="str">
        <f>IF(BK320&lt;&gt;"NEMA","",IF(IFERROR(MATCH(BJ320,BJ$12:BJ319,0),0)&lt;&gt;0,"",BJ320))</f>
        <v/>
      </c>
      <c r="BY320" s="47" t="s">
        <v>0</v>
      </c>
      <c r="BZ320" s="125"/>
      <c r="CA320" s="47" t="s">
        <v>0</v>
      </c>
      <c r="CB320" s="58" t="str">
        <f t="shared" si="408"/>
        <v/>
      </c>
      <c r="CC320" s="31" t="str">
        <f t="shared" si="409"/>
        <v/>
      </c>
      <c r="CD320" s="31" t="str">
        <f>IF(CC320="","",MAX(CD$12:CD319)+1)</f>
        <v/>
      </c>
      <c r="CE320" s="31" t="str">
        <f t="shared" si="365"/>
        <v/>
      </c>
      <c r="CF320" s="31" t="str">
        <f t="shared" si="410"/>
        <v/>
      </c>
      <c r="CG320" s="31" t="str">
        <f>IF(BZ320="","",MAX(CG$12:CG319)+1)</f>
        <v/>
      </c>
      <c r="CH320" s="31" t="str">
        <f t="shared" si="411"/>
        <v/>
      </c>
      <c r="CI320" s="66" t="str">
        <f t="shared" si="412"/>
        <v/>
      </c>
      <c r="CJ320" s="47" t="s">
        <v>0</v>
      </c>
      <c r="CK320" s="73" t="str">
        <f t="shared" si="366"/>
        <v/>
      </c>
      <c r="CL320" s="47"/>
      <c r="CM320" s="19" t="str">
        <f t="shared" si="413"/>
        <v/>
      </c>
      <c r="CN320" s="47" t="s">
        <v>0</v>
      </c>
      <c r="CO320" s="143" t="str">
        <f t="shared" si="414"/>
        <v>OK Vihor</v>
      </c>
      <c r="CP320" s="47" t="s">
        <v>0</v>
      </c>
      <c r="CQ320" s="58" t="str">
        <f t="shared" si="430"/>
        <v>51:39</v>
      </c>
      <c r="CR320" s="73" t="str">
        <f t="shared" si="431"/>
        <v>0</v>
      </c>
      <c r="CS320" s="229" t="str">
        <f t="shared" si="367"/>
        <v/>
      </c>
      <c r="CT320" s="230">
        <f t="shared" si="432"/>
        <v>3099</v>
      </c>
      <c r="CU320" s="163">
        <f t="shared" si="368"/>
        <v>1</v>
      </c>
      <c r="CV320" s="47" t="s">
        <v>0</v>
      </c>
      <c r="CW320" s="222" t="str">
        <f t="shared" si="415"/>
        <v xml:space="preserve">
</v>
      </c>
      <c r="CX320" s="223">
        <f t="shared" si="416"/>
        <v>6</v>
      </c>
      <c r="CY320" s="47" t="s">
        <v>0</v>
      </c>
      <c r="CZ320" s="47"/>
      <c r="DA320" s="47"/>
      <c r="DB320" s="47"/>
      <c r="DC320" s="47" t="s">
        <v>0</v>
      </c>
      <c r="DD320" s="53" t="str">
        <f t="shared" si="424"/>
        <v/>
      </c>
      <c r="DE320" t="s">
        <v>0</v>
      </c>
      <c r="DF320" s="128" t="str">
        <f t="shared" si="425"/>
        <v>Ž</v>
      </c>
      <c r="DG320" t="s">
        <v>0</v>
      </c>
      <c r="DH320" s="52" t="str">
        <f t="shared" si="426"/>
        <v/>
      </c>
      <c r="DI320" s="66" t="str">
        <f t="shared" si="427"/>
        <v/>
      </c>
      <c r="DJ320" t="s">
        <v>0</v>
      </c>
      <c r="DK320" s="19" t="str">
        <f t="shared" si="428"/>
        <v/>
      </c>
      <c r="DL320" s="47" t="s">
        <v>0</v>
      </c>
      <c r="DM320" s="19" t="str">
        <f t="shared" si="429"/>
        <v/>
      </c>
      <c r="DN320" s="47" t="s">
        <v>0</v>
      </c>
      <c r="DO320" s="52" t="str">
        <f t="shared" si="369"/>
        <v>Nataša – Kolarek – OK Vihor – Ž45</v>
      </c>
      <c r="DP320" s="53">
        <f t="shared" si="370"/>
        <v>744</v>
      </c>
      <c r="DQ320" s="47" t="s">
        <v>0</v>
      </c>
      <c r="DR320" s="52" t="str">
        <f t="shared" si="371"/>
        <v>Nataša – Kolarek – OK Vihor</v>
      </c>
      <c r="DS320" s="53">
        <f t="shared" si="372"/>
        <v>744</v>
      </c>
      <c r="DT320" s="47" t="s">
        <v>0</v>
      </c>
      <c r="DU320" s="52" t="str">
        <f t="shared" si="373"/>
        <v>Nataša – Kolarek</v>
      </c>
      <c r="DV320" s="53">
        <f t="shared" si="374"/>
        <v>744</v>
      </c>
      <c r="DW320" s="47" t="s">
        <v>0</v>
      </c>
      <c r="DX320" s="58">
        <f t="shared" si="417"/>
        <v>744</v>
      </c>
      <c r="DY320" s="53" cm="1">
        <f t="array" ref="DY320">IF(DX320&lt;&gt;"",INDEX(regNatjecatelj_id,DX320,0),IF(BD320&lt;&gt;"",BD320,""))</f>
        <v>1070</v>
      </c>
      <c r="DZ320" s="47" t="s">
        <v>0</v>
      </c>
      <c r="EA320" s="58" t="str">
        <f t="shared" si="375"/>
        <v>imepre</v>
      </c>
      <c r="EB320" s="73" t="str">
        <f t="shared" si="376"/>
        <v>klu</v>
      </c>
      <c r="EC320" s="73" t="str">
        <f t="shared" si="377"/>
        <v>kat</v>
      </c>
      <c r="ED320" s="73" t="str">
        <f t="shared" si="378"/>
        <v/>
      </c>
      <c r="EE320" s="66" t="str">
        <f t="shared" si="379"/>
        <v>imepre-klu-kat</v>
      </c>
      <c r="EF320" s="47" t="s">
        <v>0</v>
      </c>
      <c r="EG320" s="58">
        <f>IF(AL320="","",MAX(EG$12:EG319)+1)</f>
        <v>468</v>
      </c>
      <c r="EH320" s="73">
        <f t="shared" si="380"/>
        <v>42</v>
      </c>
      <c r="EI320" s="73">
        <f t="shared" si="418"/>
        <v>1070</v>
      </c>
      <c r="EJ320" s="73">
        <f t="shared" si="381"/>
        <v>3099</v>
      </c>
      <c r="EK320" s="73">
        <f t="shared" si="382"/>
        <v>1</v>
      </c>
      <c r="EL320" s="73">
        <f t="shared" si="419"/>
        <v>1</v>
      </c>
      <c r="EM320" s="73">
        <f t="shared" si="420"/>
        <v>1</v>
      </c>
      <c r="EN320" s="73" t="str">
        <f t="shared" si="383"/>
        <v>0</v>
      </c>
      <c r="EO320" s="73" t="str">
        <f t="shared" si="384"/>
        <v/>
      </c>
      <c r="EP320" s="73" t="str">
        <f t="shared" si="385"/>
        <v/>
      </c>
      <c r="EQ320" s="53" t="str">
        <f t="shared" si="386"/>
        <v/>
      </c>
      <c r="ER320" s="47" t="s">
        <v>0</v>
      </c>
      <c r="ES320" s="19" t="str">
        <f t="shared" si="421"/>
        <v>INSERT INTO rezultat(id,stazakategorija_id,imeprezime_id,vrijeme_sec,status_id,registracija,uparivanje_id,originalstatus_id,imeprezimealias_id,klubalias_id,kategorijaalias_id) VALUES (468,42,1070,3099,1,1,1,0,Null,Null,Null);</v>
      </c>
      <c r="ET320" s="47" t="s">
        <v>0</v>
      </c>
      <c r="EU320" s="19" t="str">
        <f t="shared" si="422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0" s="47" t="s">
        <v>0</v>
      </c>
      <c r="EW320" s="180" t="str">
        <f t="shared" si="387"/>
        <v xml:space="preserve">
INSERT INTO rezultat(id,stazakategorija_id,imeprezime_id,vrijeme_sec,status_id,registracija,uparivanje_id,originalstatus_id,imeprezimealias_id,klubalias_id,kategorijaalias_id) VALUES (468,42,1070,3099,1,1,1,0,Null,Null,Null);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0" s="47" t="s">
        <v>0</v>
      </c>
    </row>
    <row r="321" spans="1:154" x14ac:dyDescent="0.25">
      <c r="A321" t="s">
        <v>0</v>
      </c>
      <c r="B321" s="52" t="str">
        <f>IF(csv!F311="","",csv!T311)</f>
        <v>Ž45</v>
      </c>
      <c r="C321" s="31" t="s">
        <v>0</v>
      </c>
      <c r="D321" s="31" t="str">
        <f>IF(csv!F311="","",csv!F311)</f>
        <v>Evelyn</v>
      </c>
      <c r="E321" s="31" t="str">
        <f>IF(csv!E311="","",csv!E311)</f>
        <v>Kraintz</v>
      </c>
      <c r="F321" s="31" t="s">
        <v>0</v>
      </c>
      <c r="G321" s="73" t="str">
        <f>IF(csv!M311="","",csv!M311)</f>
        <v>52:15</v>
      </c>
      <c r="H321" s="73" t="str">
        <f>IF(csv!N311="","",csv!N311)</f>
        <v>0</v>
      </c>
      <c r="I321" s="31" t="s">
        <v>0</v>
      </c>
      <c r="J321" s="31" t="str">
        <f>IF(csv!P311="","",csv!P311)</f>
        <v>Maksimir</v>
      </c>
      <c r="K321" s="31" t="str">
        <f>IF(csv!Q311="","",csv!Q311)</f>
        <v>OK Maksimir</v>
      </c>
      <c r="L321" s="31" t="s">
        <v>0</v>
      </c>
      <c r="M321" s="66" t="str">
        <f>IF(csv!R311="","",csv!R311)</f>
        <v>CRO</v>
      </c>
      <c r="N321" s="47" t="s">
        <v>0</v>
      </c>
      <c r="O321" s="246" t="str">
        <f t="shared" si="388"/>
        <v>ok</v>
      </c>
      <c r="P321" s="47"/>
      <c r="Q321" s="52" t="str">
        <f t="shared" si="389"/>
        <v>Ž45</v>
      </c>
      <c r="R321" s="73">
        <f>IF(Q321="","",IF(COUNTIF(Q$12:Q320,Q321)=0,R320+1,R320))</f>
        <v>20</v>
      </c>
      <c r="S321" s="73">
        <f t="shared" si="390"/>
        <v>116</v>
      </c>
      <c r="T321" s="73">
        <f t="shared" si="353"/>
        <v>25</v>
      </c>
      <c r="U321" s="66" t="str">
        <f t="shared" si="354"/>
        <v>Ž45</v>
      </c>
      <c r="V321" s="47" t="s">
        <v>0</v>
      </c>
      <c r="W321" s="222" t="str">
        <f t="shared" si="355"/>
        <v>Ž45</v>
      </c>
      <c r="X321" s="223">
        <f t="shared" si="356"/>
        <v>42</v>
      </c>
      <c r="Y321" s="47" t="s">
        <v>0</v>
      </c>
      <c r="Z321" s="52" t="str">
        <f t="shared" si="391"/>
        <v>CRO</v>
      </c>
      <c r="AA321" s="73">
        <f t="shared" si="357"/>
        <v>1</v>
      </c>
      <c r="AB321" s="31" t="str">
        <f t="shared" si="392"/>
        <v/>
      </c>
      <c r="AC321" s="66" t="str">
        <f>IF(AB321="","",MAX(AC$12:AC320)+1)</f>
        <v/>
      </c>
      <c r="AD321" s="47" t="s">
        <v>0</v>
      </c>
      <c r="AE321" s="125"/>
      <c r="AF321" s="47" t="s">
        <v>0</v>
      </c>
      <c r="AG321" s="19" t="str">
        <f t="shared" si="393"/>
        <v/>
      </c>
      <c r="AH321" s="47" t="s">
        <v>0</v>
      </c>
      <c r="AI321" s="143" t="str">
        <f t="shared" si="394"/>
        <v>CRO</v>
      </c>
      <c r="AJ321" s="47"/>
      <c r="AK321" s="52" t="str">
        <f t="shared" si="395"/>
        <v>Evelyn</v>
      </c>
      <c r="AL321" s="31" t="str">
        <f t="shared" si="396"/>
        <v>Kraintz</v>
      </c>
      <c r="AM321" s="73">
        <f t="shared" si="397"/>
        <v>1225</v>
      </c>
      <c r="AN321" s="73" t="str">
        <f t="shared" si="398"/>
        <v/>
      </c>
      <c r="AO321" s="31" t="str">
        <f t="shared" si="358"/>
        <v>Evelyn</v>
      </c>
      <c r="AP321" s="66" t="str">
        <f t="shared" si="359"/>
        <v>Kraintz</v>
      </c>
      <c r="AQ321" s="47" t="s">
        <v>0</v>
      </c>
      <c r="AR321" s="82" t="str">
        <f t="shared" si="399"/>
        <v/>
      </c>
      <c r="AS321" s="47" t="s">
        <v>0</v>
      </c>
      <c r="AT321" s="19" t="str">
        <f t="shared" si="400"/>
        <v/>
      </c>
      <c r="AU321" s="47" t="s">
        <v>0</v>
      </c>
      <c r="AV321" s="103"/>
      <c r="AW321" s="105"/>
      <c r="AX321" s="47" t="s">
        <v>0</v>
      </c>
      <c r="AY321" s="259" t="str">
        <f t="shared" si="423"/>
        <v/>
      </c>
      <c r="AZ321" s="47" t="s">
        <v>0</v>
      </c>
      <c r="BA321" s="52" t="str">
        <f t="shared" si="360"/>
        <v/>
      </c>
      <c r="BB321" s="73" t="str">
        <f>IF(AV321&amp;AW321="","",MAX(BB$12:BB320)+1)</f>
        <v/>
      </c>
      <c r="BC321" s="272" t="str">
        <f t="shared" si="361"/>
        <v/>
      </c>
      <c r="BD321" s="53" t="str">
        <f>IF(AND(AM321="NEMA",AN321="NEMA",OR(AV321&amp;AW321="",BC321="NEMA")),MAX(BD$12:BD320)+1,"")</f>
        <v/>
      </c>
      <c r="BE321" s="47" t="s">
        <v>0</v>
      </c>
      <c r="BF321" s="52" t="str">
        <f t="shared" si="401"/>
        <v>Evelyn</v>
      </c>
      <c r="BG321" s="66" t="str">
        <f t="shared" si="402"/>
        <v>Kraintz</v>
      </c>
      <c r="BH321" s="47" t="s">
        <v>0</v>
      </c>
      <c r="BI321" s="52" t="str">
        <f t="shared" si="362"/>
        <v>Maksimir</v>
      </c>
      <c r="BJ321" s="31" t="str">
        <f t="shared" si="363"/>
        <v>OK Maksimir</v>
      </c>
      <c r="BK321" s="73" t="str">
        <f t="shared" si="364"/>
        <v/>
      </c>
      <c r="BL321" s="31" t="str" cm="1">
        <f t="array" ref="BL321">IF(BK321="",""&amp;BJ321,IF(BK321="NEMA",BJ321,INDEX(regKlub_naziv,MATCH(INDEX(regKlub_alias_klubId,BK321),regKlub_id,0))))</f>
        <v>OK Maksimir</v>
      </c>
      <c r="BM321" s="31" t="str" cm="1">
        <f t="array" ref="BM321">IFERROR(""&amp;INDEX(regNatjecatelj_klub,DV321),"")</f>
        <v>OK Maksimir</v>
      </c>
      <c r="BN321" s="88" t="str">
        <f t="shared" si="403"/>
        <v/>
      </c>
      <c r="BO321" s="66" t="str">
        <f t="shared" si="404"/>
        <v>OK Maksimir</v>
      </c>
      <c r="BP321" s="47" t="s">
        <v>0</v>
      </c>
      <c r="BQ321" s="52" t="str">
        <f>IF(X321&lt;&gt;"NEMA","",IF(IFERROR(MATCH(W321,W$12:W320,0),0)&lt;&gt;0,"",W321))</f>
        <v/>
      </c>
      <c r="BR321" s="73" t="str">
        <f t="shared" si="405"/>
        <v/>
      </c>
      <c r="BS321" s="31" t="str">
        <f>IF(OR(BR321="",BR321&lt;&gt;"NEMA"),"",MAX(BS$12:BS320)+1)</f>
        <v/>
      </c>
      <c r="BT321" s="66" t="str">
        <f t="shared" si="406"/>
        <v/>
      </c>
      <c r="BU321" s="47" t="s">
        <v>0</v>
      </c>
      <c r="BV321" s="19" t="str">
        <f t="shared" si="407"/>
        <v/>
      </c>
      <c r="BW321" s="47" t="s">
        <v>0</v>
      </c>
      <c r="BX321" s="82" t="str">
        <f>IF(BK321&lt;&gt;"NEMA","",IF(IFERROR(MATCH(BJ321,BJ$12:BJ320,0),0)&lt;&gt;0,"",BJ321))</f>
        <v/>
      </c>
      <c r="BY321" s="47" t="s">
        <v>0</v>
      </c>
      <c r="BZ321" s="125"/>
      <c r="CA321" s="47" t="s">
        <v>0</v>
      </c>
      <c r="CB321" s="58" t="str">
        <f t="shared" si="408"/>
        <v/>
      </c>
      <c r="CC321" s="31" t="str">
        <f t="shared" si="409"/>
        <v/>
      </c>
      <c r="CD321" s="31" t="str">
        <f>IF(CC321="","",MAX(CD$12:CD320)+1)</f>
        <v/>
      </c>
      <c r="CE321" s="31" t="str">
        <f t="shared" si="365"/>
        <v/>
      </c>
      <c r="CF321" s="31" t="str">
        <f t="shared" si="410"/>
        <v/>
      </c>
      <c r="CG321" s="31" t="str">
        <f>IF(BZ321="","",MAX(CG$12:CG320)+1)</f>
        <v/>
      </c>
      <c r="CH321" s="31" t="str">
        <f t="shared" si="411"/>
        <v/>
      </c>
      <c r="CI321" s="66" t="str">
        <f t="shared" si="412"/>
        <v/>
      </c>
      <c r="CJ321" s="47" t="s">
        <v>0</v>
      </c>
      <c r="CK321" s="73" t="str">
        <f t="shared" si="366"/>
        <v/>
      </c>
      <c r="CL321" s="47"/>
      <c r="CM321" s="19" t="str">
        <f t="shared" si="413"/>
        <v/>
      </c>
      <c r="CN321" s="47" t="s">
        <v>0</v>
      </c>
      <c r="CO321" s="143" t="str">
        <f t="shared" si="414"/>
        <v>OK Maksimir</v>
      </c>
      <c r="CP321" s="47" t="s">
        <v>0</v>
      </c>
      <c r="CQ321" s="58" t="str">
        <f t="shared" si="430"/>
        <v>52:15</v>
      </c>
      <c r="CR321" s="73" t="str">
        <f t="shared" si="431"/>
        <v>0</v>
      </c>
      <c r="CS321" s="229" t="str">
        <f t="shared" si="367"/>
        <v/>
      </c>
      <c r="CT321" s="230">
        <f t="shared" si="432"/>
        <v>3135</v>
      </c>
      <c r="CU321" s="163">
        <f t="shared" si="368"/>
        <v>1</v>
      </c>
      <c r="CV321" s="47" t="s">
        <v>0</v>
      </c>
      <c r="CW321" s="222" t="str">
        <f t="shared" si="415"/>
        <v xml:space="preserve">
</v>
      </c>
      <c r="CX321" s="223">
        <f t="shared" si="416"/>
        <v>6</v>
      </c>
      <c r="CY321" s="47" t="s">
        <v>0</v>
      </c>
      <c r="CZ321" s="47"/>
      <c r="DA321" s="47"/>
      <c r="DB321" s="47"/>
      <c r="DC321" s="47" t="s">
        <v>0</v>
      </c>
      <c r="DD321" s="53" t="str">
        <f t="shared" si="424"/>
        <v/>
      </c>
      <c r="DE321" t="s">
        <v>0</v>
      </c>
      <c r="DF321" s="128" t="str">
        <f t="shared" si="425"/>
        <v>Ž</v>
      </c>
      <c r="DG321" t="s">
        <v>0</v>
      </c>
      <c r="DH321" s="52" t="str">
        <f t="shared" si="426"/>
        <v/>
      </c>
      <c r="DI321" s="66" t="str">
        <f t="shared" si="427"/>
        <v/>
      </c>
      <c r="DJ321" t="s">
        <v>0</v>
      </c>
      <c r="DK321" s="19" t="str">
        <f t="shared" si="428"/>
        <v/>
      </c>
      <c r="DL321" s="47" t="s">
        <v>0</v>
      </c>
      <c r="DM321" s="19" t="str">
        <f t="shared" si="429"/>
        <v/>
      </c>
      <c r="DN321" s="47" t="s">
        <v>0</v>
      </c>
      <c r="DO321" s="52" t="str">
        <f t="shared" si="369"/>
        <v>Evelyn – Kraintz – OK Maksimir – Ž45</v>
      </c>
      <c r="DP321" s="53">
        <f t="shared" si="370"/>
        <v>363</v>
      </c>
      <c r="DQ321" s="47" t="s">
        <v>0</v>
      </c>
      <c r="DR321" s="52" t="str">
        <f t="shared" si="371"/>
        <v>Evelyn – Kraintz – OK Maksimir</v>
      </c>
      <c r="DS321" s="53">
        <f t="shared" si="372"/>
        <v>363</v>
      </c>
      <c r="DT321" s="47" t="s">
        <v>0</v>
      </c>
      <c r="DU321" s="52" t="str">
        <f t="shared" si="373"/>
        <v>Evelyn – Kraintz</v>
      </c>
      <c r="DV321" s="53">
        <f t="shared" si="374"/>
        <v>363</v>
      </c>
      <c r="DW321" s="47" t="s">
        <v>0</v>
      </c>
      <c r="DX321" s="58">
        <f t="shared" si="417"/>
        <v>363</v>
      </c>
      <c r="DY321" s="53" cm="1">
        <f t="array" ref="DY321">IF(DX321&lt;&gt;"",INDEX(regNatjecatelj_id,DX321,0),IF(BD321&lt;&gt;"",BD321,""))</f>
        <v>1225</v>
      </c>
      <c r="DZ321" s="47" t="s">
        <v>0</v>
      </c>
      <c r="EA321" s="58" t="str">
        <f t="shared" si="375"/>
        <v>imepre</v>
      </c>
      <c r="EB321" s="73" t="str">
        <f t="shared" si="376"/>
        <v>klu</v>
      </c>
      <c r="EC321" s="73" t="str">
        <f t="shared" si="377"/>
        <v>kat</v>
      </c>
      <c r="ED321" s="73" t="str">
        <f t="shared" si="378"/>
        <v/>
      </c>
      <c r="EE321" s="66" t="str">
        <f t="shared" si="379"/>
        <v>imepre-klu-kat</v>
      </c>
      <c r="EF321" s="47" t="s">
        <v>0</v>
      </c>
      <c r="EG321" s="58">
        <f>IF(AL321="","",MAX(EG$12:EG320)+1)</f>
        <v>469</v>
      </c>
      <c r="EH321" s="73">
        <f t="shared" si="380"/>
        <v>42</v>
      </c>
      <c r="EI321" s="73">
        <f t="shared" si="418"/>
        <v>1225</v>
      </c>
      <c r="EJ321" s="73">
        <f t="shared" si="381"/>
        <v>3135</v>
      </c>
      <c r="EK321" s="73">
        <f t="shared" si="382"/>
        <v>1</v>
      </c>
      <c r="EL321" s="73">
        <f t="shared" si="419"/>
        <v>1</v>
      </c>
      <c r="EM321" s="73">
        <f t="shared" si="420"/>
        <v>1</v>
      </c>
      <c r="EN321" s="73" t="str">
        <f t="shared" si="383"/>
        <v>0</v>
      </c>
      <c r="EO321" s="73" t="str">
        <f t="shared" si="384"/>
        <v/>
      </c>
      <c r="EP321" s="73" t="str">
        <f t="shared" si="385"/>
        <v/>
      </c>
      <c r="EQ321" s="53" t="str">
        <f t="shared" si="386"/>
        <v/>
      </c>
      <c r="ER321" s="47" t="s">
        <v>0</v>
      </c>
      <c r="ES321" s="19" t="str">
        <f t="shared" si="421"/>
        <v>INSERT INTO rezultat(id,stazakategorija_id,imeprezime_id,vrijeme_sec,status_id,registracija,uparivanje_id,originalstatus_id,imeprezimealias_id,klubalias_id,kategorijaalias_id) VALUES (469,42,1225,3135,1,1,1,0,Null,Null,Null);</v>
      </c>
      <c r="ET321" s="47" t="s">
        <v>0</v>
      </c>
      <c r="EU321" s="19" t="str">
        <f t="shared" si="422"/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1" s="47" t="s">
        <v>0</v>
      </c>
      <c r="EW321" s="180" t="str">
        <f t="shared" si="387"/>
        <v xml:space="preserve">
INSERT INTO rezultat(id,stazakategorija_id,imeprezime_id,vrijeme_sec,status_id,registracija,uparivanje_id,originalstatus_id,imeprezimealias_id,klubalias_id,kategorijaalias_id) VALUES (469,42,1225,3135,1,1,1,0,Null,Null,Null);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1" s="47" t="s">
        <v>0</v>
      </c>
    </row>
    <row r="322" spans="1:154" x14ac:dyDescent="0.25">
      <c r="A322" t="s">
        <v>0</v>
      </c>
      <c r="B322" s="52" t="str">
        <f>IF(csv!F312="","",csv!T312)</f>
        <v>Ž45</v>
      </c>
      <c r="C322" s="31" t="s">
        <v>0</v>
      </c>
      <c r="D322" s="31" t="str">
        <f>IF(csv!F312="","",csv!F312)</f>
        <v>Gabrijela</v>
      </c>
      <c r="E322" s="31" t="str">
        <f>IF(csv!E312="","",csv!E312)</f>
        <v>Baburek</v>
      </c>
      <c r="F322" s="31" t="s">
        <v>0</v>
      </c>
      <c r="G322" s="73" t="str">
        <f>IF(csv!M312="","",csv!M312)</f>
        <v>53:45</v>
      </c>
      <c r="H322" s="73" t="str">
        <f>IF(csv!N312="","",csv!N312)</f>
        <v>0</v>
      </c>
      <c r="I322" s="31" t="s">
        <v>0</v>
      </c>
      <c r="J322" s="31" t="str">
        <f>IF(csv!P312="","",csv!P312)</f>
        <v>JAP</v>
      </c>
      <c r="K322" s="31" t="str">
        <f>IF(csv!Q312="","",csv!Q312)</f>
        <v>OK Japetic</v>
      </c>
      <c r="L322" s="31" t="s">
        <v>0</v>
      </c>
      <c r="M322" s="66" t="str">
        <f>IF(csv!R312="","",csv!R312)</f>
        <v>CRO</v>
      </c>
      <c r="N322" s="47" t="s">
        <v>0</v>
      </c>
      <c r="O322" s="246" t="str">
        <f t="shared" si="388"/>
        <v>ok</v>
      </c>
      <c r="P322" s="47"/>
      <c r="Q322" s="52" t="str">
        <f t="shared" si="389"/>
        <v>Ž45</v>
      </c>
      <c r="R322" s="73">
        <f>IF(Q322="","",IF(COUNTIF(Q$12:Q321,Q322)=0,R321+1,R321))</f>
        <v>20</v>
      </c>
      <c r="S322" s="73">
        <f t="shared" si="390"/>
        <v>116</v>
      </c>
      <c r="T322" s="73">
        <f t="shared" si="353"/>
        <v>25</v>
      </c>
      <c r="U322" s="66" t="str">
        <f t="shared" si="354"/>
        <v>Ž45</v>
      </c>
      <c r="V322" s="47" t="s">
        <v>0</v>
      </c>
      <c r="W322" s="222" t="str">
        <f t="shared" si="355"/>
        <v>Ž45</v>
      </c>
      <c r="X322" s="223">
        <f t="shared" si="356"/>
        <v>42</v>
      </c>
      <c r="Y322" s="47" t="s">
        <v>0</v>
      </c>
      <c r="Z322" s="52" t="str">
        <f t="shared" si="391"/>
        <v>CRO</v>
      </c>
      <c r="AA322" s="73">
        <f t="shared" si="357"/>
        <v>1</v>
      </c>
      <c r="AB322" s="31" t="str">
        <f t="shared" si="392"/>
        <v/>
      </c>
      <c r="AC322" s="66" t="str">
        <f>IF(AB322="","",MAX(AC$12:AC321)+1)</f>
        <v/>
      </c>
      <c r="AD322" s="47" t="s">
        <v>0</v>
      </c>
      <c r="AE322" s="125"/>
      <c r="AF322" s="47" t="s">
        <v>0</v>
      </c>
      <c r="AG322" s="19" t="str">
        <f t="shared" si="393"/>
        <v/>
      </c>
      <c r="AH322" s="47" t="s">
        <v>0</v>
      </c>
      <c r="AI322" s="143" t="str">
        <f t="shared" si="394"/>
        <v>CRO</v>
      </c>
      <c r="AJ322" s="47"/>
      <c r="AK322" s="52" t="str">
        <f t="shared" si="395"/>
        <v>Gabrijela</v>
      </c>
      <c r="AL322" s="31" t="str">
        <f t="shared" si="396"/>
        <v>Baburek</v>
      </c>
      <c r="AM322" s="73">
        <f t="shared" si="397"/>
        <v>1217</v>
      </c>
      <c r="AN322" s="73" t="str">
        <f t="shared" si="398"/>
        <v/>
      </c>
      <c r="AO322" s="31" t="str">
        <f t="shared" si="358"/>
        <v>Gabrijela</v>
      </c>
      <c r="AP322" s="66" t="str">
        <f t="shared" si="359"/>
        <v>Baburek</v>
      </c>
      <c r="AQ322" s="47" t="s">
        <v>0</v>
      </c>
      <c r="AR322" s="82" t="str">
        <f t="shared" si="399"/>
        <v/>
      </c>
      <c r="AS322" s="47" t="s">
        <v>0</v>
      </c>
      <c r="AT322" s="19" t="str">
        <f t="shared" si="400"/>
        <v/>
      </c>
      <c r="AU322" s="47" t="s">
        <v>0</v>
      </c>
      <c r="AV322" s="103"/>
      <c r="AW322" s="105"/>
      <c r="AX322" s="47" t="s">
        <v>0</v>
      </c>
      <c r="AY322" s="259" t="str">
        <f t="shared" si="423"/>
        <v/>
      </c>
      <c r="AZ322" s="47" t="s">
        <v>0</v>
      </c>
      <c r="BA322" s="52" t="str">
        <f t="shared" si="360"/>
        <v/>
      </c>
      <c r="BB322" s="73" t="str">
        <f>IF(AV322&amp;AW322="","",MAX(BB$12:BB321)+1)</f>
        <v/>
      </c>
      <c r="BC322" s="272" t="str">
        <f t="shared" si="361"/>
        <v/>
      </c>
      <c r="BD322" s="53" t="str">
        <f>IF(AND(AM322="NEMA",AN322="NEMA",OR(AV322&amp;AW322="",BC322="NEMA")),MAX(BD$12:BD321)+1,"")</f>
        <v/>
      </c>
      <c r="BE322" s="47" t="s">
        <v>0</v>
      </c>
      <c r="BF322" s="52" t="str">
        <f t="shared" si="401"/>
        <v>Gabrijela</v>
      </c>
      <c r="BG322" s="66" t="str">
        <f t="shared" si="402"/>
        <v>Baburek</v>
      </c>
      <c r="BH322" s="47" t="s">
        <v>0</v>
      </c>
      <c r="BI322" s="52" t="str">
        <f t="shared" si="362"/>
        <v>JAP</v>
      </c>
      <c r="BJ322" s="31" t="str">
        <f t="shared" si="363"/>
        <v>OK Japetic</v>
      </c>
      <c r="BK322" s="73">
        <f t="shared" si="364"/>
        <v>1</v>
      </c>
      <c r="BL322" s="31" t="str" cm="1">
        <f t="array" ref="BL322">IF(BK322="",""&amp;BJ322,IF(BK322="NEMA",BJ322,INDEX(regKlub_naziv,MATCH(INDEX(regKlub_alias_klubId,BK322),regKlub_id,0))))</f>
        <v>OK Japetić</v>
      </c>
      <c r="BM322" s="31" t="str" cm="1">
        <f t="array" ref="BM322">IFERROR(""&amp;INDEX(regNatjecatelj_klub,DV322),"")</f>
        <v>OK Japetić</v>
      </c>
      <c r="BN322" s="88" t="str">
        <f t="shared" si="403"/>
        <v/>
      </c>
      <c r="BO322" s="66" t="str">
        <f t="shared" si="404"/>
        <v>OK Japetić</v>
      </c>
      <c r="BP322" s="47" t="s">
        <v>0</v>
      </c>
      <c r="BQ322" s="52" t="str">
        <f>IF(X322&lt;&gt;"NEMA","",IF(IFERROR(MATCH(W322,W$12:W321,0),0)&lt;&gt;0,"",W322))</f>
        <v/>
      </c>
      <c r="BR322" s="73" t="str">
        <f t="shared" si="405"/>
        <v/>
      </c>
      <c r="BS322" s="31" t="str">
        <f>IF(OR(BR322="",BR322&lt;&gt;"NEMA"),"",MAX(BS$12:BS321)+1)</f>
        <v/>
      </c>
      <c r="BT322" s="66" t="str">
        <f t="shared" si="406"/>
        <v/>
      </c>
      <c r="BU322" s="47" t="s">
        <v>0</v>
      </c>
      <c r="BV322" s="19" t="str">
        <f t="shared" si="407"/>
        <v/>
      </c>
      <c r="BW322" s="47" t="s">
        <v>0</v>
      </c>
      <c r="BX322" s="82" t="str">
        <f>IF(BK322&lt;&gt;"NEMA","",IF(IFERROR(MATCH(BJ322,BJ$12:BJ321,0),0)&lt;&gt;0,"",BJ322))</f>
        <v/>
      </c>
      <c r="BY322" s="47" t="s">
        <v>0</v>
      </c>
      <c r="BZ322" s="125"/>
      <c r="CA322" s="47" t="s">
        <v>0</v>
      </c>
      <c r="CB322" s="58" t="str">
        <f t="shared" si="408"/>
        <v/>
      </c>
      <c r="CC322" s="31" t="str">
        <f t="shared" si="409"/>
        <v/>
      </c>
      <c r="CD322" s="31" t="str">
        <f>IF(CC322="","",MAX(CD$12:CD321)+1)</f>
        <v/>
      </c>
      <c r="CE322" s="31" t="str">
        <f t="shared" si="365"/>
        <v/>
      </c>
      <c r="CF322" s="31" t="str">
        <f t="shared" si="410"/>
        <v/>
      </c>
      <c r="CG322" s="31" t="str">
        <f>IF(BZ322="","",MAX(CG$12:CG321)+1)</f>
        <v/>
      </c>
      <c r="CH322" s="31" t="str">
        <f t="shared" si="411"/>
        <v/>
      </c>
      <c r="CI322" s="66" t="str">
        <f t="shared" si="412"/>
        <v/>
      </c>
      <c r="CJ322" s="47" t="s">
        <v>0</v>
      </c>
      <c r="CK322" s="73" t="str">
        <f t="shared" si="366"/>
        <v/>
      </c>
      <c r="CL322" s="47"/>
      <c r="CM322" s="19" t="str">
        <f t="shared" si="413"/>
        <v/>
      </c>
      <c r="CN322" s="47" t="s">
        <v>0</v>
      </c>
      <c r="CO322" s="143" t="str">
        <f t="shared" si="414"/>
        <v>OK Japetić</v>
      </c>
      <c r="CP322" s="47" t="s">
        <v>0</v>
      </c>
      <c r="CQ322" s="58" t="str">
        <f t="shared" si="430"/>
        <v>53:45</v>
      </c>
      <c r="CR322" s="73" t="str">
        <f t="shared" si="431"/>
        <v>0</v>
      </c>
      <c r="CS322" s="229" t="str">
        <f t="shared" si="367"/>
        <v/>
      </c>
      <c r="CT322" s="230">
        <f t="shared" si="432"/>
        <v>3225</v>
      </c>
      <c r="CU322" s="163">
        <f t="shared" si="368"/>
        <v>1</v>
      </c>
      <c r="CV322" s="47" t="s">
        <v>0</v>
      </c>
      <c r="CW322" s="222" t="str">
        <f t="shared" si="415"/>
        <v xml:space="preserve">
</v>
      </c>
      <c r="CX322" s="223">
        <f t="shared" si="416"/>
        <v>6</v>
      </c>
      <c r="CY322" s="47" t="s">
        <v>0</v>
      </c>
      <c r="CZ322" s="47"/>
      <c r="DA322" s="47"/>
      <c r="DB322" s="47"/>
      <c r="DC322" s="47" t="s">
        <v>0</v>
      </c>
      <c r="DD322" s="53" t="str">
        <f t="shared" si="424"/>
        <v/>
      </c>
      <c r="DE322" t="s">
        <v>0</v>
      </c>
      <c r="DF322" s="128" t="str">
        <f t="shared" si="425"/>
        <v>Ž</v>
      </c>
      <c r="DG322" t="s">
        <v>0</v>
      </c>
      <c r="DH322" s="52" t="str">
        <f t="shared" si="426"/>
        <v/>
      </c>
      <c r="DI322" s="66" t="str">
        <f t="shared" si="427"/>
        <v/>
      </c>
      <c r="DJ322" t="s">
        <v>0</v>
      </c>
      <c r="DK322" s="19" t="str">
        <f t="shared" si="428"/>
        <v/>
      </c>
      <c r="DL322" s="47" t="s">
        <v>0</v>
      </c>
      <c r="DM322" s="19" t="str">
        <f t="shared" si="429"/>
        <v/>
      </c>
      <c r="DN322" s="47" t="s">
        <v>0</v>
      </c>
      <c r="DO322" s="52" t="str">
        <f t="shared" si="369"/>
        <v>Gabrijela – Baburek – OK Japetić – Ž45</v>
      </c>
      <c r="DP322" s="53">
        <f t="shared" si="370"/>
        <v>73</v>
      </c>
      <c r="DQ322" s="47" t="s">
        <v>0</v>
      </c>
      <c r="DR322" s="52" t="str">
        <f t="shared" si="371"/>
        <v>Gabrijela – Baburek – OK Japetić</v>
      </c>
      <c r="DS322" s="53">
        <f t="shared" si="372"/>
        <v>73</v>
      </c>
      <c r="DT322" s="47" t="s">
        <v>0</v>
      </c>
      <c r="DU322" s="52" t="str">
        <f t="shared" si="373"/>
        <v>Gabrijela – Baburek</v>
      </c>
      <c r="DV322" s="53">
        <f t="shared" si="374"/>
        <v>73</v>
      </c>
      <c r="DW322" s="47" t="s">
        <v>0</v>
      </c>
      <c r="DX322" s="58">
        <f t="shared" si="417"/>
        <v>73</v>
      </c>
      <c r="DY322" s="53" cm="1">
        <f t="array" ref="DY322">IF(DX322&lt;&gt;"",INDEX(regNatjecatelj_id,DX322,0),IF(BD322&lt;&gt;"",BD322,""))</f>
        <v>1217</v>
      </c>
      <c r="DZ322" s="47" t="s">
        <v>0</v>
      </c>
      <c r="EA322" s="58" t="str">
        <f t="shared" si="375"/>
        <v>imepre</v>
      </c>
      <c r="EB322" s="73" t="str">
        <f t="shared" si="376"/>
        <v>klu(ali)</v>
      </c>
      <c r="EC322" s="73" t="str">
        <f t="shared" si="377"/>
        <v>kat</v>
      </c>
      <c r="ED322" s="73" t="str">
        <f t="shared" si="378"/>
        <v/>
      </c>
      <c r="EE322" s="66" t="str">
        <f t="shared" si="379"/>
        <v>imepre-klu(ali)-kat</v>
      </c>
      <c r="EF322" s="47" t="s">
        <v>0</v>
      </c>
      <c r="EG322" s="58">
        <f>IF(AL322="","",MAX(EG$12:EG321)+1)</f>
        <v>470</v>
      </c>
      <c r="EH322" s="73">
        <f t="shared" si="380"/>
        <v>42</v>
      </c>
      <c r="EI322" s="73">
        <f t="shared" si="418"/>
        <v>1217</v>
      </c>
      <c r="EJ322" s="73">
        <f t="shared" si="381"/>
        <v>3225</v>
      </c>
      <c r="EK322" s="73">
        <f t="shared" si="382"/>
        <v>1</v>
      </c>
      <c r="EL322" s="73">
        <f t="shared" si="419"/>
        <v>1</v>
      </c>
      <c r="EM322" s="73">
        <f t="shared" si="420"/>
        <v>3</v>
      </c>
      <c r="EN322" s="73" t="str">
        <f t="shared" si="383"/>
        <v>0</v>
      </c>
      <c r="EO322" s="73" t="str">
        <f t="shared" si="384"/>
        <v/>
      </c>
      <c r="EP322" s="73">
        <f t="shared" si="385"/>
        <v>1</v>
      </c>
      <c r="EQ322" s="53" t="str">
        <f t="shared" si="386"/>
        <v/>
      </c>
      <c r="ER322" s="47" t="s">
        <v>0</v>
      </c>
      <c r="ES322" s="19" t="str">
        <f t="shared" si="421"/>
        <v>INSERT INTO rezultat(id,stazakategorija_id,imeprezime_id,vrijeme_sec,status_id,registracija,uparivanje_id,originalstatus_id,imeprezimealias_id,klubalias_id,kategorijaalias_id) VALUES (470,42,1217,3225,1,1,3,0,Null,1,Null);</v>
      </c>
      <c r="ET322" s="47" t="s">
        <v>0</v>
      </c>
      <c r="EU322" s="19" t="str">
        <f t="shared" si="422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2" s="47" t="s">
        <v>0</v>
      </c>
      <c r="EW322" s="180" t="str">
        <f t="shared" si="387"/>
        <v xml:space="preserve">
INSERT INTO rezultat(id,stazakategorija_id,imeprezime_id,vrijeme_sec,status_id,registracija,uparivanje_id,originalstatus_id,imeprezimealias_id,klubalias_id,kategorijaalias_id) VALUES (470,42,1217,3225,1,1,3,0,Null,1,Null);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2" s="47" t="s">
        <v>0</v>
      </c>
    </row>
    <row r="323" spans="1:154" x14ac:dyDescent="0.25">
      <c r="A323" t="s">
        <v>0</v>
      </c>
      <c r="B323" s="52" t="str">
        <f>IF(csv!F313="","",csv!T313)</f>
        <v>Ž45</v>
      </c>
      <c r="C323" s="31" t="s">
        <v>0</v>
      </c>
      <c r="D323" s="31" t="str">
        <f>IF(csv!F313="","",csv!F313)</f>
        <v>Beata Adrianna</v>
      </c>
      <c r="E323" s="31" t="str">
        <f>IF(csv!E313="","",csv!E313)</f>
        <v>Glinska</v>
      </c>
      <c r="F323" s="31" t="s">
        <v>0</v>
      </c>
      <c r="G323" s="73" t="str">
        <f>IF(csv!M313="","",csv!M313)</f>
        <v>54:07</v>
      </c>
      <c r="H323" s="73" t="str">
        <f>IF(csv!N313="","",csv!N313)</f>
        <v>0</v>
      </c>
      <c r="I323" s="31" t="s">
        <v>0</v>
      </c>
      <c r="J323" s="31" t="str">
        <f>IF(csv!P313="","",csv!P313)</f>
        <v>KAP</v>
      </c>
      <c r="K323" s="31" t="str">
        <f>IF(csv!Q313="","",csv!Q313)</f>
        <v>OK Kapela</v>
      </c>
      <c r="L323" s="31" t="s">
        <v>0</v>
      </c>
      <c r="M323" s="66" t="str">
        <f>IF(csv!R313="","",csv!R313)</f>
        <v>CRO</v>
      </c>
      <c r="N323" s="47" t="s">
        <v>0</v>
      </c>
      <c r="O323" s="246" t="str">
        <f t="shared" si="388"/>
        <v>ok</v>
      </c>
      <c r="P323" s="47"/>
      <c r="Q323" s="52" t="str">
        <f t="shared" si="389"/>
        <v>Ž45</v>
      </c>
      <c r="R323" s="73">
        <f>IF(Q323="","",IF(COUNTIF(Q$12:Q322,Q323)=0,R322+1,R322))</f>
        <v>20</v>
      </c>
      <c r="S323" s="73">
        <f t="shared" si="390"/>
        <v>116</v>
      </c>
      <c r="T323" s="73">
        <f t="shared" si="353"/>
        <v>25</v>
      </c>
      <c r="U323" s="66" t="str">
        <f t="shared" si="354"/>
        <v>Ž45</v>
      </c>
      <c r="V323" s="47" t="s">
        <v>0</v>
      </c>
      <c r="W323" s="222" t="str">
        <f t="shared" si="355"/>
        <v>Ž45</v>
      </c>
      <c r="X323" s="223">
        <f t="shared" si="356"/>
        <v>42</v>
      </c>
      <c r="Y323" s="47" t="s">
        <v>0</v>
      </c>
      <c r="Z323" s="52" t="str">
        <f t="shared" si="391"/>
        <v>CRO</v>
      </c>
      <c r="AA323" s="73">
        <f t="shared" si="357"/>
        <v>1</v>
      </c>
      <c r="AB323" s="31" t="str">
        <f t="shared" si="392"/>
        <v/>
      </c>
      <c r="AC323" s="66" t="str">
        <f>IF(AB323="","",MAX(AC$12:AC322)+1)</f>
        <v/>
      </c>
      <c r="AD323" s="47" t="s">
        <v>0</v>
      </c>
      <c r="AE323" s="125"/>
      <c r="AF323" s="47" t="s">
        <v>0</v>
      </c>
      <c r="AG323" s="19" t="str">
        <f t="shared" si="393"/>
        <v/>
      </c>
      <c r="AH323" s="47" t="s">
        <v>0</v>
      </c>
      <c r="AI323" s="143" t="str">
        <f t="shared" si="394"/>
        <v>CRO</v>
      </c>
      <c r="AJ323" s="47"/>
      <c r="AK323" s="52" t="str">
        <f t="shared" si="395"/>
        <v>Beata Adrianna</v>
      </c>
      <c r="AL323" s="31" t="str">
        <f t="shared" si="396"/>
        <v>Glinska</v>
      </c>
      <c r="AM323" s="73">
        <f t="shared" si="397"/>
        <v>1867</v>
      </c>
      <c r="AN323" s="73" t="str">
        <f t="shared" si="398"/>
        <v/>
      </c>
      <c r="AO323" s="31" t="str">
        <f t="shared" si="358"/>
        <v>Beata Adrianna</v>
      </c>
      <c r="AP323" s="66" t="str">
        <f t="shared" si="359"/>
        <v>Glinska</v>
      </c>
      <c r="AQ323" s="47" t="s">
        <v>0</v>
      </c>
      <c r="AR323" s="82" t="str">
        <f t="shared" si="399"/>
        <v/>
      </c>
      <c r="AS323" s="47" t="s">
        <v>0</v>
      </c>
      <c r="AT323" s="19" t="str">
        <f t="shared" si="400"/>
        <v/>
      </c>
      <c r="AU323" s="47" t="s">
        <v>0</v>
      </c>
      <c r="AV323" s="103"/>
      <c r="AW323" s="105"/>
      <c r="AX323" s="47" t="s">
        <v>0</v>
      </c>
      <c r="AY323" s="259" t="str">
        <f t="shared" si="423"/>
        <v/>
      </c>
      <c r="AZ323" s="47" t="s">
        <v>0</v>
      </c>
      <c r="BA323" s="52" t="str">
        <f t="shared" si="360"/>
        <v/>
      </c>
      <c r="BB323" s="73" t="str">
        <f>IF(AV323&amp;AW323="","",MAX(BB$12:BB322)+1)</f>
        <v/>
      </c>
      <c r="BC323" s="272" t="str">
        <f t="shared" si="361"/>
        <v/>
      </c>
      <c r="BD323" s="53" t="str">
        <f>IF(AND(AM323="NEMA",AN323="NEMA",OR(AV323&amp;AW323="",BC323="NEMA")),MAX(BD$12:BD322)+1,"")</f>
        <v/>
      </c>
      <c r="BE323" s="47" t="s">
        <v>0</v>
      </c>
      <c r="BF323" s="52" t="str">
        <f t="shared" si="401"/>
        <v>Beata Adrianna</v>
      </c>
      <c r="BG323" s="66" t="str">
        <f t="shared" si="402"/>
        <v>Glinska</v>
      </c>
      <c r="BH323" s="47" t="s">
        <v>0</v>
      </c>
      <c r="BI323" s="52" t="str">
        <f t="shared" si="362"/>
        <v>KAP</v>
      </c>
      <c r="BJ323" s="31" t="str">
        <f t="shared" si="363"/>
        <v>OK Kapela</v>
      </c>
      <c r="BK323" s="73" t="str">
        <f t="shared" si="364"/>
        <v/>
      </c>
      <c r="BL323" s="31" t="str" cm="1">
        <f t="array" ref="BL323">IF(BK323="",""&amp;BJ323,IF(BK323="NEMA",BJ323,INDEX(regKlub_naziv,MATCH(INDEX(regKlub_alias_klubId,BK323),regKlub_id,0))))</f>
        <v>OK Kapela</v>
      </c>
      <c r="BM323" s="31" t="str" cm="1">
        <f t="array" ref="BM323">IFERROR(""&amp;INDEX(regNatjecatelj_klub,DV323),"")</f>
        <v>OK Kapela</v>
      </c>
      <c r="BN323" s="88" t="str">
        <f t="shared" si="403"/>
        <v/>
      </c>
      <c r="BO323" s="66" t="str">
        <f t="shared" si="404"/>
        <v>OK Kapela</v>
      </c>
      <c r="BP323" s="47" t="s">
        <v>0</v>
      </c>
      <c r="BQ323" s="52" t="str">
        <f>IF(X323&lt;&gt;"NEMA","",IF(IFERROR(MATCH(W323,W$12:W322,0),0)&lt;&gt;0,"",W323))</f>
        <v/>
      </c>
      <c r="BR323" s="73" t="str">
        <f t="shared" si="405"/>
        <v/>
      </c>
      <c r="BS323" s="31" t="str">
        <f>IF(OR(BR323="",BR323&lt;&gt;"NEMA"),"",MAX(BS$12:BS322)+1)</f>
        <v/>
      </c>
      <c r="BT323" s="66" t="str">
        <f t="shared" si="406"/>
        <v/>
      </c>
      <c r="BU323" s="47" t="s">
        <v>0</v>
      </c>
      <c r="BV323" s="19" t="str">
        <f t="shared" si="407"/>
        <v/>
      </c>
      <c r="BW323" s="47" t="s">
        <v>0</v>
      </c>
      <c r="BX323" s="82" t="str">
        <f>IF(BK323&lt;&gt;"NEMA","",IF(IFERROR(MATCH(BJ323,BJ$12:BJ322,0),0)&lt;&gt;0,"",BJ323))</f>
        <v/>
      </c>
      <c r="BY323" s="47" t="s">
        <v>0</v>
      </c>
      <c r="BZ323" s="125"/>
      <c r="CA323" s="47" t="s">
        <v>0</v>
      </c>
      <c r="CB323" s="58" t="str">
        <f t="shared" si="408"/>
        <v/>
      </c>
      <c r="CC323" s="31" t="str">
        <f t="shared" si="409"/>
        <v/>
      </c>
      <c r="CD323" s="31" t="str">
        <f>IF(CC323="","",MAX(CD$12:CD322)+1)</f>
        <v/>
      </c>
      <c r="CE323" s="31" t="str">
        <f t="shared" si="365"/>
        <v/>
      </c>
      <c r="CF323" s="31" t="str">
        <f t="shared" si="410"/>
        <v/>
      </c>
      <c r="CG323" s="31" t="str">
        <f>IF(BZ323="","",MAX(CG$12:CG322)+1)</f>
        <v/>
      </c>
      <c r="CH323" s="31" t="str">
        <f t="shared" si="411"/>
        <v/>
      </c>
      <c r="CI323" s="66" t="str">
        <f t="shared" si="412"/>
        <v/>
      </c>
      <c r="CJ323" s="47" t="s">
        <v>0</v>
      </c>
      <c r="CK323" s="73" t="str">
        <f t="shared" si="366"/>
        <v/>
      </c>
      <c r="CL323" s="47"/>
      <c r="CM323" s="19" t="str">
        <f t="shared" si="413"/>
        <v/>
      </c>
      <c r="CN323" s="47" t="s">
        <v>0</v>
      </c>
      <c r="CO323" s="143" t="str">
        <f t="shared" si="414"/>
        <v>OK Kapela</v>
      </c>
      <c r="CP323" s="47" t="s">
        <v>0</v>
      </c>
      <c r="CQ323" s="58" t="str">
        <f t="shared" si="430"/>
        <v>54:07</v>
      </c>
      <c r="CR323" s="73" t="str">
        <f t="shared" si="431"/>
        <v>0</v>
      </c>
      <c r="CS323" s="229" t="str">
        <f t="shared" si="367"/>
        <v/>
      </c>
      <c r="CT323" s="230">
        <f t="shared" si="432"/>
        <v>3247</v>
      </c>
      <c r="CU323" s="163">
        <f t="shared" si="368"/>
        <v>1</v>
      </c>
      <c r="CV323" s="47" t="s">
        <v>0</v>
      </c>
      <c r="CW323" s="222" t="str">
        <f t="shared" si="415"/>
        <v xml:space="preserve">
</v>
      </c>
      <c r="CX323" s="223">
        <f t="shared" si="416"/>
        <v>6</v>
      </c>
      <c r="CY323" s="47" t="s">
        <v>0</v>
      </c>
      <c r="CZ323" s="47"/>
      <c r="DA323" s="47"/>
      <c r="DB323" s="47"/>
      <c r="DC323" s="47" t="s">
        <v>0</v>
      </c>
      <c r="DD323" s="53" t="str">
        <f t="shared" si="424"/>
        <v/>
      </c>
      <c r="DE323" t="s">
        <v>0</v>
      </c>
      <c r="DF323" s="128" t="str">
        <f t="shared" si="425"/>
        <v>Ž</v>
      </c>
      <c r="DG323" t="s">
        <v>0</v>
      </c>
      <c r="DH323" s="52" t="str">
        <f t="shared" si="426"/>
        <v/>
      </c>
      <c r="DI323" s="66" t="str">
        <f t="shared" si="427"/>
        <v/>
      </c>
      <c r="DJ323" t="s">
        <v>0</v>
      </c>
      <c r="DK323" s="19" t="str">
        <f t="shared" si="428"/>
        <v/>
      </c>
      <c r="DL323" s="47" t="s">
        <v>0</v>
      </c>
      <c r="DM323" s="19" t="str">
        <f t="shared" si="429"/>
        <v/>
      </c>
      <c r="DN323" s="47" t="s">
        <v>0</v>
      </c>
      <c r="DO323" s="52" t="str">
        <f t="shared" si="369"/>
        <v>Beata Adrianna – Glinska – OK Kapela – Ž45</v>
      </c>
      <c r="DP323" s="53">
        <f t="shared" si="370"/>
        <v>244</v>
      </c>
      <c r="DQ323" s="47" t="s">
        <v>0</v>
      </c>
      <c r="DR323" s="52" t="str">
        <f t="shared" si="371"/>
        <v>Beata Adrianna – Glinska – OK Kapela</v>
      </c>
      <c r="DS323" s="53">
        <f t="shared" si="372"/>
        <v>244</v>
      </c>
      <c r="DT323" s="47" t="s">
        <v>0</v>
      </c>
      <c r="DU323" s="52" t="str">
        <f t="shared" si="373"/>
        <v>Beata Adrianna – Glinska</v>
      </c>
      <c r="DV323" s="53">
        <f t="shared" si="374"/>
        <v>244</v>
      </c>
      <c r="DW323" s="47" t="s">
        <v>0</v>
      </c>
      <c r="DX323" s="58">
        <f t="shared" si="417"/>
        <v>244</v>
      </c>
      <c r="DY323" s="53" cm="1">
        <f t="array" ref="DY323">IF(DX323&lt;&gt;"",INDEX(regNatjecatelj_id,DX323,0),IF(BD323&lt;&gt;"",BD323,""))</f>
        <v>1867</v>
      </c>
      <c r="DZ323" s="47" t="s">
        <v>0</v>
      </c>
      <c r="EA323" s="58" t="str">
        <f t="shared" si="375"/>
        <v>imepre</v>
      </c>
      <c r="EB323" s="73" t="str">
        <f t="shared" si="376"/>
        <v>klu</v>
      </c>
      <c r="EC323" s="73" t="str">
        <f t="shared" si="377"/>
        <v>kat</v>
      </c>
      <c r="ED323" s="73" t="str">
        <f t="shared" si="378"/>
        <v/>
      </c>
      <c r="EE323" s="66" t="str">
        <f t="shared" si="379"/>
        <v>imepre-klu-kat</v>
      </c>
      <c r="EF323" s="47" t="s">
        <v>0</v>
      </c>
      <c r="EG323" s="58">
        <f>IF(AL323="","",MAX(EG$12:EG322)+1)</f>
        <v>471</v>
      </c>
      <c r="EH323" s="73">
        <f t="shared" si="380"/>
        <v>42</v>
      </c>
      <c r="EI323" s="73">
        <f t="shared" si="418"/>
        <v>1867</v>
      </c>
      <c r="EJ323" s="73">
        <f t="shared" si="381"/>
        <v>3247</v>
      </c>
      <c r="EK323" s="73">
        <f t="shared" si="382"/>
        <v>1</v>
      </c>
      <c r="EL323" s="73">
        <f t="shared" si="419"/>
        <v>1</v>
      </c>
      <c r="EM323" s="73">
        <f t="shared" si="420"/>
        <v>1</v>
      </c>
      <c r="EN323" s="73" t="str">
        <f t="shared" si="383"/>
        <v>0</v>
      </c>
      <c r="EO323" s="73" t="str">
        <f t="shared" si="384"/>
        <v/>
      </c>
      <c r="EP323" s="73" t="str">
        <f t="shared" si="385"/>
        <v/>
      </c>
      <c r="EQ323" s="53" t="str">
        <f t="shared" si="386"/>
        <v/>
      </c>
      <c r="ER323" s="47" t="s">
        <v>0</v>
      </c>
      <c r="ES323" s="19" t="str">
        <f t="shared" si="421"/>
        <v>INSERT INTO rezultat(id,stazakategorija_id,imeprezime_id,vrijeme_sec,status_id,registracija,uparivanje_id,originalstatus_id,imeprezimealias_id,klubalias_id,kategorijaalias_id) VALUES (471,42,1867,3247,1,1,1,0,Null,Null,Null);</v>
      </c>
      <c r="ET323" s="47" t="s">
        <v>0</v>
      </c>
      <c r="EU323" s="19" t="str">
        <f t="shared" si="422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3" s="47" t="s">
        <v>0</v>
      </c>
      <c r="EW323" s="180" t="str">
        <f t="shared" si="387"/>
        <v xml:space="preserve">
INSERT INTO rezultat(id,stazakategorija_id,imeprezime_id,vrijeme_sec,status_id,registracija,uparivanje_id,originalstatus_id,imeprezimealias_id,klubalias_id,kategorijaalias_id) VALUES (471,42,1867,3247,1,1,1,0,Null,Null,Null);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3" s="47" t="s">
        <v>0</v>
      </c>
    </row>
    <row r="324" spans="1:154" x14ac:dyDescent="0.25">
      <c r="A324" t="s">
        <v>0</v>
      </c>
      <c r="B324" s="52" t="str">
        <f>IF(csv!F314="","",csv!T314)</f>
        <v>Ž45</v>
      </c>
      <c r="C324" s="31" t="s">
        <v>0</v>
      </c>
      <c r="D324" s="31" t="str">
        <f>IF(csv!F314="","",csv!F314)</f>
        <v>Marija</v>
      </c>
      <c r="E324" s="31" t="str">
        <f>IF(csv!E314="","",csv!E314)</f>
        <v>Jazvić Mioković</v>
      </c>
      <c r="F324" s="31" t="s">
        <v>0</v>
      </c>
      <c r="G324" s="73" t="str">
        <f>IF(csv!M314="","",csv!M314)</f>
        <v>55:42</v>
      </c>
      <c r="H324" s="73" t="str">
        <f>IF(csv!N314="","",csv!N314)</f>
        <v>0</v>
      </c>
      <c r="I324" s="31" t="s">
        <v>0</v>
      </c>
      <c r="J324" s="31" t="str">
        <f>IF(csv!P314="","",csv!P314)</f>
        <v>KAP</v>
      </c>
      <c r="K324" s="31" t="str">
        <f>IF(csv!Q314="","",csv!Q314)</f>
        <v>OK Kapela</v>
      </c>
      <c r="L324" s="31" t="s">
        <v>0</v>
      </c>
      <c r="M324" s="66" t="str">
        <f>IF(csv!R314="","",csv!R314)</f>
        <v>CRO</v>
      </c>
      <c r="N324" s="47" t="s">
        <v>0</v>
      </c>
      <c r="O324" s="246" t="str">
        <f t="shared" si="388"/>
        <v>ok</v>
      </c>
      <c r="P324" s="47"/>
      <c r="Q324" s="52" t="str">
        <f t="shared" si="389"/>
        <v>Ž45</v>
      </c>
      <c r="R324" s="73">
        <f>IF(Q324="","",IF(COUNTIF(Q$12:Q323,Q324)=0,R323+1,R323))</f>
        <v>20</v>
      </c>
      <c r="S324" s="73">
        <f t="shared" si="390"/>
        <v>116</v>
      </c>
      <c r="T324" s="73">
        <f t="shared" si="353"/>
        <v>25</v>
      </c>
      <c r="U324" s="66" t="str">
        <f t="shared" si="354"/>
        <v>Ž45</v>
      </c>
      <c r="V324" s="47" t="s">
        <v>0</v>
      </c>
      <c r="W324" s="222" t="str">
        <f t="shared" si="355"/>
        <v>Ž45</v>
      </c>
      <c r="X324" s="223">
        <f t="shared" si="356"/>
        <v>42</v>
      </c>
      <c r="Y324" s="47" t="s">
        <v>0</v>
      </c>
      <c r="Z324" s="52" t="str">
        <f t="shared" si="391"/>
        <v>CRO</v>
      </c>
      <c r="AA324" s="73">
        <f t="shared" si="357"/>
        <v>1</v>
      </c>
      <c r="AB324" s="31" t="str">
        <f t="shared" si="392"/>
        <v/>
      </c>
      <c r="AC324" s="66" t="str">
        <f>IF(AB324="","",MAX(AC$12:AC323)+1)</f>
        <v/>
      </c>
      <c r="AD324" s="47" t="s">
        <v>0</v>
      </c>
      <c r="AE324" s="125"/>
      <c r="AF324" s="47" t="s">
        <v>0</v>
      </c>
      <c r="AG324" s="19" t="str">
        <f t="shared" si="393"/>
        <v/>
      </c>
      <c r="AH324" s="47" t="s">
        <v>0</v>
      </c>
      <c r="AI324" s="143" t="str">
        <f t="shared" si="394"/>
        <v>CRO</v>
      </c>
      <c r="AJ324" s="47"/>
      <c r="AK324" s="52" t="str">
        <f t="shared" si="395"/>
        <v>Marija</v>
      </c>
      <c r="AL324" s="31" t="str">
        <f t="shared" si="396"/>
        <v>Jazvić Mioković</v>
      </c>
      <c r="AM324" s="73">
        <f t="shared" si="397"/>
        <v>1128</v>
      </c>
      <c r="AN324" s="73" t="str">
        <f t="shared" si="398"/>
        <v/>
      </c>
      <c r="AO324" s="31" t="str">
        <f t="shared" si="358"/>
        <v>Marija</v>
      </c>
      <c r="AP324" s="66" t="str">
        <f t="shared" si="359"/>
        <v>Jazvić Mioković</v>
      </c>
      <c r="AQ324" s="47" t="s">
        <v>0</v>
      </c>
      <c r="AR324" s="82" t="str">
        <f t="shared" si="399"/>
        <v/>
      </c>
      <c r="AS324" s="47" t="s">
        <v>0</v>
      </c>
      <c r="AT324" s="19" t="str">
        <f t="shared" si="400"/>
        <v/>
      </c>
      <c r="AU324" s="47" t="s">
        <v>0</v>
      </c>
      <c r="AV324" s="103"/>
      <c r="AW324" s="105"/>
      <c r="AX324" s="47" t="s">
        <v>0</v>
      </c>
      <c r="AY324" s="259" t="str">
        <f t="shared" si="423"/>
        <v/>
      </c>
      <c r="AZ324" s="47" t="s">
        <v>0</v>
      </c>
      <c r="BA324" s="52" t="str">
        <f t="shared" si="360"/>
        <v/>
      </c>
      <c r="BB324" s="73" t="str">
        <f>IF(AV324&amp;AW324="","",MAX(BB$12:BB323)+1)</f>
        <v/>
      </c>
      <c r="BC324" s="272" t="str">
        <f t="shared" si="361"/>
        <v/>
      </c>
      <c r="BD324" s="53" t="str">
        <f>IF(AND(AM324="NEMA",AN324="NEMA",OR(AV324&amp;AW324="",BC324="NEMA")),MAX(BD$12:BD323)+1,"")</f>
        <v/>
      </c>
      <c r="BE324" s="47" t="s">
        <v>0</v>
      </c>
      <c r="BF324" s="52" t="str">
        <f t="shared" si="401"/>
        <v>Marija</v>
      </c>
      <c r="BG324" s="66" t="str">
        <f t="shared" si="402"/>
        <v>Jazvić Mioković</v>
      </c>
      <c r="BH324" s="47" t="s">
        <v>0</v>
      </c>
      <c r="BI324" s="52" t="str">
        <f t="shared" si="362"/>
        <v>KAP</v>
      </c>
      <c r="BJ324" s="31" t="str">
        <f t="shared" si="363"/>
        <v>OK Kapela</v>
      </c>
      <c r="BK324" s="73" t="str">
        <f t="shared" si="364"/>
        <v/>
      </c>
      <c r="BL324" s="31" t="str" cm="1">
        <f t="array" ref="BL324">IF(BK324="",""&amp;BJ324,IF(BK324="NEMA",BJ324,INDEX(regKlub_naziv,MATCH(INDEX(regKlub_alias_klubId,BK324),regKlub_id,0))))</f>
        <v>OK Kapela</v>
      </c>
      <c r="BM324" s="31" t="str" cm="1">
        <f t="array" ref="BM324">IFERROR(""&amp;INDEX(regNatjecatelj_klub,DV324),"")</f>
        <v>OK Kapela</v>
      </c>
      <c r="BN324" s="88" t="str">
        <f t="shared" si="403"/>
        <v/>
      </c>
      <c r="BO324" s="66" t="str">
        <f t="shared" si="404"/>
        <v>OK Kapela</v>
      </c>
      <c r="BP324" s="47" t="s">
        <v>0</v>
      </c>
      <c r="BQ324" s="52" t="str">
        <f>IF(X324&lt;&gt;"NEMA","",IF(IFERROR(MATCH(W324,W$12:W323,0),0)&lt;&gt;0,"",W324))</f>
        <v/>
      </c>
      <c r="BR324" s="73" t="str">
        <f t="shared" si="405"/>
        <v/>
      </c>
      <c r="BS324" s="31" t="str">
        <f>IF(OR(BR324="",BR324&lt;&gt;"NEMA"),"",MAX(BS$12:BS323)+1)</f>
        <v/>
      </c>
      <c r="BT324" s="66" t="str">
        <f t="shared" si="406"/>
        <v/>
      </c>
      <c r="BU324" s="47" t="s">
        <v>0</v>
      </c>
      <c r="BV324" s="19" t="str">
        <f t="shared" si="407"/>
        <v/>
      </c>
      <c r="BW324" s="47" t="s">
        <v>0</v>
      </c>
      <c r="BX324" s="82" t="str">
        <f>IF(BK324&lt;&gt;"NEMA","",IF(IFERROR(MATCH(BJ324,BJ$12:BJ323,0),0)&lt;&gt;0,"",BJ324))</f>
        <v/>
      </c>
      <c r="BY324" s="47" t="s">
        <v>0</v>
      </c>
      <c r="BZ324" s="125"/>
      <c r="CA324" s="47" t="s">
        <v>0</v>
      </c>
      <c r="CB324" s="58" t="str">
        <f t="shared" si="408"/>
        <v/>
      </c>
      <c r="CC324" s="31" t="str">
        <f t="shared" si="409"/>
        <v/>
      </c>
      <c r="CD324" s="31" t="str">
        <f>IF(CC324="","",MAX(CD$12:CD323)+1)</f>
        <v/>
      </c>
      <c r="CE324" s="31" t="str">
        <f t="shared" si="365"/>
        <v/>
      </c>
      <c r="CF324" s="31" t="str">
        <f t="shared" si="410"/>
        <v/>
      </c>
      <c r="CG324" s="31" t="str">
        <f>IF(BZ324="","",MAX(CG$12:CG323)+1)</f>
        <v/>
      </c>
      <c r="CH324" s="31" t="str">
        <f t="shared" si="411"/>
        <v/>
      </c>
      <c r="CI324" s="66" t="str">
        <f t="shared" si="412"/>
        <v/>
      </c>
      <c r="CJ324" s="47" t="s">
        <v>0</v>
      </c>
      <c r="CK324" s="73" t="str">
        <f t="shared" si="366"/>
        <v/>
      </c>
      <c r="CL324" s="47"/>
      <c r="CM324" s="19" t="str">
        <f t="shared" si="413"/>
        <v/>
      </c>
      <c r="CN324" s="47" t="s">
        <v>0</v>
      </c>
      <c r="CO324" s="143" t="str">
        <f t="shared" si="414"/>
        <v>OK Kapela</v>
      </c>
      <c r="CP324" s="47" t="s">
        <v>0</v>
      </c>
      <c r="CQ324" s="58" t="str">
        <f t="shared" si="430"/>
        <v>55:42</v>
      </c>
      <c r="CR324" s="73" t="str">
        <f t="shared" si="431"/>
        <v>0</v>
      </c>
      <c r="CS324" s="229" t="str">
        <f t="shared" si="367"/>
        <v/>
      </c>
      <c r="CT324" s="230">
        <f t="shared" si="432"/>
        <v>3342</v>
      </c>
      <c r="CU324" s="163">
        <f t="shared" si="368"/>
        <v>1</v>
      </c>
      <c r="CV324" s="47" t="s">
        <v>0</v>
      </c>
      <c r="CW324" s="222" t="str">
        <f t="shared" si="415"/>
        <v xml:space="preserve">
</v>
      </c>
      <c r="CX324" s="223">
        <f t="shared" si="416"/>
        <v>6</v>
      </c>
      <c r="CY324" s="47" t="s">
        <v>0</v>
      </c>
      <c r="CZ324" s="47"/>
      <c r="DA324" s="47"/>
      <c r="DB324" s="47"/>
      <c r="DC324" s="47" t="s">
        <v>0</v>
      </c>
      <c r="DD324" s="53" t="str">
        <f t="shared" si="424"/>
        <v/>
      </c>
      <c r="DE324" t="s">
        <v>0</v>
      </c>
      <c r="DF324" s="128" t="str">
        <f t="shared" si="425"/>
        <v>Ž</v>
      </c>
      <c r="DG324" t="s">
        <v>0</v>
      </c>
      <c r="DH324" s="52" t="str">
        <f t="shared" si="426"/>
        <v/>
      </c>
      <c r="DI324" s="66" t="str">
        <f t="shared" si="427"/>
        <v/>
      </c>
      <c r="DJ324" t="s">
        <v>0</v>
      </c>
      <c r="DK324" s="19" t="str">
        <f t="shared" si="428"/>
        <v/>
      </c>
      <c r="DL324" s="47" t="s">
        <v>0</v>
      </c>
      <c r="DM324" s="19" t="str">
        <f t="shared" si="429"/>
        <v/>
      </c>
      <c r="DN324" s="47" t="s">
        <v>0</v>
      </c>
      <c r="DO324" s="52" t="str">
        <f t="shared" si="369"/>
        <v>Marija – Jazvić Mioković – OK Kapela – Ž45</v>
      </c>
      <c r="DP324" s="53">
        <f t="shared" si="370"/>
        <v>258</v>
      </c>
      <c r="DQ324" s="47" t="s">
        <v>0</v>
      </c>
      <c r="DR324" s="52" t="str">
        <f t="shared" si="371"/>
        <v>Marija – Jazvić Mioković – OK Kapela</v>
      </c>
      <c r="DS324" s="53">
        <f t="shared" si="372"/>
        <v>258</v>
      </c>
      <c r="DT324" s="47" t="s">
        <v>0</v>
      </c>
      <c r="DU324" s="52" t="str">
        <f t="shared" si="373"/>
        <v>Marija – Jazvić Mioković</v>
      </c>
      <c r="DV324" s="53">
        <f t="shared" si="374"/>
        <v>258</v>
      </c>
      <c r="DW324" s="47" t="s">
        <v>0</v>
      </c>
      <c r="DX324" s="58">
        <f t="shared" si="417"/>
        <v>258</v>
      </c>
      <c r="DY324" s="53" cm="1">
        <f t="array" ref="DY324">IF(DX324&lt;&gt;"",INDEX(regNatjecatelj_id,DX324,0),IF(BD324&lt;&gt;"",BD324,""))</f>
        <v>1128</v>
      </c>
      <c r="DZ324" s="47" t="s">
        <v>0</v>
      </c>
      <c r="EA324" s="58" t="str">
        <f t="shared" si="375"/>
        <v>imepre</v>
      </c>
      <c r="EB324" s="73" t="str">
        <f t="shared" si="376"/>
        <v>klu</v>
      </c>
      <c r="EC324" s="73" t="str">
        <f t="shared" si="377"/>
        <v>kat</v>
      </c>
      <c r="ED324" s="73" t="str">
        <f t="shared" si="378"/>
        <v/>
      </c>
      <c r="EE324" s="66" t="str">
        <f t="shared" si="379"/>
        <v>imepre-klu-kat</v>
      </c>
      <c r="EF324" s="47" t="s">
        <v>0</v>
      </c>
      <c r="EG324" s="58">
        <f>IF(AL324="","",MAX(EG$12:EG323)+1)</f>
        <v>472</v>
      </c>
      <c r="EH324" s="73">
        <f t="shared" si="380"/>
        <v>42</v>
      </c>
      <c r="EI324" s="73">
        <f t="shared" si="418"/>
        <v>1128</v>
      </c>
      <c r="EJ324" s="73">
        <f t="shared" si="381"/>
        <v>3342</v>
      </c>
      <c r="EK324" s="73">
        <f t="shared" si="382"/>
        <v>1</v>
      </c>
      <c r="EL324" s="73">
        <f t="shared" si="419"/>
        <v>1</v>
      </c>
      <c r="EM324" s="73">
        <f t="shared" si="420"/>
        <v>1</v>
      </c>
      <c r="EN324" s="73" t="str">
        <f t="shared" si="383"/>
        <v>0</v>
      </c>
      <c r="EO324" s="73" t="str">
        <f t="shared" si="384"/>
        <v/>
      </c>
      <c r="EP324" s="73" t="str">
        <f t="shared" si="385"/>
        <v/>
      </c>
      <c r="EQ324" s="53" t="str">
        <f t="shared" si="386"/>
        <v/>
      </c>
      <c r="ER324" s="47" t="s">
        <v>0</v>
      </c>
      <c r="ES324" s="19" t="str">
        <f t="shared" si="421"/>
        <v>INSERT INTO rezultat(id,stazakategorija_id,imeprezime_id,vrijeme_sec,status_id,registracija,uparivanje_id,originalstatus_id,imeprezimealias_id,klubalias_id,kategorijaalias_id) VALUES (472,42,1128,3342,1,1,1,0,Null,Null,Null);</v>
      </c>
      <c r="ET324" s="47" t="s">
        <v>0</v>
      </c>
      <c r="EU324" s="19" t="str">
        <f t="shared" si="422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4" s="47" t="s">
        <v>0</v>
      </c>
      <c r="EW324" s="180" t="str">
        <f t="shared" si="387"/>
        <v xml:space="preserve">
INSERT INTO rezultat(id,stazakategorija_id,imeprezime_id,vrijeme_sec,status_id,registracija,uparivanje_id,originalstatus_id,imeprezimealias_id,klubalias_id,kategorijaalias_id) VALUES (472,42,1128,3342,1,1,1,0,Null,Null,Null);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4" s="47" t="s">
        <v>0</v>
      </c>
    </row>
    <row r="325" spans="1:154" x14ac:dyDescent="0.25">
      <c r="A325" t="s">
        <v>0</v>
      </c>
      <c r="B325" s="52" t="str">
        <f>IF(csv!F315="","",csv!T315)</f>
        <v>Ž45</v>
      </c>
      <c r="C325" s="31" t="s">
        <v>0</v>
      </c>
      <c r="D325" s="31" t="str">
        <f>IF(csv!F315="","",csv!F315)</f>
        <v>Marija</v>
      </c>
      <c r="E325" s="31" t="str">
        <f>IF(csv!E315="","",csv!E315)</f>
        <v>Schubert</v>
      </c>
      <c r="F325" s="31" t="s">
        <v>0</v>
      </c>
      <c r="G325" s="73" t="str">
        <f>IF(csv!M315="","",csv!M315)</f>
        <v>59:41</v>
      </c>
      <c r="H325" s="73" t="str">
        <f>IF(csv!N315="","",csv!N315)</f>
        <v>0</v>
      </c>
      <c r="I325" s="31" t="s">
        <v>0</v>
      </c>
      <c r="J325" s="31" t="str">
        <f>IF(csv!P315="","",csv!P315)</f>
        <v>OK Varaždin</v>
      </c>
      <c r="K325" s="31" t="str">
        <f>IF(csv!Q315="","",csv!Q315)</f>
        <v>OK Varaždin</v>
      </c>
      <c r="L325" s="31" t="s">
        <v>0</v>
      </c>
      <c r="M325" s="66" t="str">
        <f>IF(csv!R315="","",csv!R315)</f>
        <v>CRO</v>
      </c>
      <c r="N325" s="47" t="s">
        <v>0</v>
      </c>
      <c r="O325" s="246" t="str">
        <f t="shared" si="388"/>
        <v>ok</v>
      </c>
      <c r="P325" s="47"/>
      <c r="Q325" s="52" t="str">
        <f t="shared" si="389"/>
        <v>Ž45</v>
      </c>
      <c r="R325" s="73">
        <f>IF(Q325="","",IF(COUNTIF(Q$12:Q324,Q325)=0,R324+1,R324))</f>
        <v>20</v>
      </c>
      <c r="S325" s="73">
        <f t="shared" si="390"/>
        <v>116</v>
      </c>
      <c r="T325" s="73">
        <f t="shared" si="353"/>
        <v>25</v>
      </c>
      <c r="U325" s="66" t="str">
        <f t="shared" si="354"/>
        <v>Ž45</v>
      </c>
      <c r="V325" s="47" t="s">
        <v>0</v>
      </c>
      <c r="W325" s="222" t="str">
        <f t="shared" si="355"/>
        <v>Ž45</v>
      </c>
      <c r="X325" s="223">
        <f t="shared" si="356"/>
        <v>42</v>
      </c>
      <c r="Y325" s="47" t="s">
        <v>0</v>
      </c>
      <c r="Z325" s="52" t="str">
        <f t="shared" si="391"/>
        <v>CRO</v>
      </c>
      <c r="AA325" s="73">
        <f t="shared" si="357"/>
        <v>1</v>
      </c>
      <c r="AB325" s="31" t="str">
        <f t="shared" si="392"/>
        <v/>
      </c>
      <c r="AC325" s="66" t="str">
        <f>IF(AB325="","",MAX(AC$12:AC324)+1)</f>
        <v/>
      </c>
      <c r="AD325" s="47" t="s">
        <v>0</v>
      </c>
      <c r="AE325" s="125"/>
      <c r="AF325" s="47" t="s">
        <v>0</v>
      </c>
      <c r="AG325" s="19" t="str">
        <f t="shared" si="393"/>
        <v/>
      </c>
      <c r="AH325" s="47" t="s">
        <v>0</v>
      </c>
      <c r="AI325" s="143" t="str">
        <f t="shared" si="394"/>
        <v>CRO</v>
      </c>
      <c r="AJ325" s="47"/>
      <c r="AK325" s="52" t="str">
        <f t="shared" si="395"/>
        <v>Marija</v>
      </c>
      <c r="AL325" s="31" t="str">
        <f t="shared" si="396"/>
        <v>Schubert</v>
      </c>
      <c r="AM325" s="73">
        <f t="shared" si="397"/>
        <v>1270</v>
      </c>
      <c r="AN325" s="73" t="str">
        <f t="shared" si="398"/>
        <v/>
      </c>
      <c r="AO325" s="31" t="str">
        <f t="shared" si="358"/>
        <v>Marija</v>
      </c>
      <c r="AP325" s="66" t="str">
        <f t="shared" si="359"/>
        <v>Schubert</v>
      </c>
      <c r="AQ325" s="47" t="s">
        <v>0</v>
      </c>
      <c r="AR325" s="82" t="str">
        <f t="shared" si="399"/>
        <v/>
      </c>
      <c r="AS325" s="47" t="s">
        <v>0</v>
      </c>
      <c r="AT325" s="19" t="str">
        <f t="shared" si="400"/>
        <v/>
      </c>
      <c r="AU325" s="47" t="s">
        <v>0</v>
      </c>
      <c r="AV325" s="103"/>
      <c r="AW325" s="105"/>
      <c r="AX325" s="47" t="s">
        <v>0</v>
      </c>
      <c r="AY325" s="259" t="str">
        <f t="shared" si="423"/>
        <v/>
      </c>
      <c r="AZ325" s="47" t="s">
        <v>0</v>
      </c>
      <c r="BA325" s="52" t="str">
        <f t="shared" si="360"/>
        <v/>
      </c>
      <c r="BB325" s="73" t="str">
        <f>IF(AV325&amp;AW325="","",MAX(BB$12:BB324)+1)</f>
        <v/>
      </c>
      <c r="BC325" s="272" t="str">
        <f t="shared" si="361"/>
        <v/>
      </c>
      <c r="BD325" s="53" t="str">
        <f>IF(AND(AM325="NEMA",AN325="NEMA",OR(AV325&amp;AW325="",BC325="NEMA")),MAX(BD$12:BD324)+1,"")</f>
        <v/>
      </c>
      <c r="BE325" s="47" t="s">
        <v>0</v>
      </c>
      <c r="BF325" s="52" t="str">
        <f t="shared" si="401"/>
        <v>Marija</v>
      </c>
      <c r="BG325" s="66" t="str">
        <f t="shared" si="402"/>
        <v>Schubert</v>
      </c>
      <c r="BH325" s="47" t="s">
        <v>0</v>
      </c>
      <c r="BI325" s="52" t="str">
        <f t="shared" si="362"/>
        <v>OK Varaždin</v>
      </c>
      <c r="BJ325" s="31" t="str">
        <f t="shared" si="363"/>
        <v>OK Varaždin</v>
      </c>
      <c r="BK325" s="73" t="str">
        <f t="shared" si="364"/>
        <v/>
      </c>
      <c r="BL325" s="31" t="str" cm="1">
        <f t="array" ref="BL325">IF(BK325="",""&amp;BJ325,IF(BK325="NEMA",BJ325,INDEX(regKlub_naziv,MATCH(INDEX(regKlub_alias_klubId,BK325),regKlub_id,0))))</f>
        <v>OK Varaždin</v>
      </c>
      <c r="BM325" s="31" t="str" cm="1">
        <f t="array" ref="BM325">IFERROR(""&amp;INDEX(regNatjecatelj_klub,DV325),"")</f>
        <v>OK Varaždin</v>
      </c>
      <c r="BN325" s="88" t="str">
        <f t="shared" si="403"/>
        <v/>
      </c>
      <c r="BO325" s="66" t="str">
        <f t="shared" si="404"/>
        <v>OK Varaždin</v>
      </c>
      <c r="BP325" s="47" t="s">
        <v>0</v>
      </c>
      <c r="BQ325" s="52" t="str">
        <f>IF(X325&lt;&gt;"NEMA","",IF(IFERROR(MATCH(W325,W$12:W324,0),0)&lt;&gt;0,"",W325))</f>
        <v/>
      </c>
      <c r="BR325" s="73" t="str">
        <f t="shared" si="405"/>
        <v/>
      </c>
      <c r="BS325" s="31" t="str">
        <f>IF(OR(BR325="",BR325&lt;&gt;"NEMA"),"",MAX(BS$12:BS324)+1)</f>
        <v/>
      </c>
      <c r="BT325" s="66" t="str">
        <f t="shared" si="406"/>
        <v/>
      </c>
      <c r="BU325" s="47" t="s">
        <v>0</v>
      </c>
      <c r="BV325" s="19" t="str">
        <f t="shared" si="407"/>
        <v/>
      </c>
      <c r="BW325" s="47" t="s">
        <v>0</v>
      </c>
      <c r="BX325" s="82" t="str">
        <f>IF(BK325&lt;&gt;"NEMA","",IF(IFERROR(MATCH(BJ325,BJ$12:BJ324,0),0)&lt;&gt;0,"",BJ325))</f>
        <v/>
      </c>
      <c r="BY325" s="47" t="s">
        <v>0</v>
      </c>
      <c r="BZ325" s="125"/>
      <c r="CA325" s="47" t="s">
        <v>0</v>
      </c>
      <c r="CB325" s="58" t="str">
        <f t="shared" si="408"/>
        <v/>
      </c>
      <c r="CC325" s="31" t="str">
        <f t="shared" si="409"/>
        <v/>
      </c>
      <c r="CD325" s="31" t="str">
        <f>IF(CC325="","",MAX(CD$12:CD324)+1)</f>
        <v/>
      </c>
      <c r="CE325" s="31" t="str">
        <f t="shared" si="365"/>
        <v/>
      </c>
      <c r="CF325" s="31" t="str">
        <f t="shared" si="410"/>
        <v/>
      </c>
      <c r="CG325" s="31" t="str">
        <f>IF(BZ325="","",MAX(CG$12:CG324)+1)</f>
        <v/>
      </c>
      <c r="CH325" s="31" t="str">
        <f t="shared" si="411"/>
        <v/>
      </c>
      <c r="CI325" s="66" t="str">
        <f t="shared" si="412"/>
        <v/>
      </c>
      <c r="CJ325" s="47" t="s">
        <v>0</v>
      </c>
      <c r="CK325" s="73" t="str">
        <f t="shared" si="366"/>
        <v/>
      </c>
      <c r="CL325" s="47"/>
      <c r="CM325" s="19" t="str">
        <f t="shared" si="413"/>
        <v/>
      </c>
      <c r="CN325" s="47" t="s">
        <v>0</v>
      </c>
      <c r="CO325" s="143" t="str">
        <f t="shared" si="414"/>
        <v>OK Varaždin</v>
      </c>
      <c r="CP325" s="47" t="s">
        <v>0</v>
      </c>
      <c r="CQ325" s="58" t="str">
        <f t="shared" si="430"/>
        <v>59:41</v>
      </c>
      <c r="CR325" s="73" t="str">
        <f t="shared" si="431"/>
        <v>0</v>
      </c>
      <c r="CS325" s="229" t="str">
        <f t="shared" si="367"/>
        <v/>
      </c>
      <c r="CT325" s="230">
        <f t="shared" si="432"/>
        <v>3581</v>
      </c>
      <c r="CU325" s="163">
        <f t="shared" si="368"/>
        <v>1</v>
      </c>
      <c r="CV325" s="47" t="s">
        <v>0</v>
      </c>
      <c r="CW325" s="222" t="str">
        <f t="shared" si="415"/>
        <v xml:space="preserve">
</v>
      </c>
      <c r="CX325" s="223">
        <f t="shared" si="416"/>
        <v>6</v>
      </c>
      <c r="CY325" s="47" t="s">
        <v>0</v>
      </c>
      <c r="CZ325" s="47"/>
      <c r="DA325" s="47"/>
      <c r="DB325" s="47"/>
      <c r="DC325" s="47" t="s">
        <v>0</v>
      </c>
      <c r="DD325" s="53" t="str">
        <f t="shared" si="424"/>
        <v/>
      </c>
      <c r="DE325" t="s">
        <v>0</v>
      </c>
      <c r="DF325" s="128" t="str">
        <f t="shared" si="425"/>
        <v>Ž</v>
      </c>
      <c r="DG325" t="s">
        <v>0</v>
      </c>
      <c r="DH325" s="52" t="str">
        <f t="shared" si="426"/>
        <v/>
      </c>
      <c r="DI325" s="66" t="str">
        <f t="shared" si="427"/>
        <v/>
      </c>
      <c r="DJ325" t="s">
        <v>0</v>
      </c>
      <c r="DK325" s="19" t="str">
        <f t="shared" si="428"/>
        <v/>
      </c>
      <c r="DL325" s="47" t="s">
        <v>0</v>
      </c>
      <c r="DM325" s="19" t="str">
        <f t="shared" si="429"/>
        <v/>
      </c>
      <c r="DN325" s="47" t="s">
        <v>0</v>
      </c>
      <c r="DO325" s="52" t="str">
        <f t="shared" si="369"/>
        <v>Marija – Schubert – OK Varaždin – Ž45</v>
      </c>
      <c r="DP325" s="53">
        <f t="shared" si="370"/>
        <v>589</v>
      </c>
      <c r="DQ325" s="47" t="s">
        <v>0</v>
      </c>
      <c r="DR325" s="52" t="str">
        <f t="shared" si="371"/>
        <v>Marija – Schubert – OK Varaždin</v>
      </c>
      <c r="DS325" s="53">
        <f t="shared" si="372"/>
        <v>589</v>
      </c>
      <c r="DT325" s="47" t="s">
        <v>0</v>
      </c>
      <c r="DU325" s="52" t="str">
        <f t="shared" si="373"/>
        <v>Marija – Schubert</v>
      </c>
      <c r="DV325" s="53">
        <f t="shared" si="374"/>
        <v>589</v>
      </c>
      <c r="DW325" s="47" t="s">
        <v>0</v>
      </c>
      <c r="DX325" s="58">
        <f t="shared" si="417"/>
        <v>589</v>
      </c>
      <c r="DY325" s="53" cm="1">
        <f t="array" ref="DY325">IF(DX325&lt;&gt;"",INDEX(regNatjecatelj_id,DX325,0),IF(BD325&lt;&gt;"",BD325,""))</f>
        <v>1270</v>
      </c>
      <c r="DZ325" s="47" t="s">
        <v>0</v>
      </c>
      <c r="EA325" s="58" t="str">
        <f t="shared" si="375"/>
        <v>imepre</v>
      </c>
      <c r="EB325" s="73" t="str">
        <f t="shared" si="376"/>
        <v>klu</v>
      </c>
      <c r="EC325" s="73" t="str">
        <f t="shared" si="377"/>
        <v>kat</v>
      </c>
      <c r="ED325" s="73" t="str">
        <f t="shared" si="378"/>
        <v/>
      </c>
      <c r="EE325" s="66" t="str">
        <f t="shared" si="379"/>
        <v>imepre-klu-kat</v>
      </c>
      <c r="EF325" s="47" t="s">
        <v>0</v>
      </c>
      <c r="EG325" s="58">
        <f>IF(AL325="","",MAX(EG$12:EG324)+1)</f>
        <v>473</v>
      </c>
      <c r="EH325" s="73">
        <f t="shared" si="380"/>
        <v>42</v>
      </c>
      <c r="EI325" s="73">
        <f t="shared" si="418"/>
        <v>1270</v>
      </c>
      <c r="EJ325" s="73">
        <f t="shared" si="381"/>
        <v>3581</v>
      </c>
      <c r="EK325" s="73">
        <f t="shared" si="382"/>
        <v>1</v>
      </c>
      <c r="EL325" s="73">
        <f t="shared" si="419"/>
        <v>1</v>
      </c>
      <c r="EM325" s="73">
        <f t="shared" si="420"/>
        <v>1</v>
      </c>
      <c r="EN325" s="73" t="str">
        <f t="shared" si="383"/>
        <v>0</v>
      </c>
      <c r="EO325" s="73" t="str">
        <f t="shared" si="384"/>
        <v/>
      </c>
      <c r="EP325" s="73" t="str">
        <f t="shared" si="385"/>
        <v/>
      </c>
      <c r="EQ325" s="53" t="str">
        <f t="shared" si="386"/>
        <v/>
      </c>
      <c r="ER325" s="47" t="s">
        <v>0</v>
      </c>
      <c r="ES325" s="19" t="str">
        <f t="shared" si="421"/>
        <v>INSERT INTO rezultat(id,stazakategorija_id,imeprezime_id,vrijeme_sec,status_id,registracija,uparivanje_id,originalstatus_id,imeprezimealias_id,klubalias_id,kategorijaalias_id) VALUES (473,42,1270,3581,1,1,1,0,Null,Null,Null);</v>
      </c>
      <c r="ET325" s="47" t="s">
        <v>0</v>
      </c>
      <c r="EU325" s="19" t="str">
        <f t="shared" si="422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5" s="47" t="s">
        <v>0</v>
      </c>
      <c r="EW325" s="180" t="str">
        <f t="shared" si="387"/>
        <v xml:space="preserve">
INSERT INTO rezultat(id,stazakategorija_id,imeprezime_id,vrijeme_sec,status_id,registracija,uparivanje_id,originalstatus_id,imeprezimealias_id,klubalias_id,kategorijaalias_id) VALUES (473,42,1270,3581,1,1,1,0,Null,Null,Null);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5" s="47" t="s">
        <v>0</v>
      </c>
    </row>
    <row r="326" spans="1:154" x14ac:dyDescent="0.25">
      <c r="A326" t="s">
        <v>0</v>
      </c>
      <c r="B326" s="52" t="str">
        <f>IF(csv!F316="","",csv!T316)</f>
        <v>Ž45</v>
      </c>
      <c r="C326" s="31" t="s">
        <v>0</v>
      </c>
      <c r="D326" s="31" t="str">
        <f>IF(csv!F316="","",csv!F316)</f>
        <v>Marija</v>
      </c>
      <c r="E326" s="31" t="str">
        <f>IF(csv!E316="","",csv!E316)</f>
        <v>Gradečak Galović</v>
      </c>
      <c r="F326" s="31" t="s">
        <v>0</v>
      </c>
      <c r="G326" s="73" t="str">
        <f>IF(csv!M316="","",csv!M316)</f>
        <v>65:32</v>
      </c>
      <c r="H326" s="73" t="str">
        <f>IF(csv!N316="","",csv!N316)</f>
        <v>0</v>
      </c>
      <c r="I326" s="31" t="s">
        <v>0</v>
      </c>
      <c r="J326" s="31" t="str">
        <f>IF(csv!P316="","",csv!P316)</f>
        <v>KAP</v>
      </c>
      <c r="K326" s="31" t="str">
        <f>IF(csv!Q316="","",csv!Q316)</f>
        <v>OK Kapela</v>
      </c>
      <c r="L326" s="31" t="s">
        <v>0</v>
      </c>
      <c r="M326" s="66" t="str">
        <f>IF(csv!R316="","",csv!R316)</f>
        <v>CRO</v>
      </c>
      <c r="N326" s="47" t="s">
        <v>0</v>
      </c>
      <c r="O326" s="246" t="str">
        <f t="shared" si="388"/>
        <v>ok</v>
      </c>
      <c r="P326" s="47"/>
      <c r="Q326" s="52" t="str">
        <f t="shared" si="389"/>
        <v>Ž45</v>
      </c>
      <c r="R326" s="73">
        <f>IF(Q326="","",IF(COUNTIF(Q$12:Q325,Q326)=0,R325+1,R325))</f>
        <v>20</v>
      </c>
      <c r="S326" s="73">
        <f t="shared" si="390"/>
        <v>116</v>
      </c>
      <c r="T326" s="73">
        <f t="shared" si="353"/>
        <v>25</v>
      </c>
      <c r="U326" s="66" t="str">
        <f t="shared" si="354"/>
        <v>Ž45</v>
      </c>
      <c r="V326" s="47" t="s">
        <v>0</v>
      </c>
      <c r="W326" s="222" t="str">
        <f t="shared" si="355"/>
        <v>Ž45</v>
      </c>
      <c r="X326" s="223">
        <f t="shared" si="356"/>
        <v>42</v>
      </c>
      <c r="Y326" s="47" t="s">
        <v>0</v>
      </c>
      <c r="Z326" s="52" t="str">
        <f t="shared" si="391"/>
        <v>CRO</v>
      </c>
      <c r="AA326" s="73">
        <f t="shared" si="357"/>
        <v>1</v>
      </c>
      <c r="AB326" s="31" t="str">
        <f t="shared" si="392"/>
        <v/>
      </c>
      <c r="AC326" s="66" t="str">
        <f>IF(AB326="","",MAX(AC$12:AC325)+1)</f>
        <v/>
      </c>
      <c r="AD326" s="47" t="s">
        <v>0</v>
      </c>
      <c r="AE326" s="125"/>
      <c r="AF326" s="47" t="s">
        <v>0</v>
      </c>
      <c r="AG326" s="19" t="str">
        <f t="shared" si="393"/>
        <v/>
      </c>
      <c r="AH326" s="47" t="s">
        <v>0</v>
      </c>
      <c r="AI326" s="143" t="str">
        <f t="shared" si="394"/>
        <v>CRO</v>
      </c>
      <c r="AJ326" s="47"/>
      <c r="AK326" s="52" t="str">
        <f t="shared" si="395"/>
        <v>Marija</v>
      </c>
      <c r="AL326" s="31" t="str">
        <f t="shared" si="396"/>
        <v>Gradečak Galović</v>
      </c>
      <c r="AM326" s="73">
        <f t="shared" si="397"/>
        <v>1268</v>
      </c>
      <c r="AN326" s="73" t="str">
        <f t="shared" si="398"/>
        <v/>
      </c>
      <c r="AO326" s="31" t="str">
        <f t="shared" si="358"/>
        <v>Marija</v>
      </c>
      <c r="AP326" s="66" t="str">
        <f t="shared" si="359"/>
        <v>Gradečak Galović</v>
      </c>
      <c r="AQ326" s="47" t="s">
        <v>0</v>
      </c>
      <c r="AR326" s="82" t="str">
        <f t="shared" si="399"/>
        <v/>
      </c>
      <c r="AS326" s="47" t="s">
        <v>0</v>
      </c>
      <c r="AT326" s="19" t="str">
        <f t="shared" si="400"/>
        <v/>
      </c>
      <c r="AU326" s="47" t="s">
        <v>0</v>
      </c>
      <c r="AV326" s="103"/>
      <c r="AW326" s="105"/>
      <c r="AX326" s="47" t="s">
        <v>0</v>
      </c>
      <c r="AY326" s="259" t="str">
        <f t="shared" si="423"/>
        <v/>
      </c>
      <c r="AZ326" s="47" t="s">
        <v>0</v>
      </c>
      <c r="BA326" s="52" t="str">
        <f t="shared" si="360"/>
        <v/>
      </c>
      <c r="BB326" s="73" t="str">
        <f>IF(AV326&amp;AW326="","",MAX(BB$12:BB325)+1)</f>
        <v/>
      </c>
      <c r="BC326" s="272" t="str">
        <f t="shared" si="361"/>
        <v/>
      </c>
      <c r="BD326" s="53" t="str">
        <f>IF(AND(AM326="NEMA",AN326="NEMA",OR(AV326&amp;AW326="",BC326="NEMA")),MAX(BD$12:BD325)+1,"")</f>
        <v/>
      </c>
      <c r="BE326" s="47" t="s">
        <v>0</v>
      </c>
      <c r="BF326" s="52" t="str">
        <f t="shared" si="401"/>
        <v>Marija</v>
      </c>
      <c r="BG326" s="66" t="str">
        <f t="shared" si="402"/>
        <v>Gradečak Galović</v>
      </c>
      <c r="BH326" s="47" t="s">
        <v>0</v>
      </c>
      <c r="BI326" s="52" t="str">
        <f t="shared" si="362"/>
        <v>KAP</v>
      </c>
      <c r="BJ326" s="31" t="str">
        <f t="shared" si="363"/>
        <v>OK Kapela</v>
      </c>
      <c r="BK326" s="73" t="str">
        <f t="shared" si="364"/>
        <v/>
      </c>
      <c r="BL326" s="31" t="str" cm="1">
        <f t="array" ref="BL326">IF(BK326="",""&amp;BJ326,IF(BK326="NEMA",BJ326,INDEX(regKlub_naziv,MATCH(INDEX(regKlub_alias_klubId,BK326),regKlub_id,0))))</f>
        <v>OK Kapela</v>
      </c>
      <c r="BM326" s="31" t="str" cm="1">
        <f t="array" ref="BM326">IFERROR(""&amp;INDEX(regNatjecatelj_klub,DV326),"")</f>
        <v>OK Kapela</v>
      </c>
      <c r="BN326" s="88" t="str">
        <f t="shared" si="403"/>
        <v/>
      </c>
      <c r="BO326" s="66" t="str">
        <f t="shared" si="404"/>
        <v>OK Kapela</v>
      </c>
      <c r="BP326" s="47" t="s">
        <v>0</v>
      </c>
      <c r="BQ326" s="52" t="str">
        <f>IF(X326&lt;&gt;"NEMA","",IF(IFERROR(MATCH(W326,W$12:W325,0),0)&lt;&gt;0,"",W326))</f>
        <v/>
      </c>
      <c r="BR326" s="73" t="str">
        <f t="shared" si="405"/>
        <v/>
      </c>
      <c r="BS326" s="31" t="str">
        <f>IF(OR(BR326="",BR326&lt;&gt;"NEMA"),"",MAX(BS$12:BS325)+1)</f>
        <v/>
      </c>
      <c r="BT326" s="66" t="str">
        <f t="shared" si="406"/>
        <v/>
      </c>
      <c r="BU326" s="47" t="s">
        <v>0</v>
      </c>
      <c r="BV326" s="19" t="str">
        <f t="shared" si="407"/>
        <v/>
      </c>
      <c r="BW326" s="47" t="s">
        <v>0</v>
      </c>
      <c r="BX326" s="82" t="str">
        <f>IF(BK326&lt;&gt;"NEMA","",IF(IFERROR(MATCH(BJ326,BJ$12:BJ325,0),0)&lt;&gt;0,"",BJ326))</f>
        <v/>
      </c>
      <c r="BY326" s="47" t="s">
        <v>0</v>
      </c>
      <c r="BZ326" s="125"/>
      <c r="CA326" s="47" t="s">
        <v>0</v>
      </c>
      <c r="CB326" s="58" t="str">
        <f t="shared" si="408"/>
        <v/>
      </c>
      <c r="CC326" s="31" t="str">
        <f t="shared" si="409"/>
        <v/>
      </c>
      <c r="CD326" s="31" t="str">
        <f>IF(CC326="","",MAX(CD$12:CD325)+1)</f>
        <v/>
      </c>
      <c r="CE326" s="31" t="str">
        <f t="shared" si="365"/>
        <v/>
      </c>
      <c r="CF326" s="31" t="str">
        <f t="shared" si="410"/>
        <v/>
      </c>
      <c r="CG326" s="31" t="str">
        <f>IF(BZ326="","",MAX(CG$12:CG325)+1)</f>
        <v/>
      </c>
      <c r="CH326" s="31" t="str">
        <f t="shared" si="411"/>
        <v/>
      </c>
      <c r="CI326" s="66" t="str">
        <f t="shared" si="412"/>
        <v/>
      </c>
      <c r="CJ326" s="47" t="s">
        <v>0</v>
      </c>
      <c r="CK326" s="73" t="str">
        <f t="shared" si="366"/>
        <v/>
      </c>
      <c r="CL326" s="47"/>
      <c r="CM326" s="19" t="str">
        <f t="shared" si="413"/>
        <v/>
      </c>
      <c r="CN326" s="47" t="s">
        <v>0</v>
      </c>
      <c r="CO326" s="143" t="str">
        <f t="shared" si="414"/>
        <v>OK Kapela</v>
      </c>
      <c r="CP326" s="47" t="s">
        <v>0</v>
      </c>
      <c r="CQ326" s="58" t="str">
        <f t="shared" si="430"/>
        <v>65:32</v>
      </c>
      <c r="CR326" s="73" t="str">
        <f t="shared" si="431"/>
        <v>0</v>
      </c>
      <c r="CS326" s="229" t="str">
        <f t="shared" si="367"/>
        <v/>
      </c>
      <c r="CT326" s="230">
        <f t="shared" si="432"/>
        <v>3932</v>
      </c>
      <c r="CU326" s="163">
        <f t="shared" si="368"/>
        <v>1</v>
      </c>
      <c r="CV326" s="47" t="s">
        <v>0</v>
      </c>
      <c r="CW326" s="222" t="str">
        <f t="shared" si="415"/>
        <v xml:space="preserve">
</v>
      </c>
      <c r="CX326" s="223">
        <f t="shared" si="416"/>
        <v>6</v>
      </c>
      <c r="CY326" s="47" t="s">
        <v>0</v>
      </c>
      <c r="CZ326" s="47"/>
      <c r="DA326" s="47"/>
      <c r="DB326" s="47"/>
      <c r="DC326" s="47" t="s">
        <v>0</v>
      </c>
      <c r="DD326" s="53" t="str">
        <f t="shared" si="424"/>
        <v/>
      </c>
      <c r="DE326" t="s">
        <v>0</v>
      </c>
      <c r="DF326" s="128" t="str">
        <f t="shared" si="425"/>
        <v>Ž</v>
      </c>
      <c r="DG326" t="s">
        <v>0</v>
      </c>
      <c r="DH326" s="52" t="str">
        <f t="shared" si="426"/>
        <v/>
      </c>
      <c r="DI326" s="66" t="str">
        <f t="shared" si="427"/>
        <v/>
      </c>
      <c r="DJ326" t="s">
        <v>0</v>
      </c>
      <c r="DK326" s="19" t="str">
        <f t="shared" si="428"/>
        <v/>
      </c>
      <c r="DL326" s="47" t="s">
        <v>0</v>
      </c>
      <c r="DM326" s="19" t="str">
        <f t="shared" si="429"/>
        <v/>
      </c>
      <c r="DN326" s="47" t="s">
        <v>0</v>
      </c>
      <c r="DO326" s="52" t="str">
        <f t="shared" si="369"/>
        <v>Marija – Gradečak Galović – OK Kapela – Ž45</v>
      </c>
      <c r="DP326" s="53">
        <f t="shared" si="370"/>
        <v>246</v>
      </c>
      <c r="DQ326" s="47" t="s">
        <v>0</v>
      </c>
      <c r="DR326" s="52" t="str">
        <f t="shared" si="371"/>
        <v>Marija – Gradečak Galović – OK Kapela</v>
      </c>
      <c r="DS326" s="53">
        <f t="shared" si="372"/>
        <v>246</v>
      </c>
      <c r="DT326" s="47" t="s">
        <v>0</v>
      </c>
      <c r="DU326" s="52" t="str">
        <f t="shared" si="373"/>
        <v>Marija – Gradečak Galović</v>
      </c>
      <c r="DV326" s="53">
        <f t="shared" si="374"/>
        <v>246</v>
      </c>
      <c r="DW326" s="47" t="s">
        <v>0</v>
      </c>
      <c r="DX326" s="58">
        <f t="shared" si="417"/>
        <v>246</v>
      </c>
      <c r="DY326" s="53" cm="1">
        <f t="array" ref="DY326">IF(DX326&lt;&gt;"",INDEX(regNatjecatelj_id,DX326,0),IF(BD326&lt;&gt;"",BD326,""))</f>
        <v>1268</v>
      </c>
      <c r="DZ326" s="47" t="s">
        <v>0</v>
      </c>
      <c r="EA326" s="58" t="str">
        <f t="shared" si="375"/>
        <v>imepre</v>
      </c>
      <c r="EB326" s="73" t="str">
        <f t="shared" si="376"/>
        <v>klu</v>
      </c>
      <c r="EC326" s="73" t="str">
        <f t="shared" si="377"/>
        <v>kat</v>
      </c>
      <c r="ED326" s="73" t="str">
        <f t="shared" si="378"/>
        <v/>
      </c>
      <c r="EE326" s="66" t="str">
        <f t="shared" si="379"/>
        <v>imepre-klu-kat</v>
      </c>
      <c r="EF326" s="47" t="s">
        <v>0</v>
      </c>
      <c r="EG326" s="58">
        <f>IF(AL326="","",MAX(EG$12:EG325)+1)</f>
        <v>474</v>
      </c>
      <c r="EH326" s="73">
        <f t="shared" si="380"/>
        <v>42</v>
      </c>
      <c r="EI326" s="73">
        <f t="shared" si="418"/>
        <v>1268</v>
      </c>
      <c r="EJ326" s="73">
        <f t="shared" si="381"/>
        <v>3932</v>
      </c>
      <c r="EK326" s="73">
        <f t="shared" si="382"/>
        <v>1</v>
      </c>
      <c r="EL326" s="73">
        <f t="shared" si="419"/>
        <v>1</v>
      </c>
      <c r="EM326" s="73">
        <f t="shared" si="420"/>
        <v>1</v>
      </c>
      <c r="EN326" s="73" t="str">
        <f t="shared" si="383"/>
        <v>0</v>
      </c>
      <c r="EO326" s="73" t="str">
        <f t="shared" si="384"/>
        <v/>
      </c>
      <c r="EP326" s="73" t="str">
        <f t="shared" si="385"/>
        <v/>
      </c>
      <c r="EQ326" s="53" t="str">
        <f t="shared" si="386"/>
        <v/>
      </c>
      <c r="ER326" s="47" t="s">
        <v>0</v>
      </c>
      <c r="ES326" s="19" t="str">
        <f t="shared" si="421"/>
        <v>INSERT INTO rezultat(id,stazakategorija_id,imeprezime_id,vrijeme_sec,status_id,registracija,uparivanje_id,originalstatus_id,imeprezimealias_id,klubalias_id,kategorijaalias_id) VALUES (474,42,1268,3932,1,1,1,0,Null,Null,Null);</v>
      </c>
      <c r="ET326" s="47" t="s">
        <v>0</v>
      </c>
      <c r="EU326" s="19" t="str">
        <f t="shared" si="422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6" s="47" t="s">
        <v>0</v>
      </c>
      <c r="EW326" s="180" t="str">
        <f t="shared" si="387"/>
        <v xml:space="preserve">
INSERT INTO rezultat(id,stazakategorija_id,imeprezime_id,vrijeme_sec,status_id,registracija,uparivanje_id,originalstatus_id,imeprezimealias_id,klubalias_id,kategorijaalias_id) VALUES (474,42,1268,3932,1,1,1,0,Null,Null,Null);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6" s="47" t="s">
        <v>0</v>
      </c>
    </row>
    <row r="327" spans="1:154" x14ac:dyDescent="0.25">
      <c r="A327" t="s">
        <v>0</v>
      </c>
      <c r="B327" s="52" t="str">
        <f>IF(csv!F317="","",csv!T317)</f>
        <v>Ž45</v>
      </c>
      <c r="C327" s="31" t="s">
        <v>0</v>
      </c>
      <c r="D327" s="31" t="str">
        <f>IF(csv!F317="","",csv!F317)</f>
        <v>Zvjezdana</v>
      </c>
      <c r="E327" s="31" t="str">
        <f>IF(csv!E317="","",csv!E317)</f>
        <v>Govedarica</v>
      </c>
      <c r="F327" s="31" t="s">
        <v>0</v>
      </c>
      <c r="G327" s="73" t="str">
        <f>IF(csv!M317="","",csv!M317)</f>
        <v>76:13</v>
      </c>
      <c r="H327" s="73" t="str">
        <f>IF(csv!N317="","",csv!N317)</f>
        <v>0</v>
      </c>
      <c r="I327" s="31" t="s">
        <v>0</v>
      </c>
      <c r="J327" s="31" t="str">
        <f>IF(csv!P317="","",csv!P317)</f>
        <v>JAP</v>
      </c>
      <c r="K327" s="31" t="str">
        <f>IF(csv!Q317="","",csv!Q317)</f>
        <v>OK Japetic</v>
      </c>
      <c r="L327" s="31" t="s">
        <v>0</v>
      </c>
      <c r="M327" s="66" t="str">
        <f>IF(csv!R317="","",csv!R317)</f>
        <v>CRO</v>
      </c>
      <c r="N327" s="47" t="s">
        <v>0</v>
      </c>
      <c r="O327" s="246" t="str">
        <f t="shared" si="388"/>
        <v>ok</v>
      </c>
      <c r="P327" s="47"/>
      <c r="Q327" s="52" t="str">
        <f t="shared" si="389"/>
        <v>Ž45</v>
      </c>
      <c r="R327" s="73">
        <f>IF(Q327="","",IF(COUNTIF(Q$12:Q326,Q327)=0,R326+1,R326))</f>
        <v>20</v>
      </c>
      <c r="S327" s="73">
        <f t="shared" si="390"/>
        <v>116</v>
      </c>
      <c r="T327" s="73">
        <f t="shared" si="353"/>
        <v>25</v>
      </c>
      <c r="U327" s="66" t="str">
        <f t="shared" si="354"/>
        <v>Ž45</v>
      </c>
      <c r="V327" s="47" t="s">
        <v>0</v>
      </c>
      <c r="W327" s="222" t="str">
        <f t="shared" si="355"/>
        <v>Ž45</v>
      </c>
      <c r="X327" s="223">
        <f t="shared" si="356"/>
        <v>42</v>
      </c>
      <c r="Y327" s="47" t="s">
        <v>0</v>
      </c>
      <c r="Z327" s="52" t="str">
        <f t="shared" si="391"/>
        <v>CRO</v>
      </c>
      <c r="AA327" s="73">
        <f t="shared" si="357"/>
        <v>1</v>
      </c>
      <c r="AB327" s="31" t="str">
        <f t="shared" si="392"/>
        <v/>
      </c>
      <c r="AC327" s="66" t="str">
        <f>IF(AB327="","",MAX(AC$12:AC326)+1)</f>
        <v/>
      </c>
      <c r="AD327" s="47" t="s">
        <v>0</v>
      </c>
      <c r="AE327" s="125"/>
      <c r="AF327" s="47" t="s">
        <v>0</v>
      </c>
      <c r="AG327" s="19" t="str">
        <f t="shared" si="393"/>
        <v/>
      </c>
      <c r="AH327" s="47" t="s">
        <v>0</v>
      </c>
      <c r="AI327" s="143" t="str">
        <f t="shared" si="394"/>
        <v>CRO</v>
      </c>
      <c r="AJ327" s="47"/>
      <c r="AK327" s="52" t="str">
        <f t="shared" si="395"/>
        <v>Zvjezdana</v>
      </c>
      <c r="AL327" s="31" t="str">
        <f t="shared" si="396"/>
        <v>Govedarica</v>
      </c>
      <c r="AM327" s="73">
        <f t="shared" si="397"/>
        <v>1470</v>
      </c>
      <c r="AN327" s="73" t="str">
        <f t="shared" si="398"/>
        <v/>
      </c>
      <c r="AO327" s="31" t="str">
        <f t="shared" si="358"/>
        <v>Zvjezdana</v>
      </c>
      <c r="AP327" s="66" t="str">
        <f t="shared" si="359"/>
        <v>Govedarica</v>
      </c>
      <c r="AQ327" s="47" t="s">
        <v>0</v>
      </c>
      <c r="AR327" s="82" t="str">
        <f t="shared" si="399"/>
        <v/>
      </c>
      <c r="AS327" s="47" t="s">
        <v>0</v>
      </c>
      <c r="AT327" s="19" t="str">
        <f t="shared" si="400"/>
        <v/>
      </c>
      <c r="AU327" s="47" t="s">
        <v>0</v>
      </c>
      <c r="AV327" s="103"/>
      <c r="AW327" s="105"/>
      <c r="AX327" s="47" t="s">
        <v>0</v>
      </c>
      <c r="AY327" s="259" t="str">
        <f t="shared" si="423"/>
        <v/>
      </c>
      <c r="AZ327" s="47" t="s">
        <v>0</v>
      </c>
      <c r="BA327" s="52" t="str">
        <f t="shared" si="360"/>
        <v/>
      </c>
      <c r="BB327" s="73" t="str">
        <f>IF(AV327&amp;AW327="","",MAX(BB$12:BB326)+1)</f>
        <v/>
      </c>
      <c r="BC327" s="272" t="str">
        <f t="shared" si="361"/>
        <v/>
      </c>
      <c r="BD327" s="53" t="str">
        <f>IF(AND(AM327="NEMA",AN327="NEMA",OR(AV327&amp;AW327="",BC327="NEMA")),MAX(BD$12:BD326)+1,"")</f>
        <v/>
      </c>
      <c r="BE327" s="47" t="s">
        <v>0</v>
      </c>
      <c r="BF327" s="52" t="str">
        <f t="shared" si="401"/>
        <v>Zvjezdana</v>
      </c>
      <c r="BG327" s="66" t="str">
        <f t="shared" si="402"/>
        <v>Govedarica</v>
      </c>
      <c r="BH327" s="47" t="s">
        <v>0</v>
      </c>
      <c r="BI327" s="52" t="str">
        <f t="shared" si="362"/>
        <v>JAP</v>
      </c>
      <c r="BJ327" s="31" t="str">
        <f t="shared" si="363"/>
        <v>OK Japetic</v>
      </c>
      <c r="BK327" s="73">
        <f t="shared" si="364"/>
        <v>1</v>
      </c>
      <c r="BL327" s="31" t="str" cm="1">
        <f t="array" ref="BL327">IF(BK327="",""&amp;BJ327,IF(BK327="NEMA",BJ327,INDEX(regKlub_naziv,MATCH(INDEX(regKlub_alias_klubId,BK327),regKlub_id,0))))</f>
        <v>OK Japetić</v>
      </c>
      <c r="BM327" s="31" t="str" cm="1">
        <f t="array" ref="BM327">IFERROR(""&amp;INDEX(regNatjecatelj_klub,DV327),"")</f>
        <v>OK Japetić</v>
      </c>
      <c r="BN327" s="88" t="str">
        <f t="shared" si="403"/>
        <v/>
      </c>
      <c r="BO327" s="66" t="str">
        <f t="shared" si="404"/>
        <v>OK Japetić</v>
      </c>
      <c r="BP327" s="47" t="s">
        <v>0</v>
      </c>
      <c r="BQ327" s="52" t="str">
        <f>IF(X327&lt;&gt;"NEMA","",IF(IFERROR(MATCH(W327,W$12:W326,0),0)&lt;&gt;0,"",W327))</f>
        <v/>
      </c>
      <c r="BR327" s="73" t="str">
        <f t="shared" si="405"/>
        <v/>
      </c>
      <c r="BS327" s="31" t="str">
        <f>IF(OR(BR327="",BR327&lt;&gt;"NEMA"),"",MAX(BS$12:BS326)+1)</f>
        <v/>
      </c>
      <c r="BT327" s="66" t="str">
        <f t="shared" si="406"/>
        <v/>
      </c>
      <c r="BU327" s="47" t="s">
        <v>0</v>
      </c>
      <c r="BV327" s="19" t="str">
        <f t="shared" si="407"/>
        <v/>
      </c>
      <c r="BW327" s="47" t="s">
        <v>0</v>
      </c>
      <c r="BX327" s="82" t="str">
        <f>IF(BK327&lt;&gt;"NEMA","",IF(IFERROR(MATCH(BJ327,BJ$12:BJ326,0),0)&lt;&gt;0,"",BJ327))</f>
        <v/>
      </c>
      <c r="BY327" s="47" t="s">
        <v>0</v>
      </c>
      <c r="BZ327" s="125"/>
      <c r="CA327" s="47" t="s">
        <v>0</v>
      </c>
      <c r="CB327" s="58" t="str">
        <f t="shared" si="408"/>
        <v/>
      </c>
      <c r="CC327" s="31" t="str">
        <f t="shared" si="409"/>
        <v/>
      </c>
      <c r="CD327" s="31" t="str">
        <f>IF(CC327="","",MAX(CD$12:CD326)+1)</f>
        <v/>
      </c>
      <c r="CE327" s="31" t="str">
        <f t="shared" si="365"/>
        <v/>
      </c>
      <c r="CF327" s="31" t="str">
        <f t="shared" si="410"/>
        <v/>
      </c>
      <c r="CG327" s="31" t="str">
        <f>IF(BZ327="","",MAX(CG$12:CG326)+1)</f>
        <v/>
      </c>
      <c r="CH327" s="31" t="str">
        <f t="shared" si="411"/>
        <v/>
      </c>
      <c r="CI327" s="66" t="str">
        <f t="shared" si="412"/>
        <v/>
      </c>
      <c r="CJ327" s="47" t="s">
        <v>0</v>
      </c>
      <c r="CK327" s="73" t="str">
        <f t="shared" si="366"/>
        <v/>
      </c>
      <c r="CL327" s="47"/>
      <c r="CM327" s="19" t="str">
        <f t="shared" si="413"/>
        <v/>
      </c>
      <c r="CN327" s="47" t="s">
        <v>0</v>
      </c>
      <c r="CO327" s="143" t="str">
        <f t="shared" si="414"/>
        <v>OK Japetić</v>
      </c>
      <c r="CP327" s="47" t="s">
        <v>0</v>
      </c>
      <c r="CQ327" s="58" t="str">
        <f t="shared" si="430"/>
        <v>76:13</v>
      </c>
      <c r="CR327" s="73" t="str">
        <f t="shared" si="431"/>
        <v>0</v>
      </c>
      <c r="CS327" s="229" t="str">
        <f t="shared" si="367"/>
        <v/>
      </c>
      <c r="CT327" s="230">
        <f t="shared" si="432"/>
        <v>4573</v>
      </c>
      <c r="CU327" s="163">
        <f t="shared" si="368"/>
        <v>1</v>
      </c>
      <c r="CV327" s="47" t="s">
        <v>0</v>
      </c>
      <c r="CW327" s="222" t="str">
        <f t="shared" si="415"/>
        <v xml:space="preserve">
</v>
      </c>
      <c r="CX327" s="223">
        <f t="shared" si="416"/>
        <v>6</v>
      </c>
      <c r="CY327" s="47" t="s">
        <v>0</v>
      </c>
      <c r="CZ327" s="47"/>
      <c r="DA327" s="47"/>
      <c r="DB327" s="47"/>
      <c r="DC327" s="47" t="s">
        <v>0</v>
      </c>
      <c r="DD327" s="53" t="str">
        <f t="shared" si="424"/>
        <v/>
      </c>
      <c r="DE327" t="s">
        <v>0</v>
      </c>
      <c r="DF327" s="128" t="str">
        <f t="shared" si="425"/>
        <v>Ž</v>
      </c>
      <c r="DG327" t="s">
        <v>0</v>
      </c>
      <c r="DH327" s="52" t="str">
        <f t="shared" si="426"/>
        <v/>
      </c>
      <c r="DI327" s="66" t="str">
        <f t="shared" si="427"/>
        <v/>
      </c>
      <c r="DJ327" t="s">
        <v>0</v>
      </c>
      <c r="DK327" s="19" t="str">
        <f t="shared" si="428"/>
        <v/>
      </c>
      <c r="DL327" s="47" t="s">
        <v>0</v>
      </c>
      <c r="DM327" s="19" t="str">
        <f t="shared" si="429"/>
        <v/>
      </c>
      <c r="DN327" s="47" t="s">
        <v>0</v>
      </c>
      <c r="DO327" s="52" t="str">
        <f t="shared" si="369"/>
        <v>Zvjezdana – Govedarica – OK Japetić – Ž45</v>
      </c>
      <c r="DP327" s="53">
        <f t="shared" si="370"/>
        <v>90</v>
      </c>
      <c r="DQ327" s="47" t="s">
        <v>0</v>
      </c>
      <c r="DR327" s="52" t="str">
        <f t="shared" si="371"/>
        <v>Zvjezdana – Govedarica – OK Japetić</v>
      </c>
      <c r="DS327" s="53">
        <f t="shared" si="372"/>
        <v>90</v>
      </c>
      <c r="DT327" s="47" t="s">
        <v>0</v>
      </c>
      <c r="DU327" s="52" t="str">
        <f t="shared" si="373"/>
        <v>Zvjezdana – Govedarica</v>
      </c>
      <c r="DV327" s="53">
        <f t="shared" si="374"/>
        <v>90</v>
      </c>
      <c r="DW327" s="47" t="s">
        <v>0</v>
      </c>
      <c r="DX327" s="58">
        <f t="shared" si="417"/>
        <v>90</v>
      </c>
      <c r="DY327" s="53" cm="1">
        <f t="array" ref="DY327">IF(DX327&lt;&gt;"",INDEX(regNatjecatelj_id,DX327,0),IF(BD327&lt;&gt;"",BD327,""))</f>
        <v>1470</v>
      </c>
      <c r="DZ327" s="47" t="s">
        <v>0</v>
      </c>
      <c r="EA327" s="58" t="str">
        <f t="shared" si="375"/>
        <v>imepre</v>
      </c>
      <c r="EB327" s="73" t="str">
        <f t="shared" si="376"/>
        <v>klu(ali)</v>
      </c>
      <c r="EC327" s="73" t="str">
        <f t="shared" si="377"/>
        <v>kat</v>
      </c>
      <c r="ED327" s="73" t="str">
        <f t="shared" si="378"/>
        <v/>
      </c>
      <c r="EE327" s="66" t="str">
        <f t="shared" si="379"/>
        <v>imepre-klu(ali)-kat</v>
      </c>
      <c r="EF327" s="47" t="s">
        <v>0</v>
      </c>
      <c r="EG327" s="58">
        <f>IF(AL327="","",MAX(EG$12:EG326)+1)</f>
        <v>475</v>
      </c>
      <c r="EH327" s="73">
        <f t="shared" si="380"/>
        <v>42</v>
      </c>
      <c r="EI327" s="73">
        <f t="shared" si="418"/>
        <v>1470</v>
      </c>
      <c r="EJ327" s="73">
        <f t="shared" si="381"/>
        <v>4573</v>
      </c>
      <c r="EK327" s="73">
        <f t="shared" si="382"/>
        <v>1</v>
      </c>
      <c r="EL327" s="73">
        <f t="shared" si="419"/>
        <v>1</v>
      </c>
      <c r="EM327" s="73">
        <f t="shared" si="420"/>
        <v>3</v>
      </c>
      <c r="EN327" s="73" t="str">
        <f t="shared" si="383"/>
        <v>0</v>
      </c>
      <c r="EO327" s="73" t="str">
        <f t="shared" si="384"/>
        <v/>
      </c>
      <c r="EP327" s="73">
        <f t="shared" si="385"/>
        <v>1</v>
      </c>
      <c r="EQ327" s="53" t="str">
        <f t="shared" si="386"/>
        <v/>
      </c>
      <c r="ER327" s="47" t="s">
        <v>0</v>
      </c>
      <c r="ES327" s="19" t="str">
        <f t="shared" si="421"/>
        <v>INSERT INTO rezultat(id,stazakategorija_id,imeprezime_id,vrijeme_sec,status_id,registracija,uparivanje_id,originalstatus_id,imeprezimealias_id,klubalias_id,kategorijaalias_id) VALUES (475,42,1470,4573,1,1,3,0,Null,1,Null);</v>
      </c>
      <c r="ET327" s="47" t="s">
        <v>0</v>
      </c>
      <c r="EU327" s="19" t="str">
        <f t="shared" si="422"/>
        <v>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7" s="47" t="s">
        <v>0</v>
      </c>
      <c r="EW327" s="180" t="str">
        <f t="shared" si="387"/>
        <v xml:space="preserve">
INSERT INTO rezultat(id,stazakategorija_id,imeprezime_id,vrijeme_sec,status_id,registracija,uparivanje_id,originalstatus_id,imeprezimealias_id,klubalias_id,kategorijaalias_id) VALUES (475,42,1470,4573,1,1,3,0,Null,1,Null);
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7" s="47" t="s">
        <v>0</v>
      </c>
    </row>
    <row r="328" spans="1:154" x14ac:dyDescent="0.25">
      <c r="A328" t="s">
        <v>0</v>
      </c>
      <c r="B328" s="52" t="str">
        <f>IF(csv!F318="","",csv!T318)</f>
        <v>Ž45</v>
      </c>
      <c r="C328" s="31" t="s">
        <v>0</v>
      </c>
      <c r="D328" s="31" t="str">
        <f>IF(csv!F318="","",csv!F318)</f>
        <v>Sanja</v>
      </c>
      <c r="E328" s="31" t="str">
        <f>IF(csv!E318="","",csv!E318)</f>
        <v>Ostroski</v>
      </c>
      <c r="F328" s="31" t="s">
        <v>0</v>
      </c>
      <c r="G328" s="73" t="str">
        <f>IF(csv!M318="","",csv!M318)</f>
        <v>87:55</v>
      </c>
      <c r="H328" s="73" t="str">
        <f>IF(csv!N318="","",csv!N318)</f>
        <v>0</v>
      </c>
      <c r="I328" s="31" t="s">
        <v>0</v>
      </c>
      <c r="J328" s="31" t="str">
        <f>IF(csv!P318="","",csv!P318)</f>
        <v>OK Varaždin</v>
      </c>
      <c r="K328" s="31" t="str">
        <f>IF(csv!Q318="","",csv!Q318)</f>
        <v>OK Varaždin</v>
      </c>
      <c r="L328" s="31" t="s">
        <v>0</v>
      </c>
      <c r="M328" s="66" t="str">
        <f>IF(csv!R318="","",csv!R318)</f>
        <v>CRO</v>
      </c>
      <c r="N328" s="47" t="s">
        <v>0</v>
      </c>
      <c r="O328" s="246" t="str">
        <f t="shared" si="388"/>
        <v>ok</v>
      </c>
      <c r="P328" s="47"/>
      <c r="Q328" s="52" t="str">
        <f t="shared" si="389"/>
        <v>Ž45</v>
      </c>
      <c r="R328" s="73">
        <f>IF(Q328="","",IF(COUNTIF(Q$12:Q327,Q328)=0,R327+1,R327))</f>
        <v>20</v>
      </c>
      <c r="S328" s="73">
        <f t="shared" si="390"/>
        <v>116</v>
      </c>
      <c r="T328" s="73">
        <f t="shared" si="353"/>
        <v>25</v>
      </c>
      <c r="U328" s="66" t="str">
        <f t="shared" si="354"/>
        <v>Ž45</v>
      </c>
      <c r="V328" s="47" t="s">
        <v>0</v>
      </c>
      <c r="W328" s="222" t="str">
        <f t="shared" si="355"/>
        <v>Ž45</v>
      </c>
      <c r="X328" s="223">
        <f t="shared" si="356"/>
        <v>42</v>
      </c>
      <c r="Y328" s="47" t="s">
        <v>0</v>
      </c>
      <c r="Z328" s="52" t="str">
        <f t="shared" si="391"/>
        <v>CRO</v>
      </c>
      <c r="AA328" s="73">
        <f t="shared" si="357"/>
        <v>1</v>
      </c>
      <c r="AB328" s="31" t="str">
        <f t="shared" si="392"/>
        <v/>
      </c>
      <c r="AC328" s="66" t="str">
        <f>IF(AB328="","",MAX(AC$12:AC327)+1)</f>
        <v/>
      </c>
      <c r="AD328" s="47" t="s">
        <v>0</v>
      </c>
      <c r="AE328" s="125"/>
      <c r="AF328" s="47" t="s">
        <v>0</v>
      </c>
      <c r="AG328" s="19" t="str">
        <f t="shared" si="393"/>
        <v/>
      </c>
      <c r="AH328" s="47" t="s">
        <v>0</v>
      </c>
      <c r="AI328" s="143" t="str">
        <f t="shared" si="394"/>
        <v>CRO</v>
      </c>
      <c r="AJ328" s="47"/>
      <c r="AK328" s="52" t="str">
        <f t="shared" si="395"/>
        <v>Sanja</v>
      </c>
      <c r="AL328" s="31" t="str">
        <f t="shared" si="396"/>
        <v>Ostroski</v>
      </c>
      <c r="AM328" s="73" t="str">
        <f t="shared" si="397"/>
        <v>NEMA</v>
      </c>
      <c r="AN328" s="73" t="str">
        <f t="shared" si="398"/>
        <v>NEMA</v>
      </c>
      <c r="AO328" s="31" t="str">
        <f t="shared" si="358"/>
        <v>Sanja</v>
      </c>
      <c r="AP328" s="66" t="str">
        <f t="shared" si="359"/>
        <v>Ostroski</v>
      </c>
      <c r="AQ328" s="47" t="s">
        <v>0</v>
      </c>
      <c r="AR328" s="82" t="str">
        <f t="shared" si="399"/>
        <v>Sanja Ostroski</v>
      </c>
      <c r="AS328" s="47" t="s">
        <v>0</v>
      </c>
      <c r="AT328" s="19" t="str">
        <f t="shared" si="400"/>
        <v>SELECT 'Sanja – Ostroski', ime, prezime FROM imeprezime WHERE ime LIKE '%anj%' Or prezime LIKE '%strosk%' Or ime LIKE '%strosk%' Or prezime LIKE '%anj%' ORDER BY ime, prezime;</v>
      </c>
      <c r="AU328" s="47" t="s">
        <v>0</v>
      </c>
      <c r="AV328" s="103" t="s">
        <v>3600</v>
      </c>
      <c r="AW328" s="105" t="s">
        <v>3716</v>
      </c>
      <c r="AX328" s="47" t="s">
        <v>0</v>
      </c>
      <c r="AY328" s="259" t="str">
        <f t="shared" si="423"/>
        <v/>
      </c>
      <c r="AZ328" s="47" t="s">
        <v>0</v>
      </c>
      <c r="BA328" s="52" t="str">
        <f>IF(AV328&amp;AW328="","",AR328)</f>
        <v>Sanja Ostroski</v>
      </c>
      <c r="BB328" s="73">
        <f>IF(AV328&amp;AW328="","",MAX(BB$12:BB327)+1)</f>
        <v>2</v>
      </c>
      <c r="BC328" s="272">
        <f t="shared" si="361"/>
        <v>1097</v>
      </c>
      <c r="BD328" s="53" t="str">
        <f>IF(AND(AM328="NEMA",AN328="NEMA",OR(AV328&amp;AW328="",BC328="NEMA")),MAX(BD$12:BD327)+1,"")</f>
        <v/>
      </c>
      <c r="BE328" s="47" t="s">
        <v>0</v>
      </c>
      <c r="BF328" s="52" t="str">
        <f t="shared" si="401"/>
        <v>Sanja</v>
      </c>
      <c r="BG328" s="66" t="str">
        <f t="shared" si="402"/>
        <v>Ostroški</v>
      </c>
      <c r="BH328" s="47" t="s">
        <v>0</v>
      </c>
      <c r="BI328" s="52" t="str">
        <f t="shared" si="362"/>
        <v>OK Varaždin</v>
      </c>
      <c r="BJ328" s="31" t="str">
        <f t="shared" si="363"/>
        <v>OK Varaždin</v>
      </c>
      <c r="BK328" s="73" t="str">
        <f t="shared" si="364"/>
        <v/>
      </c>
      <c r="BL328" s="31" t="str" cm="1">
        <f t="array" ref="BL328">IF(BK328="",""&amp;BJ328,IF(BK328="NEMA",BJ328,INDEX(regKlub_naziv,MATCH(INDEX(regKlub_alias_klubId,BK328),regKlub_id,0))))</f>
        <v>OK Varaždin</v>
      </c>
      <c r="BM328" s="31" t="str" cm="1">
        <f t="array" ref="BM328">IFERROR(""&amp;INDEX(regNatjecatelj_klub,DV328),"")</f>
        <v>OK Varaždin</v>
      </c>
      <c r="BN328" s="88" t="str">
        <f t="shared" si="403"/>
        <v/>
      </c>
      <c r="BO328" s="66" t="str">
        <f t="shared" si="404"/>
        <v>OK Varaždin</v>
      </c>
      <c r="BP328" s="47" t="s">
        <v>0</v>
      </c>
      <c r="BQ328" s="52" t="str">
        <f>IF(X328&lt;&gt;"NEMA","",IF(IFERROR(MATCH(W328,W$12:W327,0),0)&lt;&gt;0,"",W328))</f>
        <v/>
      </c>
      <c r="BR328" s="73" t="str">
        <f t="shared" si="405"/>
        <v/>
      </c>
      <c r="BS328" s="31" t="str">
        <f>IF(OR(BR328="",BR328&lt;&gt;"NEMA"),"",MAX(BS$12:BS327)+1)</f>
        <v/>
      </c>
      <c r="BT328" s="66" t="str">
        <f t="shared" si="406"/>
        <v/>
      </c>
      <c r="BU328" s="47" t="s">
        <v>0</v>
      </c>
      <c r="BV328" s="19" t="str">
        <f t="shared" si="407"/>
        <v/>
      </c>
      <c r="BW328" s="47" t="s">
        <v>0</v>
      </c>
      <c r="BX328" s="82" t="str">
        <f>IF(BK328&lt;&gt;"NEMA","",IF(IFERROR(MATCH(BJ328,BJ$12:BJ327,0),0)&lt;&gt;0,"",BJ328))</f>
        <v/>
      </c>
      <c r="BY328" s="47" t="s">
        <v>0</v>
      </c>
      <c r="BZ328" s="125"/>
      <c r="CA328" s="47" t="s">
        <v>0</v>
      </c>
      <c r="CB328" s="58" t="str">
        <f t="shared" si="408"/>
        <v/>
      </c>
      <c r="CC328" s="31" t="str">
        <f t="shared" si="409"/>
        <v/>
      </c>
      <c r="CD328" s="31" t="str">
        <f>IF(CC328="","",MAX(CD$12:CD327)+1)</f>
        <v/>
      </c>
      <c r="CE328" s="31" t="str">
        <f t="shared" si="365"/>
        <v/>
      </c>
      <c r="CF328" s="31" t="str">
        <f t="shared" si="410"/>
        <v/>
      </c>
      <c r="CG328" s="31" t="str">
        <f>IF(BZ328="","",MAX(CG$12:CG327)+1)</f>
        <v/>
      </c>
      <c r="CH328" s="31" t="str">
        <f t="shared" si="411"/>
        <v/>
      </c>
      <c r="CI328" s="66" t="str">
        <f t="shared" si="412"/>
        <v/>
      </c>
      <c r="CJ328" s="47" t="s">
        <v>0</v>
      </c>
      <c r="CK328" s="73" t="str">
        <f t="shared" si="366"/>
        <v/>
      </c>
      <c r="CL328" s="47"/>
      <c r="CM328" s="19" t="str">
        <f t="shared" si="413"/>
        <v/>
      </c>
      <c r="CN328" s="47" t="s">
        <v>0</v>
      </c>
      <c r="CO328" s="143" t="str">
        <f t="shared" si="414"/>
        <v>OK Varaždin</v>
      </c>
      <c r="CP328" s="47" t="s">
        <v>0</v>
      </c>
      <c r="CQ328" s="58" t="str">
        <f t="shared" si="430"/>
        <v>87:55</v>
      </c>
      <c r="CR328" s="73" t="str">
        <f t="shared" si="431"/>
        <v>0</v>
      </c>
      <c r="CS328" s="229" t="str">
        <f t="shared" si="367"/>
        <v/>
      </c>
      <c r="CT328" s="230">
        <f t="shared" si="432"/>
        <v>5275</v>
      </c>
      <c r="CU328" s="163">
        <f t="shared" si="368"/>
        <v>1</v>
      </c>
      <c r="CV328" s="47" t="s">
        <v>0</v>
      </c>
      <c r="CW328" s="222" t="str">
        <f t="shared" si="415"/>
        <v xml:space="preserve">
</v>
      </c>
      <c r="CX328" s="223">
        <f t="shared" si="416"/>
        <v>6</v>
      </c>
      <c r="CY328" s="47" t="s">
        <v>0</v>
      </c>
      <c r="CZ328" s="47"/>
      <c r="DA328" s="47"/>
      <c r="DB328" s="47"/>
      <c r="DC328" s="47" t="s">
        <v>0</v>
      </c>
      <c r="DD328" s="53" t="str">
        <f t="shared" si="424"/>
        <v/>
      </c>
      <c r="DE328" t="s">
        <v>0</v>
      </c>
      <c r="DF328" s="128" t="str">
        <f t="shared" si="425"/>
        <v>Ž</v>
      </c>
      <c r="DG328" t="s">
        <v>0</v>
      </c>
      <c r="DH328" s="52" t="str">
        <f t="shared" si="426"/>
        <v/>
      </c>
      <c r="DI328" s="66" t="str">
        <f t="shared" si="427"/>
        <v/>
      </c>
      <c r="DJ328" t="s">
        <v>0</v>
      </c>
      <c r="DK328" s="19" t="str">
        <f t="shared" si="428"/>
        <v/>
      </c>
      <c r="DL328" s="47" t="s">
        <v>0</v>
      </c>
      <c r="DM328" s="19" t="str">
        <f t="shared" si="429"/>
        <v>INSERT INTO imeprezime_alias(id,alias,imeprezime_id) VALUES (2,'Sanja Ostroski',1097);</v>
      </c>
      <c r="DN328" s="47" t="s">
        <v>0</v>
      </c>
      <c r="DO328" s="52" t="str">
        <f t="shared" si="369"/>
        <v>Sanja – Ostroški – OK Varaždin – Ž45</v>
      </c>
      <c r="DP328" s="53">
        <f t="shared" si="370"/>
        <v>567</v>
      </c>
      <c r="DQ328" s="47" t="s">
        <v>0</v>
      </c>
      <c r="DR328" s="52" t="str">
        <f t="shared" si="371"/>
        <v>Sanja – Ostroški – OK Varaždin</v>
      </c>
      <c r="DS328" s="53">
        <f t="shared" si="372"/>
        <v>567</v>
      </c>
      <c r="DT328" s="47" t="s">
        <v>0</v>
      </c>
      <c r="DU328" s="52" t="str">
        <f t="shared" si="373"/>
        <v>Sanja – Ostroški</v>
      </c>
      <c r="DV328" s="53">
        <f t="shared" si="374"/>
        <v>567</v>
      </c>
      <c r="DW328" s="47" t="s">
        <v>0</v>
      </c>
      <c r="DX328" s="58">
        <f t="shared" si="417"/>
        <v>567</v>
      </c>
      <c r="DY328" s="53" cm="1">
        <f t="array" ref="DY328">IF(DX328&lt;&gt;"",INDEX(regNatjecatelj_id,DX328,0),IF(BD328&lt;&gt;"",BD328,""))</f>
        <v>1097</v>
      </c>
      <c r="DZ328" s="47" t="s">
        <v>0</v>
      </c>
      <c r="EA328" s="58" t="str">
        <f t="shared" si="375"/>
        <v>imepre(ali)</v>
      </c>
      <c r="EB328" s="73" t="str">
        <f t="shared" si="376"/>
        <v>klu</v>
      </c>
      <c r="EC328" s="73" t="str">
        <f t="shared" si="377"/>
        <v>kat</v>
      </c>
      <c r="ED328" s="73" t="str">
        <f t="shared" si="378"/>
        <v/>
      </c>
      <c r="EE328" s="66" t="str">
        <f t="shared" si="379"/>
        <v>imepre(ali)-klu-kat</v>
      </c>
      <c r="EF328" s="47" t="s">
        <v>0</v>
      </c>
      <c r="EG328" s="58">
        <f>IF(AL328="","",MAX(EG$12:EG327)+1)</f>
        <v>476</v>
      </c>
      <c r="EH328" s="73">
        <f t="shared" si="380"/>
        <v>42</v>
      </c>
      <c r="EI328" s="73">
        <f t="shared" si="418"/>
        <v>1097</v>
      </c>
      <c r="EJ328" s="73">
        <f t="shared" si="381"/>
        <v>5275</v>
      </c>
      <c r="EK328" s="73">
        <f t="shared" si="382"/>
        <v>1</v>
      </c>
      <c r="EL328" s="73">
        <f t="shared" si="419"/>
        <v>1</v>
      </c>
      <c r="EM328" s="73">
        <f t="shared" si="420"/>
        <v>7</v>
      </c>
      <c r="EN328" s="73" t="str">
        <f t="shared" si="383"/>
        <v>0</v>
      </c>
      <c r="EO328" s="73">
        <f t="shared" si="384"/>
        <v>2</v>
      </c>
      <c r="EP328" s="73" t="str">
        <f t="shared" si="385"/>
        <v/>
      </c>
      <c r="EQ328" s="53" t="str">
        <f t="shared" si="386"/>
        <v/>
      </c>
      <c r="ER328" s="47" t="s">
        <v>0</v>
      </c>
      <c r="ES328" s="19" t="str">
        <f t="shared" si="421"/>
        <v>INSERT INTO rezultat(id,stazakategorija_id,imeprezime_id,vrijeme_sec,status_id,registracija,uparivanje_id,originalstatus_id,imeprezimealias_id,klubalias_id,kategorijaalias_id) VALUES (476,42,1097,5275,1,1,7,0,2,Null,Null);</v>
      </c>
      <c r="ET328" s="47" t="s">
        <v>0</v>
      </c>
      <c r="EU328" s="19" t="str">
        <f t="shared" si="422"/>
        <v>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8" s="47" t="s">
        <v>0</v>
      </c>
      <c r="EW328" s="180" t="str">
        <f t="shared" si="387"/>
        <v xml:space="preserve">
INSERT INTO imeprezime_alias(id,alias,imeprezime_id) VALUES (2,'Sanja Ostroski',1097);
INSERT INTO rezultat(id,stazakategorija_id,imeprezime_id,vrijeme_sec,status_id,registracija,uparivanje_id,originalstatus_id,imeprezimealias_id,klubalias_id,kategorijaalias_id) VALUES (476,42,1097,5275,1,1,7,0,2,Null,Null);
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8" s="47" t="s">
        <v>0</v>
      </c>
    </row>
    <row r="329" spans="1:154" x14ac:dyDescent="0.25">
      <c r="A329" t="s">
        <v>0</v>
      </c>
      <c r="B329" s="52" t="str">
        <f>IF(csv!F319="","",csv!T319)</f>
        <v>Ž45</v>
      </c>
      <c r="C329" s="31" t="s">
        <v>0</v>
      </c>
      <c r="D329" s="31" t="str">
        <f>IF(csv!F319="","",csv!F319)</f>
        <v>Davorka</v>
      </c>
      <c r="E329" s="31" t="str">
        <f>IF(csv!E319="","",csv!E319)</f>
        <v>Srebačić</v>
      </c>
      <c r="F329" s="31" t="s">
        <v>0</v>
      </c>
      <c r="G329" s="73" t="str">
        <f>IF(csv!M319="","",csv!M319)</f>
        <v/>
      </c>
      <c r="H329" s="73" t="str">
        <f>IF(csv!N319="","",csv!N319)</f>
        <v>1</v>
      </c>
      <c r="I329" s="31" t="s">
        <v>0</v>
      </c>
      <c r="J329" s="31" t="str">
        <f>IF(csv!P319="","",csv!P319)</f>
        <v>OK Varaždin</v>
      </c>
      <c r="K329" s="31" t="str">
        <f>IF(csv!Q319="","",csv!Q319)</f>
        <v>OK Varaždin</v>
      </c>
      <c r="L329" s="31" t="s">
        <v>0</v>
      </c>
      <c r="M329" s="66" t="str">
        <f>IF(csv!R319="","",csv!R319)</f>
        <v>CRO</v>
      </c>
      <c r="N329" s="47" t="s">
        <v>0</v>
      </c>
      <c r="O329" s="246" t="str">
        <f t="shared" si="388"/>
        <v>ok</v>
      </c>
      <c r="P329" s="47"/>
      <c r="Q329" s="52" t="str">
        <f t="shared" si="389"/>
        <v>Ž45</v>
      </c>
      <c r="R329" s="73">
        <f>IF(Q329="","",IF(COUNTIF(Q$12:Q328,Q329)=0,R328+1,R328))</f>
        <v>20</v>
      </c>
      <c r="S329" s="73">
        <f t="shared" si="390"/>
        <v>116</v>
      </c>
      <c r="T329" s="73">
        <f t="shared" si="353"/>
        <v>25</v>
      </c>
      <c r="U329" s="66" t="str">
        <f t="shared" si="354"/>
        <v>Ž45</v>
      </c>
      <c r="V329" s="47" t="s">
        <v>0</v>
      </c>
      <c r="W329" s="222" t="str">
        <f t="shared" si="355"/>
        <v>Ž45</v>
      </c>
      <c r="X329" s="223">
        <f t="shared" si="356"/>
        <v>42</v>
      </c>
      <c r="Y329" s="47" t="s">
        <v>0</v>
      </c>
      <c r="Z329" s="52" t="str">
        <f t="shared" si="391"/>
        <v>CRO</v>
      </c>
      <c r="AA329" s="73">
        <f t="shared" si="357"/>
        <v>1</v>
      </c>
      <c r="AB329" s="31" t="str">
        <f t="shared" si="392"/>
        <v/>
      </c>
      <c r="AC329" s="66" t="str">
        <f>IF(AB329="","",MAX(AC$12:AC328)+1)</f>
        <v/>
      </c>
      <c r="AD329" s="47" t="s">
        <v>0</v>
      </c>
      <c r="AE329" s="125"/>
      <c r="AF329" s="47" t="s">
        <v>0</v>
      </c>
      <c r="AG329" s="19" t="str">
        <f t="shared" si="393"/>
        <v/>
      </c>
      <c r="AH329" s="47" t="s">
        <v>0</v>
      </c>
      <c r="AI329" s="143" t="str">
        <f t="shared" si="394"/>
        <v>CRO</v>
      </c>
      <c r="AJ329" s="47"/>
      <c r="AK329" s="52" t="str">
        <f t="shared" si="395"/>
        <v>Davorka</v>
      </c>
      <c r="AL329" s="31" t="str">
        <f t="shared" si="396"/>
        <v>Srebačić</v>
      </c>
      <c r="AM329" s="73">
        <f t="shared" si="397"/>
        <v>1067</v>
      </c>
      <c r="AN329" s="73" t="str">
        <f t="shared" si="398"/>
        <v/>
      </c>
      <c r="AO329" s="31" t="str">
        <f t="shared" si="358"/>
        <v>Davorka</v>
      </c>
      <c r="AP329" s="66" t="str">
        <f t="shared" si="359"/>
        <v>Srebačić</v>
      </c>
      <c r="AQ329" s="47" t="s">
        <v>0</v>
      </c>
      <c r="AR329" s="82" t="str">
        <f t="shared" si="399"/>
        <v/>
      </c>
      <c r="AS329" s="47" t="s">
        <v>0</v>
      </c>
      <c r="AT329" s="19" t="str">
        <f t="shared" si="400"/>
        <v/>
      </c>
      <c r="AU329" s="47" t="s">
        <v>0</v>
      </c>
      <c r="AV329" s="103"/>
      <c r="AW329" s="105"/>
      <c r="AX329" s="47" t="s">
        <v>0</v>
      </c>
      <c r="AY329" s="259" t="str">
        <f t="shared" si="423"/>
        <v/>
      </c>
      <c r="AZ329" s="47" t="s">
        <v>0</v>
      </c>
      <c r="BA329" s="52" t="str">
        <f t="shared" ref="BA329:BA392" si="433">IF(AV329&amp;AW329="","",AR329)</f>
        <v/>
      </c>
      <c r="BB329" s="73" t="str">
        <f>IF(AV329&amp;AW329="","",MAX(BB$12:BB328)+1)</f>
        <v/>
      </c>
      <c r="BC329" s="272" t="str">
        <f t="shared" si="361"/>
        <v/>
      </c>
      <c r="BD329" s="53" t="str">
        <f>IF(AND(AM329="NEMA",AN329="NEMA",OR(AV329&amp;AW329="",BC329="NEMA")),MAX(BD$12:BD328)+1,"")</f>
        <v/>
      </c>
      <c r="BE329" s="47" t="s">
        <v>0</v>
      </c>
      <c r="BF329" s="52" t="str">
        <f t="shared" si="401"/>
        <v>Davorka</v>
      </c>
      <c r="BG329" s="66" t="str">
        <f t="shared" si="402"/>
        <v>Srebačić</v>
      </c>
      <c r="BH329" s="47" t="s">
        <v>0</v>
      </c>
      <c r="BI329" s="52" t="str">
        <f t="shared" si="362"/>
        <v>OK Varaždin</v>
      </c>
      <c r="BJ329" s="31" t="str">
        <f t="shared" si="363"/>
        <v>OK Varaždin</v>
      </c>
      <c r="BK329" s="73" t="str">
        <f t="shared" si="364"/>
        <v/>
      </c>
      <c r="BL329" s="31" t="str" cm="1">
        <f t="array" ref="BL329">IF(BK329="",""&amp;BJ329,IF(BK329="NEMA",BJ329,INDEX(regKlub_naziv,MATCH(INDEX(regKlub_alias_klubId,BK329),regKlub_id,0))))</f>
        <v>OK Varaždin</v>
      </c>
      <c r="BM329" s="31" t="str" cm="1">
        <f t="array" ref="BM329">IFERROR(""&amp;INDEX(regNatjecatelj_klub,DV329),"")</f>
        <v>OK Varaždin</v>
      </c>
      <c r="BN329" s="88" t="str">
        <f t="shared" si="403"/>
        <v/>
      </c>
      <c r="BO329" s="66" t="str">
        <f t="shared" si="404"/>
        <v>OK Varaždin</v>
      </c>
      <c r="BP329" s="47" t="s">
        <v>0</v>
      </c>
      <c r="BQ329" s="52" t="str">
        <f>IF(X329&lt;&gt;"NEMA","",IF(IFERROR(MATCH(W329,W$12:W328,0),0)&lt;&gt;0,"",W329))</f>
        <v/>
      </c>
      <c r="BR329" s="73" t="str">
        <f t="shared" si="405"/>
        <v/>
      </c>
      <c r="BS329" s="31" t="str">
        <f>IF(OR(BR329="",BR329&lt;&gt;"NEMA"),"",MAX(BS$12:BS328)+1)</f>
        <v/>
      </c>
      <c r="BT329" s="66" t="str">
        <f t="shared" si="406"/>
        <v/>
      </c>
      <c r="BU329" s="47" t="s">
        <v>0</v>
      </c>
      <c r="BV329" s="19" t="str">
        <f t="shared" si="407"/>
        <v/>
      </c>
      <c r="BW329" s="47" t="s">
        <v>0</v>
      </c>
      <c r="BX329" s="82" t="str">
        <f>IF(BK329&lt;&gt;"NEMA","",IF(IFERROR(MATCH(BJ329,BJ$12:BJ328,0),0)&lt;&gt;0,"",BJ329))</f>
        <v/>
      </c>
      <c r="BY329" s="47" t="s">
        <v>0</v>
      </c>
      <c r="BZ329" s="125"/>
      <c r="CA329" s="47" t="s">
        <v>0</v>
      </c>
      <c r="CB329" s="58" t="str">
        <f t="shared" si="408"/>
        <v/>
      </c>
      <c r="CC329" s="31" t="str">
        <f t="shared" si="409"/>
        <v/>
      </c>
      <c r="CD329" s="31" t="str">
        <f>IF(CC329="","",MAX(CD$12:CD328)+1)</f>
        <v/>
      </c>
      <c r="CE329" s="31" t="str">
        <f t="shared" si="365"/>
        <v/>
      </c>
      <c r="CF329" s="31" t="str">
        <f t="shared" si="410"/>
        <v/>
      </c>
      <c r="CG329" s="31" t="str">
        <f>IF(BZ329="","",MAX(CG$12:CG328)+1)</f>
        <v/>
      </c>
      <c r="CH329" s="31" t="str">
        <f t="shared" si="411"/>
        <v/>
      </c>
      <c r="CI329" s="66" t="str">
        <f t="shared" si="412"/>
        <v/>
      </c>
      <c r="CJ329" s="47" t="s">
        <v>0</v>
      </c>
      <c r="CK329" s="73" t="str">
        <f t="shared" si="366"/>
        <v/>
      </c>
      <c r="CL329" s="47"/>
      <c r="CM329" s="19" t="str">
        <f t="shared" si="413"/>
        <v/>
      </c>
      <c r="CN329" s="47" t="s">
        <v>0</v>
      </c>
      <c r="CO329" s="143" t="str">
        <f t="shared" si="414"/>
        <v>OK Varaždin</v>
      </c>
      <c r="CP329" s="47" t="s">
        <v>0</v>
      </c>
      <c r="CQ329" s="58" t="str">
        <f t="shared" si="430"/>
        <v/>
      </c>
      <c r="CR329" s="73" t="str">
        <f t="shared" si="431"/>
        <v>1</v>
      </c>
      <c r="CS329" s="229" t="str">
        <f t="shared" si="367"/>
        <v/>
      </c>
      <c r="CT329" s="230" t="str">
        <f t="shared" si="432"/>
        <v/>
      </c>
      <c r="CU329" s="163">
        <f t="shared" si="368"/>
        <v>6</v>
      </c>
      <c r="CV329" s="47" t="s">
        <v>0</v>
      </c>
      <c r="CW329" s="222" t="str">
        <f t="shared" si="415"/>
        <v xml:space="preserve">
</v>
      </c>
      <c r="CX329" s="223" t="e">
        <f t="shared" si="416"/>
        <v>#N/A</v>
      </c>
      <c r="CY329" s="47" t="s">
        <v>0</v>
      </c>
      <c r="CZ329" s="47"/>
      <c r="DA329" s="47"/>
      <c r="DB329" s="47"/>
      <c r="DC329" s="47" t="s">
        <v>0</v>
      </c>
      <c r="DD329" s="53" t="str">
        <f t="shared" si="424"/>
        <v/>
      </c>
      <c r="DE329" t="s">
        <v>0</v>
      </c>
      <c r="DF329" s="128" t="str">
        <f t="shared" si="425"/>
        <v>Ž</v>
      </c>
      <c r="DG329" t="s">
        <v>0</v>
      </c>
      <c r="DH329" s="52" t="str">
        <f t="shared" si="426"/>
        <v/>
      </c>
      <c r="DI329" s="66" t="str">
        <f t="shared" si="427"/>
        <v/>
      </c>
      <c r="DJ329" t="s">
        <v>0</v>
      </c>
      <c r="DK329" s="19" t="str">
        <f t="shared" si="428"/>
        <v/>
      </c>
      <c r="DL329" s="47" t="s">
        <v>0</v>
      </c>
      <c r="DM329" s="19" t="str">
        <f t="shared" si="429"/>
        <v/>
      </c>
      <c r="DN329" s="47" t="s">
        <v>0</v>
      </c>
      <c r="DO329" s="52" t="str">
        <f t="shared" si="369"/>
        <v>Davorka – Srebačić – OK Varaždin – Ž45</v>
      </c>
      <c r="DP329" s="53">
        <f t="shared" si="370"/>
        <v>593</v>
      </c>
      <c r="DQ329" s="47" t="s">
        <v>0</v>
      </c>
      <c r="DR329" s="52" t="str">
        <f t="shared" si="371"/>
        <v>Davorka – Srebačić – OK Varaždin</v>
      </c>
      <c r="DS329" s="53">
        <f t="shared" si="372"/>
        <v>593</v>
      </c>
      <c r="DT329" s="47" t="s">
        <v>0</v>
      </c>
      <c r="DU329" s="52" t="str">
        <f t="shared" si="373"/>
        <v>Davorka – Srebačić</v>
      </c>
      <c r="DV329" s="53">
        <f t="shared" si="374"/>
        <v>593</v>
      </c>
      <c r="DW329" s="47" t="s">
        <v>0</v>
      </c>
      <c r="DX329" s="58">
        <f t="shared" si="417"/>
        <v>593</v>
      </c>
      <c r="DY329" s="53" cm="1">
        <f t="array" ref="DY329">IF(DX329&lt;&gt;"",INDEX(regNatjecatelj_id,DX329,0),IF(BD329&lt;&gt;"",BD329,""))</f>
        <v>1067</v>
      </c>
      <c r="DZ329" s="47" t="s">
        <v>0</v>
      </c>
      <c r="EA329" s="58" t="str">
        <f t="shared" si="375"/>
        <v>imepre</v>
      </c>
      <c r="EB329" s="73" t="str">
        <f t="shared" si="376"/>
        <v>klu</v>
      </c>
      <c r="EC329" s="73" t="str">
        <f t="shared" si="377"/>
        <v>kat</v>
      </c>
      <c r="ED329" s="73" t="str">
        <f t="shared" si="378"/>
        <v/>
      </c>
      <c r="EE329" s="66" t="str">
        <f t="shared" si="379"/>
        <v>imepre-klu-kat</v>
      </c>
      <c r="EF329" s="47" t="s">
        <v>0</v>
      </c>
      <c r="EG329" s="58">
        <f>IF(AL329="","",MAX(EG$12:EG328)+1)</f>
        <v>477</v>
      </c>
      <c r="EH329" s="73">
        <f t="shared" si="380"/>
        <v>42</v>
      </c>
      <c r="EI329" s="73">
        <f t="shared" si="418"/>
        <v>1067</v>
      </c>
      <c r="EJ329" s="73" t="str">
        <f t="shared" si="381"/>
        <v/>
      </c>
      <c r="EK329" s="73">
        <f t="shared" si="382"/>
        <v>6</v>
      </c>
      <c r="EL329" s="73">
        <f t="shared" si="419"/>
        <v>1</v>
      </c>
      <c r="EM329" s="73">
        <f t="shared" si="420"/>
        <v>1</v>
      </c>
      <c r="EN329" s="73" t="str">
        <f t="shared" si="383"/>
        <v>1</v>
      </c>
      <c r="EO329" s="73" t="str">
        <f t="shared" si="384"/>
        <v/>
      </c>
      <c r="EP329" s="73" t="str">
        <f t="shared" si="385"/>
        <v/>
      </c>
      <c r="EQ329" s="53" t="str">
        <f t="shared" si="386"/>
        <v/>
      </c>
      <c r="ER329" s="47" t="s">
        <v>0</v>
      </c>
      <c r="ES329" s="19" t="str">
        <f t="shared" si="421"/>
        <v>INSERT INTO rezultat(id,stazakategorija_id,imeprezime_id,vrijeme_sec,status_id,registracija,uparivanje_id,originalstatus_id,imeprezimealias_id,klubalias_id,kategorijaalias_id) VALUES (477,42,1067,Null,6,1,1,1,Null,Null,Null);</v>
      </c>
      <c r="ET329" s="47" t="s">
        <v>0</v>
      </c>
      <c r="EU329" s="19" t="str">
        <f t="shared" si="422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9" s="47" t="s">
        <v>0</v>
      </c>
      <c r="EW329" s="180" t="str">
        <f t="shared" si="387"/>
        <v xml:space="preserve">
INSERT INTO rezultat(id,stazakategorija_id,imeprezime_id,vrijeme_sec,status_id,registracija,uparivanje_id,originalstatus_id,imeprezimealias_id,klubalias_id,kategorijaalias_id) VALUES (477,42,1067,Null,6,1,1,1,Null,Null,Null);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9" s="47" t="s">
        <v>0</v>
      </c>
    </row>
    <row r="330" spans="1:154" x14ac:dyDescent="0.25">
      <c r="A330" t="s">
        <v>0</v>
      </c>
      <c r="B330" s="52" t="str">
        <f>IF(csv!F320="","",csv!T320)</f>
        <v>Ž45</v>
      </c>
      <c r="C330" s="31" t="s">
        <v>0</v>
      </c>
      <c r="D330" s="31" t="str">
        <f>IF(csv!F320="","",csv!F320)</f>
        <v>Vacant</v>
      </c>
      <c r="E330" s="31" t="str">
        <f>IF(csv!E320="","",csv!E320)</f>
        <v/>
      </c>
      <c r="F330" s="31" t="s">
        <v>0</v>
      </c>
      <c r="G330" s="73" t="str">
        <f>IF(csv!M320="","",csv!M320)</f>
        <v/>
      </c>
      <c r="H330" s="73" t="str">
        <f>IF(csv!N320="","",csv!N320)</f>
        <v>0</v>
      </c>
      <c r="I330" s="31" t="s">
        <v>0</v>
      </c>
      <c r="J330" s="31" t="str">
        <f>IF(csv!P320="","",csv!P320)</f>
        <v/>
      </c>
      <c r="K330" s="31" t="str">
        <f>IF(csv!Q320="","",csv!Q320)</f>
        <v/>
      </c>
      <c r="L330" s="31" t="s">
        <v>0</v>
      </c>
      <c r="M330" s="66" t="str">
        <f>IF(csv!R320="","",csv!R320)</f>
        <v/>
      </c>
      <c r="N330" s="47" t="s">
        <v>0</v>
      </c>
      <c r="O330" s="246" t="str">
        <f t="shared" si="388"/>
        <v/>
      </c>
      <c r="P330" s="47"/>
      <c r="Q330" s="52" t="str">
        <f t="shared" si="389"/>
        <v>Ž45</v>
      </c>
      <c r="R330" s="73">
        <f>IF(Q330="","",IF(COUNTIF(Q$12:Q329,Q330)=0,R329+1,R329))</f>
        <v>20</v>
      </c>
      <c r="S330" s="73">
        <f t="shared" si="390"/>
        <v>116</v>
      </c>
      <c r="T330" s="73">
        <f t="shared" si="353"/>
        <v>25</v>
      </c>
      <c r="U330" s="66" t="str">
        <f t="shared" si="354"/>
        <v>Ž45</v>
      </c>
      <c r="V330" s="47" t="s">
        <v>0</v>
      </c>
      <c r="W330" s="222" t="str">
        <f t="shared" si="355"/>
        <v/>
      </c>
      <c r="X330" s="223" t="str">
        <f t="shared" si="356"/>
        <v/>
      </c>
      <c r="Y330" s="47" t="s">
        <v>0</v>
      </c>
      <c r="Z330" s="52" t="str">
        <f t="shared" si="391"/>
        <v/>
      </c>
      <c r="AA330" s="73" t="str">
        <f t="shared" si="357"/>
        <v/>
      </c>
      <c r="AB330" s="31" t="str">
        <f t="shared" si="392"/>
        <v/>
      </c>
      <c r="AC330" s="66" t="str">
        <f>IF(AB330="","",MAX(AC$12:AC329)+1)</f>
        <v/>
      </c>
      <c r="AD330" s="47" t="s">
        <v>0</v>
      </c>
      <c r="AE330" s="125"/>
      <c r="AF330" s="47" t="s">
        <v>0</v>
      </c>
      <c r="AG330" s="19" t="str">
        <f t="shared" si="393"/>
        <v/>
      </c>
      <c r="AH330" s="47" t="s">
        <v>0</v>
      </c>
      <c r="AI330" s="143" t="str">
        <f t="shared" si="394"/>
        <v/>
      </c>
      <c r="AJ330" s="47"/>
      <c r="AK330" s="52" t="str">
        <f t="shared" si="395"/>
        <v/>
      </c>
      <c r="AL330" s="31" t="str">
        <f t="shared" si="396"/>
        <v/>
      </c>
      <c r="AM330" s="73" t="str">
        <f t="shared" si="397"/>
        <v/>
      </c>
      <c r="AN330" s="73" t="str">
        <f t="shared" si="398"/>
        <v/>
      </c>
      <c r="AO330" s="31" t="str">
        <f t="shared" si="358"/>
        <v/>
      </c>
      <c r="AP330" s="66" t="str">
        <f t="shared" si="359"/>
        <v/>
      </c>
      <c r="AQ330" s="47" t="s">
        <v>0</v>
      </c>
      <c r="AR330" s="82" t="str">
        <f t="shared" si="399"/>
        <v/>
      </c>
      <c r="AS330" s="47" t="s">
        <v>0</v>
      </c>
      <c r="AT330" s="19" t="str">
        <f t="shared" si="400"/>
        <v/>
      </c>
      <c r="AU330" s="47" t="s">
        <v>0</v>
      </c>
      <c r="AV330" s="103"/>
      <c r="AW330" s="105"/>
      <c r="AX330" s="47" t="s">
        <v>0</v>
      </c>
      <c r="AY330" s="259" t="str">
        <f t="shared" si="423"/>
        <v/>
      </c>
      <c r="AZ330" s="47" t="s">
        <v>0</v>
      </c>
      <c r="BA330" s="52" t="str">
        <f t="shared" si="433"/>
        <v/>
      </c>
      <c r="BB330" s="73" t="str">
        <f>IF(AV330&amp;AW330="","",MAX(BB$12:BB329)+1)</f>
        <v/>
      </c>
      <c r="BC330" s="272" t="str">
        <f t="shared" si="361"/>
        <v/>
      </c>
      <c r="BD330" s="53" t="str">
        <f>IF(AND(AM330="NEMA",AN330="NEMA",OR(AV330&amp;AW330="",BC330="NEMA")),MAX(BD$12:BD329)+1,"")</f>
        <v/>
      </c>
      <c r="BE330" s="47" t="s">
        <v>0</v>
      </c>
      <c r="BF330" s="52" t="str">
        <f t="shared" si="401"/>
        <v/>
      </c>
      <c r="BG330" s="66" t="str">
        <f t="shared" si="402"/>
        <v/>
      </c>
      <c r="BH330" s="47" t="s">
        <v>0</v>
      </c>
      <c r="BI330" s="52" t="str">
        <f t="shared" si="362"/>
        <v/>
      </c>
      <c r="BJ330" s="31" t="str">
        <f t="shared" si="363"/>
        <v/>
      </c>
      <c r="BK330" s="73" t="str">
        <f t="shared" si="364"/>
        <v/>
      </c>
      <c r="BL330" s="31" t="str" cm="1">
        <f t="array" ref="BL330">IF(BK330="",""&amp;BJ330,IF(BK330="NEMA",BJ330,INDEX(regKlub_naziv,MATCH(INDEX(regKlub_alias_klubId,BK330),regKlub_id,0))))</f>
        <v/>
      </c>
      <c r="BM330" s="31" t="str" cm="1">
        <f t="array" ref="BM330">IFERROR(""&amp;INDEX(regNatjecatelj_klub,DV330),"")</f>
        <v/>
      </c>
      <c r="BN330" s="88" t="str">
        <f t="shared" si="403"/>
        <v/>
      </c>
      <c r="BO330" s="66" t="str">
        <f t="shared" si="404"/>
        <v/>
      </c>
      <c r="BP330" s="47" t="s">
        <v>0</v>
      </c>
      <c r="BQ330" s="52" t="str">
        <f>IF(X330&lt;&gt;"NEMA","",IF(IFERROR(MATCH(W330,W$12:W329,0),0)&lt;&gt;0,"",W330))</f>
        <v/>
      </c>
      <c r="BR330" s="73" t="str">
        <f t="shared" si="405"/>
        <v/>
      </c>
      <c r="BS330" s="31" t="str">
        <f>IF(OR(BR330="",BR330&lt;&gt;"NEMA"),"",MAX(BS$12:BS329)+1)</f>
        <v/>
      </c>
      <c r="BT330" s="66" t="str">
        <f t="shared" si="406"/>
        <v/>
      </c>
      <c r="BU330" s="47" t="s">
        <v>0</v>
      </c>
      <c r="BV330" s="19" t="str">
        <f t="shared" si="407"/>
        <v/>
      </c>
      <c r="BW330" s="47" t="s">
        <v>0</v>
      </c>
      <c r="BX330" s="82" t="str">
        <f>IF(BK330&lt;&gt;"NEMA","",IF(IFERROR(MATCH(BJ330,BJ$12:BJ329,0),0)&lt;&gt;0,"",BJ330))</f>
        <v/>
      </c>
      <c r="BY330" s="47" t="s">
        <v>0</v>
      </c>
      <c r="BZ330" s="125"/>
      <c r="CA330" s="47" t="s">
        <v>0</v>
      </c>
      <c r="CB330" s="58" t="str">
        <f t="shared" si="408"/>
        <v/>
      </c>
      <c r="CC330" s="31" t="str">
        <f t="shared" si="409"/>
        <v/>
      </c>
      <c r="CD330" s="31" t="str">
        <f>IF(CC330="","",MAX(CD$12:CD329)+1)</f>
        <v/>
      </c>
      <c r="CE330" s="31" t="str">
        <f t="shared" si="365"/>
        <v/>
      </c>
      <c r="CF330" s="31" t="str">
        <f t="shared" si="410"/>
        <v/>
      </c>
      <c r="CG330" s="31" t="str">
        <f>IF(BZ330="","",MAX(CG$12:CG329)+1)</f>
        <v/>
      </c>
      <c r="CH330" s="31" t="str">
        <f t="shared" si="411"/>
        <v/>
      </c>
      <c r="CI330" s="66" t="str">
        <f t="shared" si="412"/>
        <v/>
      </c>
      <c r="CJ330" s="47" t="s">
        <v>0</v>
      </c>
      <c r="CK330" s="73" t="str">
        <f t="shared" si="366"/>
        <v/>
      </c>
      <c r="CL330" s="47"/>
      <c r="CM330" s="19" t="str">
        <f t="shared" si="413"/>
        <v/>
      </c>
      <c r="CN330" s="47" t="s">
        <v>0</v>
      </c>
      <c r="CO330" s="143" t="str">
        <f t="shared" si="414"/>
        <v/>
      </c>
      <c r="CP330" s="47" t="s">
        <v>0</v>
      </c>
      <c r="CQ330" s="58" t="str">
        <f t="shared" si="430"/>
        <v/>
      </c>
      <c r="CR330" s="73" t="str">
        <f t="shared" si="431"/>
        <v>0</v>
      </c>
      <c r="CS330" s="229" t="str">
        <f t="shared" si="367"/>
        <v/>
      </c>
      <c r="CT330" s="230" t="str">
        <f t="shared" si="432"/>
        <v/>
      </c>
      <c r="CU330" s="163" t="str">
        <f t="shared" si="368"/>
        <v/>
      </c>
      <c r="CV330" s="47" t="s">
        <v>0</v>
      </c>
      <c r="CW330" s="222" t="str">
        <f t="shared" si="415"/>
        <v xml:space="preserve">
</v>
      </c>
      <c r="CX330" s="223" t="str">
        <f t="shared" si="416"/>
        <v/>
      </c>
      <c r="CY330" s="47" t="s">
        <v>0</v>
      </c>
      <c r="CZ330" s="47"/>
      <c r="DA330" s="47"/>
      <c r="DB330" s="47"/>
      <c r="DC330" s="47" t="s">
        <v>0</v>
      </c>
      <c r="DD330" s="53" t="str">
        <f t="shared" si="424"/>
        <v/>
      </c>
      <c r="DE330" t="s">
        <v>0</v>
      </c>
      <c r="DF330" s="128" t="str">
        <f t="shared" si="425"/>
        <v>Ž</v>
      </c>
      <c r="DG330" t="s">
        <v>0</v>
      </c>
      <c r="DH330" s="52" t="str">
        <f t="shared" si="426"/>
        <v/>
      </c>
      <c r="DI330" s="66" t="str">
        <f t="shared" si="427"/>
        <v/>
      </c>
      <c r="DJ330" t="s">
        <v>0</v>
      </c>
      <c r="DK330" s="19" t="str">
        <f t="shared" si="428"/>
        <v/>
      </c>
      <c r="DL330" s="47" t="s">
        <v>0</v>
      </c>
      <c r="DM330" s="19" t="str">
        <f t="shared" si="429"/>
        <v/>
      </c>
      <c r="DN330" s="47" t="s">
        <v>0</v>
      </c>
      <c r="DO330" s="52" t="str">
        <f t="shared" si="369"/>
        <v/>
      </c>
      <c r="DP330" s="53" t="str">
        <f t="shared" si="370"/>
        <v/>
      </c>
      <c r="DQ330" s="47" t="s">
        <v>0</v>
      </c>
      <c r="DR330" s="52" t="str">
        <f t="shared" si="371"/>
        <v/>
      </c>
      <c r="DS330" s="53" t="str">
        <f t="shared" si="372"/>
        <v/>
      </c>
      <c r="DT330" s="47" t="s">
        <v>0</v>
      </c>
      <c r="DU330" s="52" t="str">
        <f t="shared" si="373"/>
        <v/>
      </c>
      <c r="DV330" s="53" t="str">
        <f t="shared" si="374"/>
        <v/>
      </c>
      <c r="DW330" s="47" t="s">
        <v>0</v>
      </c>
      <c r="DX330" s="58" t="str">
        <f t="shared" si="417"/>
        <v/>
      </c>
      <c r="DY330" s="53" t="str" cm="1">
        <f t="array" ref="DY330">IF(DX330&lt;&gt;"",INDEX(regNatjecatelj_id,DX330,0),IF(BD330&lt;&gt;"",BD330,""))</f>
        <v/>
      </c>
      <c r="DZ330" s="47" t="s">
        <v>0</v>
      </c>
      <c r="EA330" s="58" t="str">
        <f t="shared" si="375"/>
        <v/>
      </c>
      <c r="EB330" s="73" t="str">
        <f t="shared" si="376"/>
        <v/>
      </c>
      <c r="EC330" s="73" t="str">
        <f t="shared" si="377"/>
        <v/>
      </c>
      <c r="ED330" s="73" t="str">
        <f t="shared" si="378"/>
        <v/>
      </c>
      <c r="EE330" s="66" t="str">
        <f t="shared" si="379"/>
        <v/>
      </c>
      <c r="EF330" s="47" t="s">
        <v>0</v>
      </c>
      <c r="EG330" s="58" t="str">
        <f>IF(AL330="","",MAX(EG$12:EG329)+1)</f>
        <v/>
      </c>
      <c r="EH330" s="73" t="str">
        <f t="shared" si="380"/>
        <v/>
      </c>
      <c r="EI330" s="73" t="str">
        <f t="shared" si="418"/>
        <v/>
      </c>
      <c r="EJ330" s="73" t="str">
        <f t="shared" si="381"/>
        <v/>
      </c>
      <c r="EK330" s="73" t="str">
        <f t="shared" si="382"/>
        <v/>
      </c>
      <c r="EL330" s="73" t="str">
        <f t="shared" si="419"/>
        <v/>
      </c>
      <c r="EM330" s="73" t="str">
        <f t="shared" si="420"/>
        <v/>
      </c>
      <c r="EN330" s="73" t="str">
        <f t="shared" si="383"/>
        <v/>
      </c>
      <c r="EO330" s="73" t="str">
        <f t="shared" si="384"/>
        <v/>
      </c>
      <c r="EP330" s="73" t="str">
        <f t="shared" si="385"/>
        <v/>
      </c>
      <c r="EQ330" s="53" t="str">
        <f t="shared" si="386"/>
        <v/>
      </c>
      <c r="ER330" s="47" t="s">
        <v>0</v>
      </c>
      <c r="ES330" s="19" t="str">
        <f t="shared" si="421"/>
        <v/>
      </c>
      <c r="ET330" s="47" t="s">
        <v>0</v>
      </c>
      <c r="EU330" s="19" t="str">
        <f t="shared" si="422"/>
        <v/>
      </c>
      <c r="EV330" s="47" t="s">
        <v>0</v>
      </c>
      <c r="EW330" s="180" t="str">
        <f t="shared" si="387"/>
        <v/>
      </c>
      <c r="EX330" s="47" t="s">
        <v>0</v>
      </c>
    </row>
    <row r="331" spans="1:154" x14ac:dyDescent="0.25">
      <c r="A331" t="s">
        <v>0</v>
      </c>
      <c r="B331" s="52" t="str">
        <f>IF(csv!F321="","",csv!T321)</f>
        <v>Ž45</v>
      </c>
      <c r="C331" s="31" t="s">
        <v>0</v>
      </c>
      <c r="D331" s="31" t="str">
        <f>IF(csv!F321="","",csv!F321)</f>
        <v>Vacant</v>
      </c>
      <c r="E331" s="31" t="str">
        <f>IF(csv!E321="","",csv!E321)</f>
        <v/>
      </c>
      <c r="F331" s="31" t="s">
        <v>0</v>
      </c>
      <c r="G331" s="73" t="str">
        <f>IF(csv!M321="","",csv!M321)</f>
        <v/>
      </c>
      <c r="H331" s="73" t="str">
        <f>IF(csv!N321="","",csv!N321)</f>
        <v>0</v>
      </c>
      <c r="I331" s="31" t="s">
        <v>0</v>
      </c>
      <c r="J331" s="31" t="str">
        <f>IF(csv!P321="","",csv!P321)</f>
        <v/>
      </c>
      <c r="K331" s="31" t="str">
        <f>IF(csv!Q321="","",csv!Q321)</f>
        <v/>
      </c>
      <c r="L331" s="31" t="s">
        <v>0</v>
      </c>
      <c r="M331" s="66" t="str">
        <f>IF(csv!R321="","",csv!R321)</f>
        <v/>
      </c>
      <c r="N331" s="47" t="s">
        <v>0</v>
      </c>
      <c r="O331" s="246" t="str">
        <f t="shared" si="388"/>
        <v/>
      </c>
      <c r="P331" s="47"/>
      <c r="Q331" s="52" t="str">
        <f t="shared" si="389"/>
        <v>Ž45</v>
      </c>
      <c r="R331" s="73">
        <f>IF(Q331="","",IF(COUNTIF(Q$12:Q330,Q331)=0,R330+1,R330))</f>
        <v>20</v>
      </c>
      <c r="S331" s="73">
        <f t="shared" si="390"/>
        <v>116</v>
      </c>
      <c r="T331" s="73">
        <f t="shared" si="353"/>
        <v>25</v>
      </c>
      <c r="U331" s="66" t="str">
        <f t="shared" si="354"/>
        <v>Ž45</v>
      </c>
      <c r="V331" s="47" t="s">
        <v>0</v>
      </c>
      <c r="W331" s="222" t="str">
        <f t="shared" si="355"/>
        <v/>
      </c>
      <c r="X331" s="223" t="str">
        <f t="shared" si="356"/>
        <v/>
      </c>
      <c r="Y331" s="47" t="s">
        <v>0</v>
      </c>
      <c r="Z331" s="52" t="str">
        <f t="shared" si="391"/>
        <v/>
      </c>
      <c r="AA331" s="73" t="str">
        <f t="shared" si="357"/>
        <v/>
      </c>
      <c r="AB331" s="31" t="str">
        <f t="shared" si="392"/>
        <v/>
      </c>
      <c r="AC331" s="66" t="str">
        <f>IF(AB331="","",MAX(AC$12:AC330)+1)</f>
        <v/>
      </c>
      <c r="AD331" s="47" t="s">
        <v>0</v>
      </c>
      <c r="AE331" s="125"/>
      <c r="AF331" s="47" t="s">
        <v>0</v>
      </c>
      <c r="AG331" s="19" t="str">
        <f t="shared" si="393"/>
        <v/>
      </c>
      <c r="AH331" s="47" t="s">
        <v>0</v>
      </c>
      <c r="AI331" s="143" t="str">
        <f t="shared" si="394"/>
        <v/>
      </c>
      <c r="AJ331" s="47"/>
      <c r="AK331" s="52" t="str">
        <f t="shared" si="395"/>
        <v/>
      </c>
      <c r="AL331" s="31" t="str">
        <f t="shared" si="396"/>
        <v/>
      </c>
      <c r="AM331" s="73" t="str">
        <f t="shared" si="397"/>
        <v/>
      </c>
      <c r="AN331" s="73" t="str">
        <f t="shared" si="398"/>
        <v/>
      </c>
      <c r="AO331" s="31" t="str">
        <f t="shared" si="358"/>
        <v/>
      </c>
      <c r="AP331" s="66" t="str">
        <f t="shared" si="359"/>
        <v/>
      </c>
      <c r="AQ331" s="47" t="s">
        <v>0</v>
      </c>
      <c r="AR331" s="82" t="str">
        <f t="shared" si="399"/>
        <v/>
      </c>
      <c r="AS331" s="47" t="s">
        <v>0</v>
      </c>
      <c r="AT331" s="19" t="str">
        <f t="shared" si="400"/>
        <v/>
      </c>
      <c r="AU331" s="47" t="s">
        <v>0</v>
      </c>
      <c r="AV331" s="103"/>
      <c r="AW331" s="105"/>
      <c r="AX331" s="47" t="s">
        <v>0</v>
      </c>
      <c r="AY331" s="259" t="str">
        <f t="shared" si="423"/>
        <v/>
      </c>
      <c r="AZ331" s="47" t="s">
        <v>0</v>
      </c>
      <c r="BA331" s="52" t="str">
        <f t="shared" si="433"/>
        <v/>
      </c>
      <c r="BB331" s="73" t="str">
        <f>IF(AV331&amp;AW331="","",MAX(BB$12:BB330)+1)</f>
        <v/>
      </c>
      <c r="BC331" s="272" t="str">
        <f t="shared" si="361"/>
        <v/>
      </c>
      <c r="BD331" s="53" t="str">
        <f>IF(AND(AM331="NEMA",AN331="NEMA",OR(AV331&amp;AW331="",BC331="NEMA")),MAX(BD$12:BD330)+1,"")</f>
        <v/>
      </c>
      <c r="BE331" s="47" t="s">
        <v>0</v>
      </c>
      <c r="BF331" s="52" t="str">
        <f t="shared" si="401"/>
        <v/>
      </c>
      <c r="BG331" s="66" t="str">
        <f t="shared" si="402"/>
        <v/>
      </c>
      <c r="BH331" s="47" t="s">
        <v>0</v>
      </c>
      <c r="BI331" s="52" t="str">
        <f t="shared" si="362"/>
        <v/>
      </c>
      <c r="BJ331" s="31" t="str">
        <f t="shared" si="363"/>
        <v/>
      </c>
      <c r="BK331" s="73" t="str">
        <f t="shared" si="364"/>
        <v/>
      </c>
      <c r="BL331" s="31" t="str" cm="1">
        <f t="array" ref="BL331">IF(BK331="",""&amp;BJ331,IF(BK331="NEMA",BJ331,INDEX(regKlub_naziv,MATCH(INDEX(regKlub_alias_klubId,BK331),regKlub_id,0))))</f>
        <v/>
      </c>
      <c r="BM331" s="31" t="str" cm="1">
        <f t="array" ref="BM331">IFERROR(""&amp;INDEX(regNatjecatelj_klub,DV331),"")</f>
        <v/>
      </c>
      <c r="BN331" s="88" t="str">
        <f t="shared" si="403"/>
        <v/>
      </c>
      <c r="BO331" s="66" t="str">
        <f t="shared" si="404"/>
        <v/>
      </c>
      <c r="BP331" s="47" t="s">
        <v>0</v>
      </c>
      <c r="BQ331" s="52" t="str">
        <f>IF(X331&lt;&gt;"NEMA","",IF(IFERROR(MATCH(W331,W$12:W330,0),0)&lt;&gt;0,"",W331))</f>
        <v/>
      </c>
      <c r="BR331" s="73" t="str">
        <f t="shared" si="405"/>
        <v/>
      </c>
      <c r="BS331" s="31" t="str">
        <f>IF(OR(BR331="",BR331&lt;&gt;"NEMA"),"",MAX(BS$12:BS330)+1)</f>
        <v/>
      </c>
      <c r="BT331" s="66" t="str">
        <f t="shared" si="406"/>
        <v/>
      </c>
      <c r="BU331" s="47" t="s">
        <v>0</v>
      </c>
      <c r="BV331" s="19" t="str">
        <f t="shared" si="407"/>
        <v/>
      </c>
      <c r="BW331" s="47" t="s">
        <v>0</v>
      </c>
      <c r="BX331" s="82" t="str">
        <f>IF(BK331&lt;&gt;"NEMA","",IF(IFERROR(MATCH(BJ331,BJ$12:BJ330,0),0)&lt;&gt;0,"",BJ331))</f>
        <v/>
      </c>
      <c r="BY331" s="47" t="s">
        <v>0</v>
      </c>
      <c r="BZ331" s="125"/>
      <c r="CA331" s="47" t="s">
        <v>0</v>
      </c>
      <c r="CB331" s="58" t="str">
        <f t="shared" si="408"/>
        <v/>
      </c>
      <c r="CC331" s="31" t="str">
        <f t="shared" si="409"/>
        <v/>
      </c>
      <c r="CD331" s="31" t="str">
        <f>IF(CC331="","",MAX(CD$12:CD330)+1)</f>
        <v/>
      </c>
      <c r="CE331" s="31" t="str">
        <f t="shared" si="365"/>
        <v/>
      </c>
      <c r="CF331" s="31" t="str">
        <f t="shared" si="410"/>
        <v/>
      </c>
      <c r="CG331" s="31" t="str">
        <f>IF(BZ331="","",MAX(CG$12:CG330)+1)</f>
        <v/>
      </c>
      <c r="CH331" s="31" t="str">
        <f t="shared" si="411"/>
        <v/>
      </c>
      <c r="CI331" s="66" t="str">
        <f t="shared" si="412"/>
        <v/>
      </c>
      <c r="CJ331" s="47" t="s">
        <v>0</v>
      </c>
      <c r="CK331" s="73" t="str">
        <f t="shared" si="366"/>
        <v/>
      </c>
      <c r="CL331" s="47"/>
      <c r="CM331" s="19" t="str">
        <f t="shared" si="413"/>
        <v/>
      </c>
      <c r="CN331" s="47" t="s">
        <v>0</v>
      </c>
      <c r="CO331" s="143" t="str">
        <f t="shared" si="414"/>
        <v/>
      </c>
      <c r="CP331" s="47" t="s">
        <v>0</v>
      </c>
      <c r="CQ331" s="58" t="str">
        <f t="shared" si="430"/>
        <v/>
      </c>
      <c r="CR331" s="73" t="str">
        <f t="shared" si="431"/>
        <v>0</v>
      </c>
      <c r="CS331" s="229" t="str">
        <f t="shared" si="367"/>
        <v/>
      </c>
      <c r="CT331" s="230" t="str">
        <f t="shared" si="432"/>
        <v/>
      </c>
      <c r="CU331" s="163" t="str">
        <f t="shared" si="368"/>
        <v/>
      </c>
      <c r="CV331" s="47" t="s">
        <v>0</v>
      </c>
      <c r="CW331" s="222" t="str">
        <f t="shared" si="415"/>
        <v xml:space="preserve">
</v>
      </c>
      <c r="CX331" s="223" t="str">
        <f t="shared" si="416"/>
        <v/>
      </c>
      <c r="CY331" s="47" t="s">
        <v>0</v>
      </c>
      <c r="CZ331" s="47"/>
      <c r="DA331" s="47"/>
      <c r="DB331" s="47"/>
      <c r="DC331" s="47" t="s">
        <v>0</v>
      </c>
      <c r="DD331" s="53" t="str">
        <f t="shared" si="424"/>
        <v/>
      </c>
      <c r="DE331" t="s">
        <v>0</v>
      </c>
      <c r="DF331" s="128" t="str">
        <f t="shared" si="425"/>
        <v>Ž</v>
      </c>
      <c r="DG331" t="s">
        <v>0</v>
      </c>
      <c r="DH331" s="52" t="str">
        <f t="shared" si="426"/>
        <v/>
      </c>
      <c r="DI331" s="66" t="str">
        <f t="shared" si="427"/>
        <v/>
      </c>
      <c r="DJ331" t="s">
        <v>0</v>
      </c>
      <c r="DK331" s="19" t="str">
        <f t="shared" si="428"/>
        <v/>
      </c>
      <c r="DL331" s="47" t="s">
        <v>0</v>
      </c>
      <c r="DM331" s="19" t="str">
        <f t="shared" si="429"/>
        <v/>
      </c>
      <c r="DN331" s="47" t="s">
        <v>0</v>
      </c>
      <c r="DO331" s="52" t="str">
        <f t="shared" si="369"/>
        <v/>
      </c>
      <c r="DP331" s="53" t="str">
        <f t="shared" si="370"/>
        <v/>
      </c>
      <c r="DQ331" s="47" t="s">
        <v>0</v>
      </c>
      <c r="DR331" s="52" t="str">
        <f t="shared" si="371"/>
        <v/>
      </c>
      <c r="DS331" s="53" t="str">
        <f t="shared" si="372"/>
        <v/>
      </c>
      <c r="DT331" s="47" t="s">
        <v>0</v>
      </c>
      <c r="DU331" s="52" t="str">
        <f t="shared" si="373"/>
        <v/>
      </c>
      <c r="DV331" s="53" t="str">
        <f t="shared" si="374"/>
        <v/>
      </c>
      <c r="DW331" s="47" t="s">
        <v>0</v>
      </c>
      <c r="DX331" s="58" t="str">
        <f t="shared" si="417"/>
        <v/>
      </c>
      <c r="DY331" s="53" t="str" cm="1">
        <f t="array" ref="DY331">IF(DX331&lt;&gt;"",INDEX(regNatjecatelj_id,DX331,0),IF(BD331&lt;&gt;"",BD331,""))</f>
        <v/>
      </c>
      <c r="DZ331" s="47" t="s">
        <v>0</v>
      </c>
      <c r="EA331" s="58" t="str">
        <f t="shared" si="375"/>
        <v/>
      </c>
      <c r="EB331" s="73" t="str">
        <f t="shared" si="376"/>
        <v/>
      </c>
      <c r="EC331" s="73" t="str">
        <f t="shared" si="377"/>
        <v/>
      </c>
      <c r="ED331" s="73" t="str">
        <f t="shared" si="378"/>
        <v/>
      </c>
      <c r="EE331" s="66" t="str">
        <f t="shared" si="379"/>
        <v/>
      </c>
      <c r="EF331" s="47" t="s">
        <v>0</v>
      </c>
      <c r="EG331" s="58" t="str">
        <f>IF(AL331="","",MAX(EG$12:EG330)+1)</f>
        <v/>
      </c>
      <c r="EH331" s="73" t="str">
        <f t="shared" si="380"/>
        <v/>
      </c>
      <c r="EI331" s="73" t="str">
        <f t="shared" si="418"/>
        <v/>
      </c>
      <c r="EJ331" s="73" t="str">
        <f t="shared" si="381"/>
        <v/>
      </c>
      <c r="EK331" s="73" t="str">
        <f t="shared" si="382"/>
        <v/>
      </c>
      <c r="EL331" s="73" t="str">
        <f t="shared" si="419"/>
        <v/>
      </c>
      <c r="EM331" s="73" t="str">
        <f t="shared" si="420"/>
        <v/>
      </c>
      <c r="EN331" s="73" t="str">
        <f t="shared" si="383"/>
        <v/>
      </c>
      <c r="EO331" s="73" t="str">
        <f t="shared" si="384"/>
        <v/>
      </c>
      <c r="EP331" s="73" t="str">
        <f t="shared" si="385"/>
        <v/>
      </c>
      <c r="EQ331" s="53" t="str">
        <f t="shared" si="386"/>
        <v/>
      </c>
      <c r="ER331" s="47" t="s">
        <v>0</v>
      </c>
      <c r="ES331" s="19" t="str">
        <f t="shared" si="421"/>
        <v/>
      </c>
      <c r="ET331" s="47" t="s">
        <v>0</v>
      </c>
      <c r="EU331" s="19" t="str">
        <f t="shared" si="422"/>
        <v/>
      </c>
      <c r="EV331" s="47" t="s">
        <v>0</v>
      </c>
      <c r="EW331" s="180" t="str">
        <f t="shared" si="387"/>
        <v/>
      </c>
      <c r="EX331" s="47" t="s">
        <v>0</v>
      </c>
    </row>
    <row r="332" spans="1:154" x14ac:dyDescent="0.25">
      <c r="A332" t="s">
        <v>0</v>
      </c>
      <c r="B332" s="52" t="str">
        <f>IF(csv!F322="","",csv!T322)</f>
        <v>Ž55</v>
      </c>
      <c r="C332" s="31" t="s">
        <v>0</v>
      </c>
      <c r="D332" s="31" t="str">
        <f>IF(csv!F322="","",csv!F322)</f>
        <v>Maja</v>
      </c>
      <c r="E332" s="31" t="str">
        <f>IF(csv!E322="","",csv!E322)</f>
        <v>Cvitković</v>
      </c>
      <c r="F332" s="31" t="s">
        <v>0</v>
      </c>
      <c r="G332" s="73" t="str">
        <f>IF(csv!M322="","",csv!M322)</f>
        <v>48:51</v>
      </c>
      <c r="H332" s="73" t="str">
        <f>IF(csv!N322="","",csv!N322)</f>
        <v>0</v>
      </c>
      <c r="I332" s="31" t="s">
        <v>0</v>
      </c>
      <c r="J332" s="31" t="str">
        <f>IF(csv!P322="","",csv!P322)</f>
        <v>Vihor</v>
      </c>
      <c r="K332" s="31" t="str">
        <f>IF(csv!Q322="","",csv!Q322)</f>
        <v>OK Vihor</v>
      </c>
      <c r="L332" s="31" t="s">
        <v>0</v>
      </c>
      <c r="M332" s="66" t="str">
        <f>IF(csv!R322="","",csv!R322)</f>
        <v>CRO</v>
      </c>
      <c r="N332" s="47" t="s">
        <v>0</v>
      </c>
      <c r="O332" s="246" t="str">
        <f t="shared" si="388"/>
        <v>ok</v>
      </c>
      <c r="P332" s="47"/>
      <c r="Q332" s="52" t="str">
        <f t="shared" si="389"/>
        <v>Ž55</v>
      </c>
      <c r="R332" s="73">
        <f>IF(Q332="","",IF(COUNTIF(Q$12:Q331,Q332)=0,R331+1,R331))</f>
        <v>21</v>
      </c>
      <c r="S332" s="73">
        <f t="shared" si="390"/>
        <v>115</v>
      </c>
      <c r="T332" s="73">
        <f t="shared" si="353"/>
        <v>24</v>
      </c>
      <c r="U332" s="66" t="str">
        <f t="shared" si="354"/>
        <v>Ž55</v>
      </c>
      <c r="V332" s="47" t="s">
        <v>0</v>
      </c>
      <c r="W332" s="222" t="str">
        <f t="shared" si="355"/>
        <v>Ž55</v>
      </c>
      <c r="X332" s="223">
        <f t="shared" si="356"/>
        <v>43</v>
      </c>
      <c r="Y332" s="47" t="s">
        <v>0</v>
      </c>
      <c r="Z332" s="52" t="str">
        <f t="shared" si="391"/>
        <v>CRO</v>
      </c>
      <c r="AA332" s="73">
        <f t="shared" si="357"/>
        <v>1</v>
      </c>
      <c r="AB332" s="31" t="str">
        <f t="shared" si="392"/>
        <v/>
      </c>
      <c r="AC332" s="66" t="str">
        <f>IF(AB332="","",MAX(AC$12:AC331)+1)</f>
        <v/>
      </c>
      <c r="AD332" s="47" t="s">
        <v>0</v>
      </c>
      <c r="AE332" s="125"/>
      <c r="AF332" s="47" t="s">
        <v>0</v>
      </c>
      <c r="AG332" s="19" t="str">
        <f t="shared" si="393"/>
        <v/>
      </c>
      <c r="AH332" s="47" t="s">
        <v>0</v>
      </c>
      <c r="AI332" s="143" t="str">
        <f t="shared" si="394"/>
        <v>CRO</v>
      </c>
      <c r="AJ332" s="47"/>
      <c r="AK332" s="52" t="str">
        <f t="shared" si="395"/>
        <v>Maja</v>
      </c>
      <c r="AL332" s="31" t="str">
        <f t="shared" si="396"/>
        <v>Cvitković</v>
      </c>
      <c r="AM332" s="73">
        <f t="shared" si="397"/>
        <v>1296</v>
      </c>
      <c r="AN332" s="73" t="str">
        <f t="shared" si="398"/>
        <v/>
      </c>
      <c r="AO332" s="31" t="str">
        <f t="shared" si="358"/>
        <v>Maja</v>
      </c>
      <c r="AP332" s="66" t="str">
        <f t="shared" si="359"/>
        <v>Cvitković</v>
      </c>
      <c r="AQ332" s="47" t="s">
        <v>0</v>
      </c>
      <c r="AR332" s="82" t="str">
        <f t="shared" si="399"/>
        <v/>
      </c>
      <c r="AS332" s="47" t="s">
        <v>0</v>
      </c>
      <c r="AT332" s="19" t="str">
        <f t="shared" si="400"/>
        <v/>
      </c>
      <c r="AU332" s="47" t="s">
        <v>0</v>
      </c>
      <c r="AV332" s="103"/>
      <c r="AW332" s="105"/>
      <c r="AX332" s="47" t="s">
        <v>0</v>
      </c>
      <c r="AY332" s="259" t="str">
        <f t="shared" si="423"/>
        <v/>
      </c>
      <c r="AZ332" s="47" t="s">
        <v>0</v>
      </c>
      <c r="BA332" s="52" t="str">
        <f t="shared" si="433"/>
        <v/>
      </c>
      <c r="BB332" s="73" t="str">
        <f>IF(AV332&amp;AW332="","",MAX(BB$12:BB331)+1)</f>
        <v/>
      </c>
      <c r="BC332" s="272" t="str">
        <f t="shared" si="361"/>
        <v/>
      </c>
      <c r="BD332" s="53" t="str">
        <f>IF(AND(AM332="NEMA",AN332="NEMA",OR(AV332&amp;AW332="",BC332="NEMA")),MAX(BD$12:BD331)+1,"")</f>
        <v/>
      </c>
      <c r="BE332" s="47" t="s">
        <v>0</v>
      </c>
      <c r="BF332" s="52" t="str">
        <f t="shared" si="401"/>
        <v>Maja</v>
      </c>
      <c r="BG332" s="66" t="str">
        <f t="shared" si="402"/>
        <v>Cvitković</v>
      </c>
      <c r="BH332" s="47" t="s">
        <v>0</v>
      </c>
      <c r="BI332" s="52" t="str">
        <f t="shared" si="362"/>
        <v>Vihor</v>
      </c>
      <c r="BJ332" s="31" t="str">
        <f t="shared" si="363"/>
        <v>OK Vihor</v>
      </c>
      <c r="BK332" s="73" t="str">
        <f t="shared" si="364"/>
        <v/>
      </c>
      <c r="BL332" s="31" t="str" cm="1">
        <f t="array" ref="BL332">IF(BK332="",""&amp;BJ332,IF(BK332="NEMA",BJ332,INDEX(regKlub_naziv,MATCH(INDEX(regKlub_alias_klubId,BK332),regKlub_id,0))))</f>
        <v>OK Vihor</v>
      </c>
      <c r="BM332" s="31" t="str" cm="1">
        <f t="array" ref="BM332">IFERROR(""&amp;INDEX(regNatjecatelj_klub,DV332),"")</f>
        <v>OK Vihor</v>
      </c>
      <c r="BN332" s="88" t="str">
        <f t="shared" si="403"/>
        <v/>
      </c>
      <c r="BO332" s="66" t="str">
        <f t="shared" si="404"/>
        <v>OK Vihor</v>
      </c>
      <c r="BP332" s="47" t="s">
        <v>0</v>
      </c>
      <c r="BQ332" s="52" t="str">
        <f>IF(X332&lt;&gt;"NEMA","",IF(IFERROR(MATCH(W332,W$12:W331,0),0)&lt;&gt;0,"",W332))</f>
        <v/>
      </c>
      <c r="BR332" s="73" t="str">
        <f t="shared" si="405"/>
        <v/>
      </c>
      <c r="BS332" s="31" t="str">
        <f>IF(OR(BR332="",BR332&lt;&gt;"NEMA"),"",MAX(BS$12:BS331)+1)</f>
        <v/>
      </c>
      <c r="BT332" s="66" t="str">
        <f t="shared" si="406"/>
        <v/>
      </c>
      <c r="BU332" s="47" t="s">
        <v>0</v>
      </c>
      <c r="BV332" s="19" t="str">
        <f t="shared" si="407"/>
        <v/>
      </c>
      <c r="BW332" s="47" t="s">
        <v>0</v>
      </c>
      <c r="BX332" s="82" t="str">
        <f>IF(BK332&lt;&gt;"NEMA","",IF(IFERROR(MATCH(BJ332,BJ$12:BJ331,0),0)&lt;&gt;0,"",BJ332))</f>
        <v/>
      </c>
      <c r="BY332" s="47" t="s">
        <v>0</v>
      </c>
      <c r="BZ332" s="125"/>
      <c r="CA332" s="47" t="s">
        <v>0</v>
      </c>
      <c r="CB332" s="58" t="str">
        <f t="shared" si="408"/>
        <v/>
      </c>
      <c r="CC332" s="31" t="str">
        <f t="shared" si="409"/>
        <v/>
      </c>
      <c r="CD332" s="31" t="str">
        <f>IF(CC332="","",MAX(CD$12:CD331)+1)</f>
        <v/>
      </c>
      <c r="CE332" s="31" t="str">
        <f t="shared" si="365"/>
        <v/>
      </c>
      <c r="CF332" s="31" t="str">
        <f t="shared" si="410"/>
        <v/>
      </c>
      <c r="CG332" s="31" t="str">
        <f>IF(BZ332="","",MAX(CG$12:CG331)+1)</f>
        <v/>
      </c>
      <c r="CH332" s="31" t="str">
        <f t="shared" si="411"/>
        <v/>
      </c>
      <c r="CI332" s="66" t="str">
        <f t="shared" si="412"/>
        <v/>
      </c>
      <c r="CJ332" s="47" t="s">
        <v>0</v>
      </c>
      <c r="CK332" s="73" t="str">
        <f t="shared" si="366"/>
        <v/>
      </c>
      <c r="CL332" s="47"/>
      <c r="CM332" s="19" t="str">
        <f t="shared" si="413"/>
        <v/>
      </c>
      <c r="CN332" s="47" t="s">
        <v>0</v>
      </c>
      <c r="CO332" s="143" t="str">
        <f t="shared" si="414"/>
        <v>OK Vihor</v>
      </c>
      <c r="CP332" s="47" t="s">
        <v>0</v>
      </c>
      <c r="CQ332" s="58" t="str">
        <f t="shared" si="430"/>
        <v>48:51</v>
      </c>
      <c r="CR332" s="73" t="str">
        <f t="shared" si="431"/>
        <v>0</v>
      </c>
      <c r="CS332" s="229" t="str">
        <f t="shared" si="367"/>
        <v/>
      </c>
      <c r="CT332" s="230">
        <f t="shared" si="432"/>
        <v>2931</v>
      </c>
      <c r="CU332" s="163">
        <f t="shared" si="368"/>
        <v>1</v>
      </c>
      <c r="CV332" s="47" t="s">
        <v>0</v>
      </c>
      <c r="CW332" s="222" t="str">
        <f t="shared" si="415"/>
        <v xml:space="preserve">
</v>
      </c>
      <c r="CX332" s="223">
        <f t="shared" si="416"/>
        <v>6</v>
      </c>
      <c r="CY332" s="47" t="s">
        <v>0</v>
      </c>
      <c r="CZ332" s="47"/>
      <c r="DA332" s="47"/>
      <c r="DB332" s="47"/>
      <c r="DC332" s="47" t="s">
        <v>0</v>
      </c>
      <c r="DD332" s="53" t="str">
        <f t="shared" si="424"/>
        <v/>
      </c>
      <c r="DE332" t="s">
        <v>0</v>
      </c>
      <c r="DF332" s="128" t="str">
        <f t="shared" si="425"/>
        <v>Ž</v>
      </c>
      <c r="DG332" t="s">
        <v>0</v>
      </c>
      <c r="DH332" s="52" t="str">
        <f t="shared" si="426"/>
        <v/>
      </c>
      <c r="DI332" s="66" t="str">
        <f t="shared" si="427"/>
        <v/>
      </c>
      <c r="DJ332" t="s">
        <v>0</v>
      </c>
      <c r="DK332" s="19" t="str">
        <f t="shared" si="428"/>
        <v/>
      </c>
      <c r="DL332" s="47" t="s">
        <v>0</v>
      </c>
      <c r="DM332" s="19" t="str">
        <f t="shared" si="429"/>
        <v/>
      </c>
      <c r="DN332" s="47" t="s">
        <v>0</v>
      </c>
      <c r="DO332" s="52" t="str">
        <f t="shared" si="369"/>
        <v>Maja – Cvitković – OK Vihor – Ž55</v>
      </c>
      <c r="DP332" s="53">
        <f t="shared" si="370"/>
        <v>652</v>
      </c>
      <c r="DQ332" s="47" t="s">
        <v>0</v>
      </c>
      <c r="DR332" s="52" t="str">
        <f t="shared" si="371"/>
        <v>Maja – Cvitković – OK Vihor</v>
      </c>
      <c r="DS332" s="53">
        <f t="shared" si="372"/>
        <v>652</v>
      </c>
      <c r="DT332" s="47" t="s">
        <v>0</v>
      </c>
      <c r="DU332" s="52" t="str">
        <f t="shared" si="373"/>
        <v>Maja – Cvitković</v>
      </c>
      <c r="DV332" s="53">
        <f t="shared" si="374"/>
        <v>652</v>
      </c>
      <c r="DW332" s="47" t="s">
        <v>0</v>
      </c>
      <c r="DX332" s="58">
        <f t="shared" si="417"/>
        <v>652</v>
      </c>
      <c r="DY332" s="53" cm="1">
        <f t="array" ref="DY332">IF(DX332&lt;&gt;"",INDEX(regNatjecatelj_id,DX332,0),IF(BD332&lt;&gt;"",BD332,""))</f>
        <v>1296</v>
      </c>
      <c r="DZ332" s="47" t="s">
        <v>0</v>
      </c>
      <c r="EA332" s="58" t="str">
        <f t="shared" si="375"/>
        <v>imepre</v>
      </c>
      <c r="EB332" s="73" t="str">
        <f t="shared" si="376"/>
        <v>klu</v>
      </c>
      <c r="EC332" s="73" t="str">
        <f t="shared" si="377"/>
        <v>kat</v>
      </c>
      <c r="ED332" s="73" t="str">
        <f t="shared" si="378"/>
        <v/>
      </c>
      <c r="EE332" s="66" t="str">
        <f t="shared" si="379"/>
        <v>imepre-klu-kat</v>
      </c>
      <c r="EF332" s="47" t="s">
        <v>0</v>
      </c>
      <c r="EG332" s="58">
        <f>IF(AL332="","",MAX(EG$12:EG331)+1)</f>
        <v>478</v>
      </c>
      <c r="EH332" s="73">
        <f t="shared" si="380"/>
        <v>43</v>
      </c>
      <c r="EI332" s="73">
        <f t="shared" si="418"/>
        <v>1296</v>
      </c>
      <c r="EJ332" s="73">
        <f t="shared" si="381"/>
        <v>2931</v>
      </c>
      <c r="EK332" s="73">
        <f t="shared" si="382"/>
        <v>1</v>
      </c>
      <c r="EL332" s="73">
        <f t="shared" si="419"/>
        <v>1</v>
      </c>
      <c r="EM332" s="73">
        <f t="shared" si="420"/>
        <v>1</v>
      </c>
      <c r="EN332" s="73" t="str">
        <f t="shared" si="383"/>
        <v>0</v>
      </c>
      <c r="EO332" s="73" t="str">
        <f t="shared" si="384"/>
        <v/>
      </c>
      <c r="EP332" s="73" t="str">
        <f t="shared" si="385"/>
        <v/>
      </c>
      <c r="EQ332" s="53" t="str">
        <f t="shared" si="386"/>
        <v/>
      </c>
      <c r="ER332" s="47" t="s">
        <v>0</v>
      </c>
      <c r="ES332" s="19" t="str">
        <f t="shared" si="421"/>
        <v>INSERT INTO rezultat(id,stazakategorija_id,imeprezime_id,vrijeme_sec,status_id,registracija,uparivanje_id,originalstatus_id,imeprezimealias_id,klubalias_id,kategorijaalias_id) VALUES (478,43,1296,2931,1,1,1,0,Null,Null,Null);</v>
      </c>
      <c r="ET332" s="47" t="s">
        <v>0</v>
      </c>
      <c r="EU332" s="19" t="str">
        <f t="shared" si="422"/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2" s="47" t="s">
        <v>0</v>
      </c>
      <c r="EW332" s="180" t="str">
        <f t="shared" si="387"/>
        <v xml:space="preserve">
INSERT INTO rezultat(id,stazakategorija_id,imeprezime_id,vrijeme_sec,status_id,registracija,uparivanje_id,originalstatus_id,imeprezimealias_id,klubalias_id,kategorijaalias_id) VALUES (478,43,1296,2931,1,1,1,0,Null,Null,Null);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2" s="47" t="s">
        <v>0</v>
      </c>
    </row>
    <row r="333" spans="1:154" x14ac:dyDescent="0.25">
      <c r="A333" t="s">
        <v>0</v>
      </c>
      <c r="B333" s="52" t="str">
        <f>IF(csv!F323="","",csv!T323)</f>
        <v>Ž55</v>
      </c>
      <c r="C333" s="31" t="s">
        <v>0</v>
      </c>
      <c r="D333" s="31" t="str">
        <f>IF(csv!F323="","",csv!F323)</f>
        <v>Teodora</v>
      </c>
      <c r="E333" s="31" t="str">
        <f>IF(csv!E323="","",csv!E323)</f>
        <v>Kučinac</v>
      </c>
      <c r="F333" s="31" t="s">
        <v>0</v>
      </c>
      <c r="G333" s="73" t="str">
        <f>IF(csv!M323="","",csv!M323)</f>
        <v>52:48</v>
      </c>
      <c r="H333" s="73" t="str">
        <f>IF(csv!N323="","",csv!N323)</f>
        <v>0</v>
      </c>
      <c r="I333" s="31" t="s">
        <v>0</v>
      </c>
      <c r="J333" s="31" t="str">
        <f>IF(csv!P323="","",csv!P323)</f>
        <v>Vihor</v>
      </c>
      <c r="K333" s="31" t="str">
        <f>IF(csv!Q323="","",csv!Q323)</f>
        <v>OK Vihor</v>
      </c>
      <c r="L333" s="31" t="s">
        <v>0</v>
      </c>
      <c r="M333" s="66" t="str">
        <f>IF(csv!R323="","",csv!R323)</f>
        <v>CRO</v>
      </c>
      <c r="N333" s="47" t="s">
        <v>0</v>
      </c>
      <c r="O333" s="246" t="str">
        <f t="shared" si="388"/>
        <v>ok</v>
      </c>
      <c r="P333" s="47"/>
      <c r="Q333" s="52" t="str">
        <f t="shared" si="389"/>
        <v>Ž55</v>
      </c>
      <c r="R333" s="73">
        <f>IF(Q333="","",IF(COUNTIF(Q$12:Q332,Q333)=0,R332+1,R332))</f>
        <v>21</v>
      </c>
      <c r="S333" s="73">
        <f t="shared" si="390"/>
        <v>115</v>
      </c>
      <c r="T333" s="73">
        <f t="shared" ref="T333:T396" si="434">IF(Q333="","",IFERROR(INDEX(natStaza_id,MATCH(Q333,natStaza_kategorija,0)),""))</f>
        <v>24</v>
      </c>
      <c r="U333" s="66" t="str">
        <f t="shared" ref="U333:U396" si="435">IF(T333="","",INDEX(natStaza_naziv,MATCH(T333,natStaza_id,0)))</f>
        <v>Ž55</v>
      </c>
      <c r="V333" s="47" t="s">
        <v>0</v>
      </c>
      <c r="W333" s="222" t="str">
        <f t="shared" ref="W333:W396" si="436">IF(O333="","",INDEX(regKategorija_oznaka,MATCH(S333,regKategorija_id,0)))</f>
        <v>Ž55</v>
      </c>
      <c r="X333" s="223">
        <f t="shared" ref="X333:X396" si="437">IF(W333="","",INDEX(natKategorija_stazaKatId,MATCH(S333,natKategorija_katRegId,0)))</f>
        <v>43</v>
      </c>
      <c r="Y333" s="47" t="s">
        <v>0</v>
      </c>
      <c r="Z333" s="52" t="str">
        <f t="shared" si="391"/>
        <v>CRO</v>
      </c>
      <c r="AA333" s="73">
        <f t="shared" ref="AA333:AA396" si="438">IF(Z333="","",IFERROR(INDEX(regDrzava_id,MATCH(Z333,regDrzava_oznaka,0)),"NEMA"))</f>
        <v>1</v>
      </c>
      <c r="AB333" s="31" t="str">
        <f t="shared" si="392"/>
        <v/>
      </c>
      <c r="AC333" s="66" t="str">
        <f>IF(AB333="","",MAX(AC$12:AC332)+1)</f>
        <v/>
      </c>
      <c r="AD333" s="47" t="s">
        <v>0</v>
      </c>
      <c r="AE333" s="125"/>
      <c r="AF333" s="47" t="s">
        <v>0</v>
      </c>
      <c r="AG333" s="19" t="str">
        <f t="shared" si="393"/>
        <v/>
      </c>
      <c r="AH333" s="47" t="s">
        <v>0</v>
      </c>
      <c r="AI333" s="143" t="str">
        <f t="shared" si="394"/>
        <v>CRO</v>
      </c>
      <c r="AJ333" s="47"/>
      <c r="AK333" s="52" t="str">
        <f t="shared" si="395"/>
        <v>Teodora</v>
      </c>
      <c r="AL333" s="31" t="str">
        <f t="shared" si="396"/>
        <v>Kučinac</v>
      </c>
      <c r="AM333" s="73">
        <f t="shared" si="397"/>
        <v>1544</v>
      </c>
      <c r="AN333" s="73" t="str">
        <f t="shared" si="398"/>
        <v/>
      </c>
      <c r="AO333" s="31" t="str">
        <f t="shared" ref="AO333:AO396" si="439">IF(O333="","",IF(OR(AN333="",AN333="NEMA"),AK333,INDEX(regNatjecatelj_ime,MATCH(AN333,regNatjecatelj_id,0))))</f>
        <v>Teodora</v>
      </c>
      <c r="AP333" s="66" t="str">
        <f t="shared" ref="AP333:AP396" si="440">IF(O333="","",IF(OR(AN333="",AN333="NEMA"),AL333,INDEX(regNatjecatelj_prezime,MATCH(AN333,regNatjecatelj_id,0))))</f>
        <v>Kučinac</v>
      </c>
      <c r="AQ333" s="47" t="s">
        <v>0</v>
      </c>
      <c r="AR333" s="82" t="str">
        <f t="shared" si="399"/>
        <v/>
      </c>
      <c r="AS333" s="47" t="s">
        <v>0</v>
      </c>
      <c r="AT333" s="19" t="str">
        <f t="shared" si="400"/>
        <v/>
      </c>
      <c r="AU333" s="47" t="s">
        <v>0</v>
      </c>
      <c r="AV333" s="103"/>
      <c r="AW333" s="105"/>
      <c r="AX333" s="47" t="s">
        <v>0</v>
      </c>
      <c r="AY333" s="259" t="str">
        <f t="shared" si="423"/>
        <v/>
      </c>
      <c r="AZ333" s="47" t="s">
        <v>0</v>
      </c>
      <c r="BA333" s="52" t="str">
        <f t="shared" si="433"/>
        <v/>
      </c>
      <c r="BB333" s="73" t="str">
        <f>IF(AV333&amp;AW333="","",MAX(BB$12:BB332)+1)</f>
        <v/>
      </c>
      <c r="BC333" s="272" t="str">
        <f t="shared" ref="BC333:BC396" si="441">IF(AV333&amp;AW333="","",IFERROR(INDEX(regNatjecatelj_id,MATCH(AV333&amp;" – "&amp;AW333,regNatjecatelj_imePrezime,0)),"NEMA"))</f>
        <v/>
      </c>
      <c r="BD333" s="53" t="str">
        <f>IF(AND(AM333="NEMA",AN333="NEMA",OR(AV333&amp;AW333="",BC333="NEMA")),MAX(BD$12:BD332)+1,"")</f>
        <v/>
      </c>
      <c r="BE333" s="47" t="s">
        <v>0</v>
      </c>
      <c r="BF333" s="52" t="str">
        <f t="shared" si="401"/>
        <v>Teodora</v>
      </c>
      <c r="BG333" s="66" t="str">
        <f t="shared" si="402"/>
        <v>Kučinac</v>
      </c>
      <c r="BH333" s="47" t="s">
        <v>0</v>
      </c>
      <c r="BI333" s="52" t="str">
        <f t="shared" ref="BI333:BI396" si="442">IF(O333="","",J333)</f>
        <v>Vihor</v>
      </c>
      <c r="BJ333" s="31" t="str">
        <f t="shared" ref="BJ333:BJ396" si="443">IF(O333="","",K333)</f>
        <v>OK Vihor</v>
      </c>
      <c r="BK333" s="73" t="str">
        <f t="shared" ref="BK333:BK396" si="444">IF(BJ333="","",IF(IFERROR(MATCH(BJ333,regKlub_naziv,0),"")&lt;&gt;"","",IFERROR(MATCH(BJ333,regKlub_alias_alias,0),"NEMA")))</f>
        <v/>
      </c>
      <c r="BL333" s="31" t="str" cm="1">
        <f t="array" ref="BL333">IF(BK333="",""&amp;BJ333,IF(BK333="NEMA",BJ333,INDEX(regKlub_naziv,MATCH(INDEX(regKlub_alias_klubId,BK333),regKlub_id,0))))</f>
        <v>OK Vihor</v>
      </c>
      <c r="BM333" s="31" t="str" cm="1">
        <f t="array" ref="BM333">IFERROR(""&amp;INDEX(regNatjecatelj_klub,DV333),"")</f>
        <v>OK Vihor</v>
      </c>
      <c r="BN333" s="88" t="str">
        <f t="shared" si="403"/>
        <v/>
      </c>
      <c r="BO333" s="66" t="str">
        <f t="shared" si="404"/>
        <v>OK Vihor</v>
      </c>
      <c r="BP333" s="47" t="s">
        <v>0</v>
      </c>
      <c r="BQ333" s="52" t="str">
        <f>IF(X333&lt;&gt;"NEMA","",IF(IFERROR(MATCH(W333,W$12:W332,0),0)&lt;&gt;0,"",W333))</f>
        <v/>
      </c>
      <c r="BR333" s="73" t="str">
        <f t="shared" si="405"/>
        <v/>
      </c>
      <c r="BS333" s="31" t="str">
        <f>IF(OR(BR333="",BR333&lt;&gt;"NEMA"),"",MAX(BS$12:BS332)+1)</f>
        <v/>
      </c>
      <c r="BT333" s="66" t="str">
        <f t="shared" si="406"/>
        <v/>
      </c>
      <c r="BU333" s="47" t="s">
        <v>0</v>
      </c>
      <c r="BV333" s="19" t="str">
        <f t="shared" si="407"/>
        <v/>
      </c>
      <c r="BW333" s="47" t="s">
        <v>0</v>
      </c>
      <c r="BX333" s="82" t="str">
        <f>IF(BK333&lt;&gt;"NEMA","",IF(IFERROR(MATCH(BJ333,BJ$12:BJ332,0),0)&lt;&gt;0,"",BJ333))</f>
        <v/>
      </c>
      <c r="BY333" s="47" t="s">
        <v>0</v>
      </c>
      <c r="BZ333" s="125"/>
      <c r="CA333" s="47" t="s">
        <v>0</v>
      </c>
      <c r="CB333" s="58" t="str">
        <f t="shared" si="408"/>
        <v/>
      </c>
      <c r="CC333" s="31" t="str">
        <f t="shared" si="409"/>
        <v/>
      </c>
      <c r="CD333" s="31" t="str">
        <f>IF(CC333="","",MAX(CD$12:CD332)+1)</f>
        <v/>
      </c>
      <c r="CE333" s="31" t="str">
        <f t="shared" ref="CE333:CE396" si="445">IF(CC333="","",IF(AA333="","",IF(AA333="NEMA",AC333,AA333)))</f>
        <v/>
      </c>
      <c r="CF333" s="31" t="str">
        <f t="shared" si="410"/>
        <v/>
      </c>
      <c r="CG333" s="31" t="str">
        <f>IF(BZ333="","",MAX(CG$12:CG332)+1)</f>
        <v/>
      </c>
      <c r="CH333" s="31" t="str">
        <f t="shared" si="411"/>
        <v/>
      </c>
      <c r="CI333" s="66" t="str">
        <f t="shared" si="412"/>
        <v/>
      </c>
      <c r="CJ333" s="47" t="s">
        <v>0</v>
      </c>
      <c r="CK333" s="73" t="str">
        <f t="shared" ref="CK333:CK396" si="446">IF(BK333="","",IF(BK333&lt;&gt;"NEMA","",IFERROR(INDEX(nat_klubAliasId,MATCH(BJ333,nat_noviKluboviAliasi,0)),"")))</f>
        <v/>
      </c>
      <c r="CL333" s="47"/>
      <c r="CM333" s="19" t="str">
        <f t="shared" si="413"/>
        <v/>
      </c>
      <c r="CN333" s="47" t="s">
        <v>0</v>
      </c>
      <c r="CO333" s="143" t="str">
        <f t="shared" si="414"/>
        <v>OK Vihor</v>
      </c>
      <c r="CP333" s="47" t="s">
        <v>0</v>
      </c>
      <c r="CQ333" s="58" t="str">
        <f t="shared" si="430"/>
        <v>52:48</v>
      </c>
      <c r="CR333" s="73" t="str">
        <f t="shared" si="431"/>
        <v>0</v>
      </c>
      <c r="CS333" s="229" t="str">
        <f t="shared" ref="CS333:CS396" si="447">IF(CQ333="",IF(OR(AL333="",CR333&lt;&gt;"0"),"","GREŠKA"),IF(AND(65535&gt;=VALUE(LEFT(CQ333,SEARCH(":",CQ333)-1))*60+VALUE(RIGHT(CQ333,2)),OR(CR333="0",CR333="1",CR333="2",CR333="3",CR333="4")),"","GREŠKA"))</f>
        <v/>
      </c>
      <c r="CT333" s="230">
        <f t="shared" si="432"/>
        <v>3168</v>
      </c>
      <c r="CU333" s="163">
        <f t="shared" ref="CU333:CU396" si="448">IF(DU333="","",IF(AND(CR333="0",N(CT333)&gt;data_max_minuta*60),2,INDEX(regStatusRezultat_id,MATCH(VALUE(CR333),regStatusRezultat_oEvent,0))))</f>
        <v>1</v>
      </c>
      <c r="CV333" s="47" t="s">
        <v>0</v>
      </c>
      <c r="CW333" s="222" t="str">
        <f t="shared" si="415"/>
        <v xml:space="preserve">
</v>
      </c>
      <c r="CX333" s="223">
        <f t="shared" si="416"/>
        <v>6</v>
      </c>
      <c r="CY333" s="47" t="s">
        <v>0</v>
      </c>
      <c r="CZ333" s="47"/>
      <c r="DA333" s="47"/>
      <c r="DB333" s="47"/>
      <c r="DC333" s="47" t="s">
        <v>0</v>
      </c>
      <c r="DD333" s="53" t="str">
        <f t="shared" si="424"/>
        <v/>
      </c>
      <c r="DE333" t="s">
        <v>0</v>
      </c>
      <c r="DF333" s="128" t="str">
        <f t="shared" si="425"/>
        <v>Ž</v>
      </c>
      <c r="DG333" t="s">
        <v>0</v>
      </c>
      <c r="DH333" s="52" t="str">
        <f t="shared" si="426"/>
        <v/>
      </c>
      <c r="DI333" s="66" t="str">
        <f t="shared" si="427"/>
        <v/>
      </c>
      <c r="DJ333" t="s">
        <v>0</v>
      </c>
      <c r="DK333" s="19" t="str">
        <f t="shared" si="428"/>
        <v/>
      </c>
      <c r="DL333" s="47" t="s">
        <v>0</v>
      </c>
      <c r="DM333" s="19" t="str">
        <f t="shared" si="429"/>
        <v/>
      </c>
      <c r="DN333" s="47" t="s">
        <v>0</v>
      </c>
      <c r="DO333" s="52" t="str">
        <f t="shared" ref="DO333:DO396" si="449">IF(AL333="","",DR333 &amp; IF(Q333="",""," – " &amp; Q333))</f>
        <v>Teodora – Kučinac – OK Vihor – Ž55</v>
      </c>
      <c r="DP333" s="53">
        <f t="shared" ref="DP333:DP396" si="450">IF(DO333="","",IFERROR(MATCH(DO333,regNatjecatelj_imePrezimeKlubKategorija,0),"NEMA"))</f>
        <v>762</v>
      </c>
      <c r="DQ333" s="47" t="s">
        <v>0</v>
      </c>
      <c r="DR333" s="52" t="str">
        <f t="shared" ref="DR333:DR396" si="451">IF(AL333="","",DU333 &amp; IF(CO333="",""," – " &amp; CO333))</f>
        <v>Teodora – Kučinac – OK Vihor</v>
      </c>
      <c r="DS333" s="53">
        <f t="shared" ref="DS333:DS396" si="452">IF(DR333="","",IFERROR(MATCH(DR333,regNatjecatelj_imePrezimeKlub,0),"NEMA"))</f>
        <v>762</v>
      </c>
      <c r="DT333" s="47" t="s">
        <v>0</v>
      </c>
      <c r="DU333" s="52" t="str">
        <f t="shared" ref="DU333:DU396" si="453">IF(BG333="","",BF333&amp;" – "&amp;BG333)</f>
        <v>Teodora – Kučinac</v>
      </c>
      <c r="DV333" s="53">
        <f t="shared" ref="DV333:DV396" si="454">IF(DU333="","",IFERROR(MATCH(DU333,regNatjecatelj_imePrezime,0),"NEMA"))</f>
        <v>762</v>
      </c>
      <c r="DW333" s="47" t="s">
        <v>0</v>
      </c>
      <c r="DX333" s="58">
        <f t="shared" si="417"/>
        <v>762</v>
      </c>
      <c r="DY333" s="53" cm="1">
        <f t="array" ref="DY333">IF(DX333&lt;&gt;"",INDEX(regNatjecatelj_id,DX333,0),IF(BD333&lt;&gt;"",BD333,""))</f>
        <v>1544</v>
      </c>
      <c r="DZ333" s="47" t="s">
        <v>0</v>
      </c>
      <c r="EA333" s="58" t="str">
        <f t="shared" ref="EA333:EA396" si="455">IF(AL333="","",IF(BD333&lt;&gt;"","novo",IF(AN333="","imepre","imepre(ali)")))</f>
        <v>imepre</v>
      </c>
      <c r="EB333" s="73" t="str">
        <f t="shared" ref="EB333:EB396" si="456">IF(AL333="","",IF(BJ333="",IF(IFERROR(INDEX(regNatjecatelj_klub,MATCH(DY333,regNatjecatelj_id,0)),"NEMA")="","klu",""),IF(OR(AND(BK333&lt;&gt;"",BK333&lt;&gt;"NEMA"),CH333&lt;&gt;""),"klu(ali)",IF(AND(BM333&lt;&gt;"",BM333&lt;&gt;BL333),"(raz-klu)","klu"))))</f>
        <v>klu</v>
      </c>
      <c r="EC333" s="73" t="str">
        <f t="shared" ref="EC333:EC396" si="457">IF(AL333="","","kat"&amp;IF(AND(W333&lt;&gt;Q333,Q333&lt;&gt;"Open"),"(ali)",""))</f>
        <v>kat</v>
      </c>
      <c r="ED333" s="73" t="str">
        <f t="shared" ref="ED333:ED396" si="458">IF(OR(CS333&lt;&gt;"",CU333=2),"ot","")</f>
        <v/>
      </c>
      <c r="EE333" s="66" t="str">
        <f t="shared" ref="EE333:EE396" si="459">IF(AL333="","",EA333&amp;IF(EA333="novo","","-"&amp;EB333&amp;"-"&amp;EC333)&amp;IF(ED333="","","-"&amp;ED333))</f>
        <v>imepre-klu-kat</v>
      </c>
      <c r="EF333" s="47" t="s">
        <v>0</v>
      </c>
      <c r="EG333" s="58">
        <f>IF(AL333="","",MAX(EG$12:EG332)+1)</f>
        <v>479</v>
      </c>
      <c r="EH333" s="73">
        <f t="shared" ref="EH333:EH396" si="460">IF(AO333="","",X333)</f>
        <v>43</v>
      </c>
      <c r="EI333" s="73">
        <f t="shared" si="418"/>
        <v>1544</v>
      </c>
      <c r="EJ333" s="73">
        <f t="shared" ref="EJ333:EJ396" si="461">IF(CT333="","",CT333)</f>
        <v>3168</v>
      </c>
      <c r="EK333" s="73">
        <f t="shared" ref="EK333:EK396" si="462">IF(CU333="","",IF(AND(EJ333="",CU333=1),6,CU333))</f>
        <v>1</v>
      </c>
      <c r="EL333" s="73">
        <f t="shared" si="419"/>
        <v>1</v>
      </c>
      <c r="EM333" s="73">
        <f t="shared" si="420"/>
        <v>1</v>
      </c>
      <c r="EN333" s="73" t="str">
        <f t="shared" ref="EN333:EN396" si="463">IF(CU333="","",CR333)</f>
        <v>0</v>
      </c>
      <c r="EO333" s="73" t="str">
        <f t="shared" ref="EO333:EO396" si="464">IF(OR(AN333="",AN333="NEMA"),BB333,AN333)</f>
        <v/>
      </c>
      <c r="EP333" s="73" t="str">
        <f t="shared" ref="EP333:EP396" si="465">IF(AND(BK333&lt;&gt;"",BK333&lt;&gt;"NEMA"),BK333,IF(CK333&lt;&gt;"",CK333,IF(AND(BR333&lt;&gt;"",BR333&lt;&gt;"NEMA"),BR333,IF(BS333&lt;&gt;"",BS333,""))))</f>
        <v/>
      </c>
      <c r="EQ333" s="53" t="str">
        <f t="shared" ref="EQ333:EQ396" si="466">IF(INDEX(natKategorija_alias_Id,MATCH(S333,natKategorija_katRegId,0))="","",INDEX(natKategorija_alias_Id,MATCH(S333,natKategorija_katRegId,0)))</f>
        <v/>
      </c>
      <c r="ER333" s="47" t="s">
        <v>0</v>
      </c>
      <c r="ES333" s="19" t="str">
        <f t="shared" si="421"/>
        <v>INSERT INTO rezultat(id,stazakategorija_id,imeprezime_id,vrijeme_sec,status_id,registracija,uparivanje_id,originalstatus_id,imeprezimealias_id,klubalias_id,kategorijaalias_id) VALUES (479,43,1544,3168,1,1,1,0,Null,Null,Null);</v>
      </c>
      <c r="ET333" s="47" t="s">
        <v>0</v>
      </c>
      <c r="EU333" s="19" t="str">
        <f t="shared" si="422"/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3" s="47" t="s">
        <v>0</v>
      </c>
      <c r="EW333" s="180" t="str">
        <f t="shared" ref="EW333:EW396" si="467">AG333&amp;IF(BV333="","","
")&amp;BV333&amp;IF(CM333="","","
")&amp;CM333&amp;IF(DK333="","","
")&amp;DK333&amp;IF(DM333="","","
")&amp;DM333&amp;IF(ES333="","","
")&amp;ES333&amp;IF(EU333="","","
")&amp;EU333</f>
        <v xml:space="preserve">
INSERT INTO rezultat(id,stazakategorija_id,imeprezime_id,vrijeme_sec,status_id,registracija,uparivanje_id,originalstatus_id,imeprezimealias_id,klubalias_id,kategorijaalias_id) VALUES (479,43,1544,3168,1,1,1,0,Null,Null,Null);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3" s="47" t="s">
        <v>0</v>
      </c>
    </row>
    <row r="334" spans="1:154" x14ac:dyDescent="0.25">
      <c r="A334" t="s">
        <v>0</v>
      </c>
      <c r="B334" s="52" t="str">
        <f>IF(csv!F324="","",csv!T324)</f>
        <v>Ž55</v>
      </c>
      <c r="C334" s="31" t="s">
        <v>0</v>
      </c>
      <c r="D334" s="31" t="str">
        <f>IF(csv!F324="","",csv!F324)</f>
        <v>Branka</v>
      </c>
      <c r="E334" s="31" t="str">
        <f>IF(csv!E324="","",csv!E324)</f>
        <v>Fabek</v>
      </c>
      <c r="F334" s="31" t="s">
        <v>0</v>
      </c>
      <c r="G334" s="73" t="str">
        <f>IF(csv!M324="","",csv!M324)</f>
        <v>53:38</v>
      </c>
      <c r="H334" s="73" t="str">
        <f>IF(csv!N324="","",csv!N324)</f>
        <v>0</v>
      </c>
      <c r="I334" s="31" t="s">
        <v>0</v>
      </c>
      <c r="J334" s="31" t="str">
        <f>IF(csv!P324="","",csv!P324)</f>
        <v>JAP</v>
      </c>
      <c r="K334" s="31" t="str">
        <f>IF(csv!Q324="","",csv!Q324)</f>
        <v>OK Japetic</v>
      </c>
      <c r="L334" s="31" t="s">
        <v>0</v>
      </c>
      <c r="M334" s="66" t="str">
        <f>IF(csv!R324="","",csv!R324)</f>
        <v>CRO</v>
      </c>
      <c r="N334" s="47" t="s">
        <v>0</v>
      </c>
      <c r="O334" s="246" t="str">
        <f t="shared" ref="O334:O397" si="468">IF(E334="","","ok")</f>
        <v>ok</v>
      </c>
      <c r="P334" s="47"/>
      <c r="Q334" s="52" t="str">
        <f t="shared" ref="Q334:Q397" si="469">IF(B334="","",B334)</f>
        <v>Ž55</v>
      </c>
      <c r="R334" s="73">
        <f>IF(Q334="","",IF(COUNTIF(Q$12:Q333,Q334)=0,R333+1,R333))</f>
        <v>21</v>
      </c>
      <c r="S334" s="73">
        <f t="shared" ref="S334:S397" si="470">IF(Q334="","",IFERROR(INDEX(regKategorija_id,MATCH(Q334,regKategorija_oznaka,0)),IFERROR(INDEX(regKategorija_alias_id,MATCH(Q334,regKategorija_alias_oznaka,0)),INDEX(natKategorija_katRegId,MATCH(Q334,natKategorija_kategorija,0)))))</f>
        <v>115</v>
      </c>
      <c r="T334" s="73">
        <f t="shared" si="434"/>
        <v>24</v>
      </c>
      <c r="U334" s="66" t="str">
        <f t="shared" si="435"/>
        <v>Ž55</v>
      </c>
      <c r="V334" s="47" t="s">
        <v>0</v>
      </c>
      <c r="W334" s="222" t="str">
        <f t="shared" si="436"/>
        <v>Ž55</v>
      </c>
      <c r="X334" s="223">
        <f t="shared" si="437"/>
        <v>43</v>
      </c>
      <c r="Y334" s="47" t="s">
        <v>0</v>
      </c>
      <c r="Z334" s="52" t="str">
        <f t="shared" ref="Z334:Z397" si="471">IF(O334="","",M334)</f>
        <v>CRO</v>
      </c>
      <c r="AA334" s="73">
        <f t="shared" si="438"/>
        <v>1</v>
      </c>
      <c r="AB334" s="31" t="str">
        <f t="shared" ref="AB334:AB397" si="472">IF(OR(AA334="",AA334&lt;&gt;"NEMA"),"",Z334)</f>
        <v/>
      </c>
      <c r="AC334" s="66" t="str">
        <f>IF(AB334="","",MAX(AC$12:AC333)+1)</f>
        <v/>
      </c>
      <c r="AD334" s="47" t="s">
        <v>0</v>
      </c>
      <c r="AE334" s="125"/>
      <c r="AF334" s="47" t="s">
        <v>0</v>
      </c>
      <c r="AG334" s="19" t="str">
        <f t="shared" ref="AG334:AG397" si="473">IF(AB334="","","INSERT INTO drzava(id,naziv,oznaka) VALUES ("&amp;AC334&amp;",'"&amp;AE334&amp;"','"&amp;UPPER(LEFT(AB334,1))&amp;LOWER(RIGHT(AB334,2))&amp;"');")</f>
        <v/>
      </c>
      <c r="AH334" s="47" t="s">
        <v>0</v>
      </c>
      <c r="AI334" s="143" t="str">
        <f t="shared" ref="AI334:AI397" si="474">IF(AA334="","",IF(AA334="NEMA",AB334,Z334))</f>
        <v>CRO</v>
      </c>
      <c r="AJ334" s="47"/>
      <c r="AK334" s="52" t="str">
        <f t="shared" ref="AK334:AK397" si="475">IF(O334="","",D334)</f>
        <v>Branka</v>
      </c>
      <c r="AL334" s="31" t="str">
        <f t="shared" ref="AL334:AL397" si="476">IF(O334="","",E334)</f>
        <v>Fabek</v>
      </c>
      <c r="AM334" s="73">
        <f t="shared" ref="AM334:AM397" si="477">IF(AL334="","",IFERROR(INDEX(regNatjecatelj_id,MATCH(AK334&amp;" – "&amp;AL334,regNatjecatelj_imePrezime,0)),"NEMA"))</f>
        <v>1231</v>
      </c>
      <c r="AN334" s="73" t="str">
        <f t="shared" ref="AN334:AN397" si="478">IF(AM334&lt;&gt;"NEMA","",IFERROR(INDEX(regNatjecatelj_alias_natjecateljId,MATCH(AK334&amp;" "&amp;AL334,regNatjecatelj_alias_alias,0)),"NEMA"))</f>
        <v/>
      </c>
      <c r="AO334" s="31" t="str">
        <f t="shared" si="439"/>
        <v>Branka</v>
      </c>
      <c r="AP334" s="66" t="str">
        <f t="shared" si="440"/>
        <v>Fabek</v>
      </c>
      <c r="AQ334" s="47" t="s">
        <v>0</v>
      </c>
      <c r="AR334" s="82" t="str">
        <f t="shared" ref="AR334:AR397" si="479">IF(OR(O334="",AN334&lt;&gt;"NEMA"),"",AK334&amp;" "&amp;AL334)</f>
        <v/>
      </c>
      <c r="AS334" s="47" t="s">
        <v>0</v>
      </c>
      <c r="AT334" s="19" t="str">
        <f t="shared" ref="AT334:AT397" si="480">IF(OR(AM334&lt;&gt;"NEMA",AN334&lt;&gt;"NEMA"),"","SELECT '"&amp;AO334&amp;" – "&amp;AP334&amp;"', ime, prezime FROM imeprezime WHERE ime LIKE '%"&amp;MID(AO334,2,LEN(AO334)-2)&amp;"%' Or prezime LIKE '%"&amp;MID(AP334,2,LEN(AP334)-2)&amp;"%' Or ime LIKE '%"&amp;MID(AP334,2,LEN(AP334)-2)&amp;"%' Or prezime LIKE '%"&amp;MID(AO334,2,LEN(AO334)-2)&amp;"%' ORDER BY ime, prezime;")</f>
        <v/>
      </c>
      <c r="AU334" s="47" t="s">
        <v>0</v>
      </c>
      <c r="AV334" s="103"/>
      <c r="AW334" s="105"/>
      <c r="AX334" s="47" t="s">
        <v>0</v>
      </c>
      <c r="AY334" s="259" t="str">
        <f t="shared" si="423"/>
        <v/>
      </c>
      <c r="AZ334" s="47" t="s">
        <v>0</v>
      </c>
      <c r="BA334" s="52" t="str">
        <f t="shared" si="433"/>
        <v/>
      </c>
      <c r="BB334" s="73" t="str">
        <f>IF(AV334&amp;AW334="","",MAX(BB$12:BB333)+1)</f>
        <v/>
      </c>
      <c r="BC334" s="272" t="str">
        <f t="shared" si="441"/>
        <v/>
      </c>
      <c r="BD334" s="53" t="str">
        <f>IF(AND(AM334="NEMA",AN334="NEMA",OR(AV334&amp;AW334="",BC334="NEMA")),MAX(BD$12:BD333)+1,"")</f>
        <v/>
      </c>
      <c r="BE334" s="47" t="s">
        <v>0</v>
      </c>
      <c r="BF334" s="52" t="str">
        <f t="shared" ref="BF334:BF397" si="481">IF(AL334="","",IF(BC334="",AO334,IF(BC334="NEMA",AV334,INDEX(regNatjecatelj_ime,MATCH(BC334,regNatjecatelj_id,0)))))</f>
        <v>Branka</v>
      </c>
      <c r="BG334" s="66" t="str">
        <f t="shared" ref="BG334:BG397" si="482">IF(AL334="","",IF(BC334="",AP334,IF(BC334="NEMA",AW334,INDEX(regNatjecatelj_prezime,MATCH(BC334,regNatjecatelj_id,0)))))</f>
        <v>Fabek</v>
      </c>
      <c r="BH334" s="47" t="s">
        <v>0</v>
      </c>
      <c r="BI334" s="52" t="str">
        <f t="shared" si="442"/>
        <v>JAP</v>
      </c>
      <c r="BJ334" s="31" t="str">
        <f t="shared" si="443"/>
        <v>OK Japetic</v>
      </c>
      <c r="BK334" s="73">
        <f t="shared" si="444"/>
        <v>1</v>
      </c>
      <c r="BL334" s="31" t="str" cm="1">
        <f t="array" ref="BL334">IF(BK334="",""&amp;BJ334,IF(BK334="NEMA",BJ334,INDEX(regKlub_naziv,MATCH(INDEX(regKlub_alias_klubId,BK334),regKlub_id,0))))</f>
        <v>OK Japetić</v>
      </c>
      <c r="BM334" s="31" t="str" cm="1">
        <f t="array" ref="BM334">IFERROR(""&amp;INDEX(regNatjecatelj_klub,DV334),"")</f>
        <v>OK Japetić</v>
      </c>
      <c r="BN334" s="88" t="str">
        <f t="shared" ref="BN334:BN397" si="483">IF(BL334=BM334,"",IF(BM334="","",1))</f>
        <v/>
      </c>
      <c r="BO334" s="66" t="str">
        <f t="shared" ref="BO334:BO397" si="484">IF(AND(BM334&lt;&gt;"",BM334&lt;&gt;BL334),BM334,""&amp;BL334)</f>
        <v>OK Japetić</v>
      </c>
      <c r="BP334" s="47" t="s">
        <v>0</v>
      </c>
      <c r="BQ334" s="52" t="str">
        <f>IF(X334&lt;&gt;"NEMA","",IF(IFERROR(MATCH(W334,W$12:W333,0),0)&lt;&gt;0,"",W334))</f>
        <v/>
      </c>
      <c r="BR334" s="73" t="str">
        <f t="shared" ref="BR334:BR397" si="485">IF(BQ334="","",IFERROR(INDEX(regKlub_alias_id,MATCH(BQ334,regKlub_alias_alias,0)),"NEMA"))</f>
        <v/>
      </c>
      <c r="BS334" s="31" t="str">
        <f>IF(OR(BR334="",BR334&lt;&gt;"NEMA"),"",MAX(BS$12:BS333)+1)</f>
        <v/>
      </c>
      <c r="BT334" s="66" t="str">
        <f t="shared" ref="BT334:BT397" si="486">IF(OR(BR334="",BR334&lt;&gt;"NEMA"),"",INDEX(regKlub_id,MATCH(BQ334,regKlub_naziv,0)))</f>
        <v/>
      </c>
      <c r="BU334" s="47" t="s">
        <v>0</v>
      </c>
      <c r="BV334" s="19" t="str">
        <f t="shared" ref="BV334:BV397" si="487">IF(OR(BR334="",BR334&lt;&gt;"NEMA"),"","INSERT INTO klub_alias(id,alias,klub_id) VALUES ("&amp;BS334&amp;",'"&amp;BQ334&amp;"',"&amp;BT334&amp;");")</f>
        <v/>
      </c>
      <c r="BW334" s="47" t="s">
        <v>0</v>
      </c>
      <c r="BX334" s="82" t="str">
        <f>IF(BK334&lt;&gt;"NEMA","",IF(IFERROR(MATCH(BJ334,BJ$12:BJ333,0),0)&lt;&gt;0,"",BJ334))</f>
        <v/>
      </c>
      <c r="BY334" s="47" t="s">
        <v>0</v>
      </c>
      <c r="BZ334" s="125"/>
      <c r="CA334" s="47" t="s">
        <v>0</v>
      </c>
      <c r="CB334" s="58" t="str">
        <f t="shared" ref="CB334:CB397" si="488">IF(BZ334="","",IFERROR(INDEX(regKlub_id,MATCH(BZ334,regKlub_naziv,0)),"NEMA"))</f>
        <v/>
      </c>
      <c r="CC334" s="31" t="str">
        <f t="shared" ref="CC334:CC397" si="489">IF(BX334="","",IF(BZ334="",BX334,""))</f>
        <v/>
      </c>
      <c r="CD334" s="31" t="str">
        <f>IF(CC334="","",MAX(CD$12:CD333)+1)</f>
        <v/>
      </c>
      <c r="CE334" s="31" t="str">
        <f t="shared" si="445"/>
        <v/>
      </c>
      <c r="CF334" s="31" t="str">
        <f t="shared" ref="CF334:CF397" si="490">IF(CC334="","","INSERT INTO klub(id,naziv,drzava_id,aktivan) VALUES ("&amp;CD334&amp;",'"&amp;CC334&amp;"',"&amp;CE334&amp;",1);")</f>
        <v/>
      </c>
      <c r="CG334" s="31" t="str">
        <f>IF(BZ334="","",MAX(CG$12:CG333)+1)</f>
        <v/>
      </c>
      <c r="CH334" s="31" t="str">
        <f t="shared" ref="CH334:CH397" si="491">IF(BZ334="","",IF(CD334="",INDEX(regKlub_id,MATCH(BZ334,regKlub_naziv,0)),CD334))</f>
        <v/>
      </c>
      <c r="CI334" s="66" t="str">
        <f t="shared" ref="CI334:CI397" si="492">IF(BZ334="","","INSERT INTO klub_alias(id,alias,klub_id) VALUES ("&amp;CG334&amp;",'"&amp;BX334&amp;"',"&amp;CH334&amp;");")</f>
        <v/>
      </c>
      <c r="CJ334" s="47" t="s">
        <v>0</v>
      </c>
      <c r="CK334" s="73" t="str">
        <f t="shared" si="446"/>
        <v/>
      </c>
      <c r="CL334" s="47"/>
      <c r="CM334" s="19" t="str">
        <f t="shared" ref="CM334:CM397" si="493">""&amp;CF334&amp;IF(AND(CF334&lt;&gt;"",CI334&lt;&gt;""),"
","")&amp;CI334</f>
        <v/>
      </c>
      <c r="CN334" s="47" t="s">
        <v>0</v>
      </c>
      <c r="CO334" s="143" t="str">
        <f t="shared" ref="CO334:CO397" si="494">IF(BO334="","",IF(BZ334="",IF(IFERROR(MATCH(BO334,nat_noviKluboviAliasi,0),0)&gt;0,INDEX(nat_kluboviAliasi,MATCH(BO334,nat_noviKluboviAliasi,0)),BO334),BZ334))</f>
        <v>OK Japetić</v>
      </c>
      <c r="CP334" s="47" t="s">
        <v>0</v>
      </c>
      <c r="CQ334" s="58" t="str">
        <f t="shared" si="430"/>
        <v>53:38</v>
      </c>
      <c r="CR334" s="73" t="str">
        <f t="shared" si="431"/>
        <v>0</v>
      </c>
      <c r="CS334" s="229" t="str">
        <f t="shared" si="447"/>
        <v/>
      </c>
      <c r="CT334" s="230">
        <f t="shared" si="432"/>
        <v>3218</v>
      </c>
      <c r="CU334" s="163">
        <f t="shared" si="448"/>
        <v>1</v>
      </c>
      <c r="CV334" s="47" t="s">
        <v>0</v>
      </c>
      <c r="CW334" s="222" t="str">
        <f t="shared" ref="CW334:CW397" si="495">IF(CS334&lt;&gt;"GREŠKA","",AK334&amp;" "&amp;AL334&amp;" – Molim u OEventu provjeriti i ispraviti rezultat – vrijeme ("&amp;IF(CQ334="","nije upisano",CQ334)&amp;") i classifier ("&amp;CR334&amp;").")&amp;IF(OR(CS334&lt;&gt;"GREŠKA",CU334&lt;&gt;5),"
","")&amp;IF(CU334&lt;&gt;5,"",AK334&amp;" "&amp;AL334&amp;" – Molim u provjeriti je li natjecatelj zaista diskvalificiran. Ako je koje je obrazloženje, ako nije molim u OEventu ispraviti rezultat")</f>
        <v xml:space="preserve">
</v>
      </c>
      <c r="CX334" s="223">
        <f t="shared" ref="CX334:CX397" si="496">IF(DX334="","",IF(AND(CU334="0",N(CW334)&gt;data_max_minuta*60),2,INDEX(regStatusRezultat_id,MATCH(VALUE(CU334),regStatusRezultat_oEvent,0))))</f>
        <v>6</v>
      </c>
      <c r="CY334" s="47" t="s">
        <v>0</v>
      </c>
      <c r="CZ334" s="47"/>
      <c r="DA334" s="47"/>
      <c r="DB334" s="47"/>
      <c r="DC334" s="47" t="s">
        <v>0</v>
      </c>
      <c r="DD334" s="53" t="str">
        <f t="shared" si="424"/>
        <v/>
      </c>
      <c r="DE334" t="s">
        <v>0</v>
      </c>
      <c r="DF334" s="128" t="str">
        <f t="shared" si="425"/>
        <v>Ž</v>
      </c>
      <c r="DG334" t="s">
        <v>0</v>
      </c>
      <c r="DH334" s="52" t="str">
        <f t="shared" si="426"/>
        <v/>
      </c>
      <c r="DI334" s="66" t="str">
        <f t="shared" si="427"/>
        <v/>
      </c>
      <c r="DJ334" t="s">
        <v>0</v>
      </c>
      <c r="DK334" s="19" t="str">
        <f t="shared" si="428"/>
        <v/>
      </c>
      <c r="DL334" s="47" t="s">
        <v>0</v>
      </c>
      <c r="DM334" s="19" t="str">
        <f t="shared" si="429"/>
        <v/>
      </c>
      <c r="DN334" s="47" t="s">
        <v>0</v>
      </c>
      <c r="DO334" s="52" t="str">
        <f t="shared" si="449"/>
        <v>Branka – Fabek – OK Japetić – Ž55</v>
      </c>
      <c r="DP334" s="53">
        <f t="shared" si="450"/>
        <v>85</v>
      </c>
      <c r="DQ334" s="47" t="s">
        <v>0</v>
      </c>
      <c r="DR334" s="52" t="str">
        <f t="shared" si="451"/>
        <v>Branka – Fabek – OK Japetić</v>
      </c>
      <c r="DS334" s="53">
        <f t="shared" si="452"/>
        <v>85</v>
      </c>
      <c r="DT334" s="47" t="s">
        <v>0</v>
      </c>
      <c r="DU334" s="52" t="str">
        <f t="shared" si="453"/>
        <v>Branka – Fabek</v>
      </c>
      <c r="DV334" s="53">
        <f t="shared" si="454"/>
        <v>85</v>
      </c>
      <c r="DW334" s="47" t="s">
        <v>0</v>
      </c>
      <c r="DX334" s="58">
        <f t="shared" ref="DX334:DX397" si="497">IF(DP334="","",IF(DP334&lt;&gt;"NEMA",DP334,IF(DS334&lt;&gt;"NEMA",DS334,IF(DV334&lt;&gt;"NEMA",DV334,""))))</f>
        <v>85</v>
      </c>
      <c r="DY334" s="53" cm="1">
        <f t="array" ref="DY334">IF(DX334&lt;&gt;"",INDEX(regNatjecatelj_id,DX334,0),IF(BD334&lt;&gt;"",BD334,""))</f>
        <v>1231</v>
      </c>
      <c r="DZ334" s="47" t="s">
        <v>0</v>
      </c>
      <c r="EA334" s="58" t="str">
        <f t="shared" si="455"/>
        <v>imepre</v>
      </c>
      <c r="EB334" s="73" t="str">
        <f t="shared" si="456"/>
        <v>klu(ali)</v>
      </c>
      <c r="EC334" s="73" t="str">
        <f t="shared" si="457"/>
        <v>kat</v>
      </c>
      <c r="ED334" s="73" t="str">
        <f t="shared" si="458"/>
        <v/>
      </c>
      <c r="EE334" s="66" t="str">
        <f t="shared" si="459"/>
        <v>imepre-klu(ali)-kat</v>
      </c>
      <c r="EF334" s="47" t="s">
        <v>0</v>
      </c>
      <c r="EG334" s="58">
        <f>IF(AL334="","",MAX(EG$12:EG333)+1)</f>
        <v>480</v>
      </c>
      <c r="EH334" s="73">
        <f t="shared" si="460"/>
        <v>43</v>
      </c>
      <c r="EI334" s="73">
        <f t="shared" ref="EI334:EI397" si="498">IF(DY334="","",DY334)</f>
        <v>1231</v>
      </c>
      <c r="EJ334" s="73">
        <f t="shared" si="461"/>
        <v>3218</v>
      </c>
      <c r="EK334" s="73">
        <f t="shared" si="462"/>
        <v>1</v>
      </c>
      <c r="EL334" s="73">
        <f t="shared" ref="EL334:EL397" si="499">IF(DU334="","",IF(data_trka_je_rangirana=0,0,IF(OR(DP334="",DP334="NEMA"),0,1)))</f>
        <v>1</v>
      </c>
      <c r="EM334" s="73">
        <f t="shared" ref="EM334:EM397" si="500">IF(EG334="","",INDEX(regUparivanje_id,MATCH(EE334,regUparivanje_oznaka,0)))</f>
        <v>3</v>
      </c>
      <c r="EN334" s="73" t="str">
        <f t="shared" si="463"/>
        <v>0</v>
      </c>
      <c r="EO334" s="73" t="str">
        <f t="shared" si="464"/>
        <v/>
      </c>
      <c r="EP334" s="73">
        <f t="shared" si="465"/>
        <v>1</v>
      </c>
      <c r="EQ334" s="53" t="str">
        <f t="shared" si="466"/>
        <v/>
      </c>
      <c r="ER334" s="47" t="s">
        <v>0</v>
      </c>
      <c r="ES334" s="19" t="str">
        <f t="shared" ref="ES334:ES397" si="501">IF(EH334="","","INSERT INTO rezultat(id,stazakategorija_id,imeprezime_id,vrijeme_sec,status_id,registracija,uparivanje_id,originalstatus_id,imeprezimealias_id,klubalias_id,kategorijaalias_id) VALUES ("&amp;EG334&amp;","&amp;EH334&amp;","&amp;EI334&amp;","&amp;IF(EJ334="","Null",EJ334)&amp;","&amp;EK334&amp;","&amp;EL334&amp;","&amp;EM334&amp;","&amp;EN334&amp;","&amp;IF(EO334="","Null",EO334)&amp;","&amp;IF(EP334="","Null",EP334)&amp;","&amp;IF(EQ334="","Null",EQ334)&amp;");")</f>
        <v>INSERT INTO rezultat(id,stazakategorija_id,imeprezime_id,vrijeme_sec,status_id,registracija,uparivanje_id,originalstatus_id,imeprezimealias_id,klubalias_id,kategorijaalias_id) VALUES (480,43,1231,3218,1,1,3,0,Null,1,Null);</v>
      </c>
      <c r="ET334" s="47" t="s">
        <v>0</v>
      </c>
      <c r="EU334" s="19" t="str">
        <f t="shared" ref="EU334:EU397" si="502">IF(EH334="","",IF(EL334=1,"UPDATE
	registar
SET
	potvrda = 1
WHERE
	imeprezime_id="&amp;EI334&amp;"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4" s="47" t="s">
        <v>0</v>
      </c>
      <c r="EW334" s="180" t="str">
        <f t="shared" si="467"/>
        <v xml:space="preserve">
INSERT INTO rezultat(id,stazakategorija_id,imeprezime_id,vrijeme_sec,status_id,registracija,uparivanje_id,originalstatus_id,imeprezimealias_id,klubalias_id,kategorijaalias_id) VALUES (480,43,1231,3218,1,1,3,0,Null,1,Null);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4" s="47" t="s">
        <v>0</v>
      </c>
    </row>
    <row r="335" spans="1:154" x14ac:dyDescent="0.25">
      <c r="A335" t="s">
        <v>0</v>
      </c>
      <c r="B335" s="52" t="str">
        <f>IF(csv!F325="","",csv!T325)</f>
        <v>Ž55</v>
      </c>
      <c r="C335" s="31" t="s">
        <v>0</v>
      </c>
      <c r="D335" s="31" t="str">
        <f>IF(csv!F325="","",csv!F325)</f>
        <v>Sanja</v>
      </c>
      <c r="E335" s="31" t="str">
        <f>IF(csv!E325="","",csv!E325)</f>
        <v>Radočaj</v>
      </c>
      <c r="F335" s="31" t="s">
        <v>0</v>
      </c>
      <c r="G335" s="73" t="str">
        <f>IF(csv!M325="","",csv!M325)</f>
        <v>58:27</v>
      </c>
      <c r="H335" s="73" t="str">
        <f>IF(csv!N325="","",csv!N325)</f>
        <v>0</v>
      </c>
      <c r="I335" s="31" t="s">
        <v>0</v>
      </c>
      <c r="J335" s="31" t="str">
        <f>IF(csv!P325="","",csv!P325)</f>
        <v>BJE</v>
      </c>
      <c r="K335" s="31" t="str">
        <f>IF(csv!Q325="","",csv!Q325)</f>
        <v>OK Bjelovar</v>
      </c>
      <c r="L335" s="31" t="s">
        <v>0</v>
      </c>
      <c r="M335" s="66" t="str">
        <f>IF(csv!R325="","",csv!R325)</f>
        <v>CRO</v>
      </c>
      <c r="N335" s="47" t="s">
        <v>0</v>
      </c>
      <c r="O335" s="246" t="str">
        <f t="shared" si="468"/>
        <v>ok</v>
      </c>
      <c r="P335" s="47"/>
      <c r="Q335" s="52" t="str">
        <f t="shared" si="469"/>
        <v>Ž55</v>
      </c>
      <c r="R335" s="73">
        <f>IF(Q335="","",IF(COUNTIF(Q$12:Q334,Q335)=0,R334+1,R334))</f>
        <v>21</v>
      </c>
      <c r="S335" s="73">
        <f t="shared" si="470"/>
        <v>115</v>
      </c>
      <c r="T335" s="73">
        <f t="shared" si="434"/>
        <v>24</v>
      </c>
      <c r="U335" s="66" t="str">
        <f t="shared" si="435"/>
        <v>Ž55</v>
      </c>
      <c r="V335" s="47" t="s">
        <v>0</v>
      </c>
      <c r="W335" s="222" t="str">
        <f t="shared" si="436"/>
        <v>Ž55</v>
      </c>
      <c r="X335" s="223">
        <f t="shared" si="437"/>
        <v>43</v>
      </c>
      <c r="Y335" s="47" t="s">
        <v>0</v>
      </c>
      <c r="Z335" s="52" t="str">
        <f t="shared" si="471"/>
        <v>CRO</v>
      </c>
      <c r="AA335" s="73">
        <f t="shared" si="438"/>
        <v>1</v>
      </c>
      <c r="AB335" s="31" t="str">
        <f t="shared" si="472"/>
        <v/>
      </c>
      <c r="AC335" s="66" t="str">
        <f>IF(AB335="","",MAX(AC$12:AC334)+1)</f>
        <v/>
      </c>
      <c r="AD335" s="47" t="s">
        <v>0</v>
      </c>
      <c r="AE335" s="125"/>
      <c r="AF335" s="47" t="s">
        <v>0</v>
      </c>
      <c r="AG335" s="19" t="str">
        <f t="shared" si="473"/>
        <v/>
      </c>
      <c r="AH335" s="47" t="s">
        <v>0</v>
      </c>
      <c r="AI335" s="143" t="str">
        <f t="shared" si="474"/>
        <v>CRO</v>
      </c>
      <c r="AJ335" s="47"/>
      <c r="AK335" s="52" t="str">
        <f t="shared" si="475"/>
        <v>Sanja</v>
      </c>
      <c r="AL335" s="31" t="str">
        <f t="shared" si="476"/>
        <v>Radočaj</v>
      </c>
      <c r="AM335" s="73">
        <f t="shared" si="477"/>
        <v>1939</v>
      </c>
      <c r="AN335" s="73" t="str">
        <f t="shared" si="478"/>
        <v/>
      </c>
      <c r="AO335" s="31" t="str">
        <f t="shared" si="439"/>
        <v>Sanja</v>
      </c>
      <c r="AP335" s="66" t="str">
        <f t="shared" si="440"/>
        <v>Radočaj</v>
      </c>
      <c r="AQ335" s="47" t="s">
        <v>0</v>
      </c>
      <c r="AR335" s="82" t="str">
        <f t="shared" si="479"/>
        <v/>
      </c>
      <c r="AS335" s="47" t="s">
        <v>0</v>
      </c>
      <c r="AT335" s="19" t="str">
        <f t="shared" si="480"/>
        <v/>
      </c>
      <c r="AU335" s="47" t="s">
        <v>0</v>
      </c>
      <c r="AV335" s="103"/>
      <c r="AW335" s="105"/>
      <c r="AX335" s="47" t="s">
        <v>0</v>
      </c>
      <c r="AY335" s="259" t="str">
        <f t="shared" si="423"/>
        <v/>
      </c>
      <c r="AZ335" s="47" t="s">
        <v>0</v>
      </c>
      <c r="BA335" s="52" t="str">
        <f t="shared" si="433"/>
        <v/>
      </c>
      <c r="BB335" s="73" t="str">
        <f>IF(AV335&amp;AW335="","",MAX(BB$12:BB334)+1)</f>
        <v/>
      </c>
      <c r="BC335" s="272" t="str">
        <f t="shared" si="441"/>
        <v/>
      </c>
      <c r="BD335" s="53" t="str">
        <f>IF(AND(AM335="NEMA",AN335="NEMA",OR(AV335&amp;AW335="",BC335="NEMA")),MAX(BD$12:BD334)+1,"")</f>
        <v/>
      </c>
      <c r="BE335" s="47" t="s">
        <v>0</v>
      </c>
      <c r="BF335" s="52" t="str">
        <f t="shared" si="481"/>
        <v>Sanja</v>
      </c>
      <c r="BG335" s="66" t="str">
        <f t="shared" si="482"/>
        <v>Radočaj</v>
      </c>
      <c r="BH335" s="47" t="s">
        <v>0</v>
      </c>
      <c r="BI335" s="52" t="str">
        <f t="shared" si="442"/>
        <v>BJE</v>
      </c>
      <c r="BJ335" s="31" t="str">
        <f t="shared" si="443"/>
        <v>OK Bjelovar</v>
      </c>
      <c r="BK335" s="73" t="str">
        <f t="shared" si="444"/>
        <v/>
      </c>
      <c r="BL335" s="31" t="str" cm="1">
        <f t="array" ref="BL335">IF(BK335="",""&amp;BJ335,IF(BK335="NEMA",BJ335,INDEX(regKlub_naziv,MATCH(INDEX(regKlub_alias_klubId,BK335),regKlub_id,0))))</f>
        <v>OK Bjelovar</v>
      </c>
      <c r="BM335" s="31" t="str" cm="1">
        <f t="array" ref="BM335">IFERROR(""&amp;INDEX(regNatjecatelj_klub,DV335),"")</f>
        <v>OK Bjelovar</v>
      </c>
      <c r="BN335" s="88" t="str">
        <f t="shared" si="483"/>
        <v/>
      </c>
      <c r="BO335" s="66" t="str">
        <f t="shared" si="484"/>
        <v>OK Bjelovar</v>
      </c>
      <c r="BP335" s="47" t="s">
        <v>0</v>
      </c>
      <c r="BQ335" s="52" t="str">
        <f>IF(X335&lt;&gt;"NEMA","",IF(IFERROR(MATCH(W335,W$12:W334,0),0)&lt;&gt;0,"",W335))</f>
        <v/>
      </c>
      <c r="BR335" s="73" t="str">
        <f t="shared" si="485"/>
        <v/>
      </c>
      <c r="BS335" s="31" t="str">
        <f>IF(OR(BR335="",BR335&lt;&gt;"NEMA"),"",MAX(BS$12:BS334)+1)</f>
        <v/>
      </c>
      <c r="BT335" s="66" t="str">
        <f t="shared" si="486"/>
        <v/>
      </c>
      <c r="BU335" s="47" t="s">
        <v>0</v>
      </c>
      <c r="BV335" s="19" t="str">
        <f t="shared" si="487"/>
        <v/>
      </c>
      <c r="BW335" s="47" t="s">
        <v>0</v>
      </c>
      <c r="BX335" s="82" t="str">
        <f>IF(BK335&lt;&gt;"NEMA","",IF(IFERROR(MATCH(BJ335,BJ$12:BJ334,0),0)&lt;&gt;0,"",BJ335))</f>
        <v/>
      </c>
      <c r="BY335" s="47" t="s">
        <v>0</v>
      </c>
      <c r="BZ335" s="125"/>
      <c r="CA335" s="47" t="s">
        <v>0</v>
      </c>
      <c r="CB335" s="58" t="str">
        <f t="shared" si="488"/>
        <v/>
      </c>
      <c r="CC335" s="31" t="str">
        <f t="shared" si="489"/>
        <v/>
      </c>
      <c r="CD335" s="31" t="str">
        <f>IF(CC335="","",MAX(CD$12:CD334)+1)</f>
        <v/>
      </c>
      <c r="CE335" s="31" t="str">
        <f t="shared" si="445"/>
        <v/>
      </c>
      <c r="CF335" s="31" t="str">
        <f t="shared" si="490"/>
        <v/>
      </c>
      <c r="CG335" s="31" t="str">
        <f>IF(BZ335="","",MAX(CG$12:CG334)+1)</f>
        <v/>
      </c>
      <c r="CH335" s="31" t="str">
        <f t="shared" si="491"/>
        <v/>
      </c>
      <c r="CI335" s="66" t="str">
        <f t="shared" si="492"/>
        <v/>
      </c>
      <c r="CJ335" s="47" t="s">
        <v>0</v>
      </c>
      <c r="CK335" s="73" t="str">
        <f t="shared" si="446"/>
        <v/>
      </c>
      <c r="CL335" s="47"/>
      <c r="CM335" s="19" t="str">
        <f t="shared" si="493"/>
        <v/>
      </c>
      <c r="CN335" s="47" t="s">
        <v>0</v>
      </c>
      <c r="CO335" s="143" t="str">
        <f t="shared" si="494"/>
        <v>OK Bjelovar</v>
      </c>
      <c r="CP335" s="47" t="s">
        <v>0</v>
      </c>
      <c r="CQ335" s="58" t="str">
        <f t="shared" si="430"/>
        <v>58:27</v>
      </c>
      <c r="CR335" s="73" t="str">
        <f t="shared" si="431"/>
        <v>0</v>
      </c>
      <c r="CS335" s="229" t="str">
        <f t="shared" si="447"/>
        <v/>
      </c>
      <c r="CT335" s="230">
        <f t="shared" si="432"/>
        <v>3507</v>
      </c>
      <c r="CU335" s="163">
        <f t="shared" si="448"/>
        <v>1</v>
      </c>
      <c r="CV335" s="47" t="s">
        <v>0</v>
      </c>
      <c r="CW335" s="222" t="str">
        <f t="shared" si="495"/>
        <v xml:space="preserve">
</v>
      </c>
      <c r="CX335" s="223">
        <f t="shared" si="496"/>
        <v>6</v>
      </c>
      <c r="CY335" s="47" t="s">
        <v>0</v>
      </c>
      <c r="CZ335" s="47"/>
      <c r="DA335" s="47"/>
      <c r="DB335" s="47"/>
      <c r="DC335" s="47" t="s">
        <v>0</v>
      </c>
      <c r="DD335" s="53" t="str">
        <f t="shared" si="424"/>
        <v/>
      </c>
      <c r="DE335" t="s">
        <v>0</v>
      </c>
      <c r="DF335" s="128" t="str">
        <f t="shared" si="425"/>
        <v>Ž</v>
      </c>
      <c r="DG335" t="s">
        <v>0</v>
      </c>
      <c r="DH335" s="52" t="str">
        <f t="shared" si="426"/>
        <v/>
      </c>
      <c r="DI335" s="66" t="str">
        <f t="shared" si="427"/>
        <v/>
      </c>
      <c r="DJ335" t="s">
        <v>0</v>
      </c>
      <c r="DK335" s="19" t="str">
        <f t="shared" si="428"/>
        <v/>
      </c>
      <c r="DL335" s="47" t="s">
        <v>0</v>
      </c>
      <c r="DM335" s="19" t="str">
        <f t="shared" si="429"/>
        <v/>
      </c>
      <c r="DN335" s="47" t="s">
        <v>0</v>
      </c>
      <c r="DO335" s="52" t="str">
        <f t="shared" si="449"/>
        <v>Sanja – Radočaj – OK Bjelovar – Ž55</v>
      </c>
      <c r="DP335" s="53">
        <f t="shared" si="450"/>
        <v>22</v>
      </c>
      <c r="DQ335" s="47" t="s">
        <v>0</v>
      </c>
      <c r="DR335" s="52" t="str">
        <f t="shared" si="451"/>
        <v>Sanja – Radočaj – OK Bjelovar</v>
      </c>
      <c r="DS335" s="53">
        <f t="shared" si="452"/>
        <v>22</v>
      </c>
      <c r="DT335" s="47" t="s">
        <v>0</v>
      </c>
      <c r="DU335" s="52" t="str">
        <f t="shared" si="453"/>
        <v>Sanja – Radočaj</v>
      </c>
      <c r="DV335" s="53">
        <f t="shared" si="454"/>
        <v>22</v>
      </c>
      <c r="DW335" s="47" t="s">
        <v>0</v>
      </c>
      <c r="DX335" s="58">
        <f t="shared" si="497"/>
        <v>22</v>
      </c>
      <c r="DY335" s="53" cm="1">
        <f t="array" ref="DY335">IF(DX335&lt;&gt;"",INDEX(regNatjecatelj_id,DX335,0),IF(BD335&lt;&gt;"",BD335,""))</f>
        <v>1939</v>
      </c>
      <c r="DZ335" s="47" t="s">
        <v>0</v>
      </c>
      <c r="EA335" s="58" t="str">
        <f t="shared" si="455"/>
        <v>imepre</v>
      </c>
      <c r="EB335" s="73" t="str">
        <f t="shared" si="456"/>
        <v>klu</v>
      </c>
      <c r="EC335" s="73" t="str">
        <f t="shared" si="457"/>
        <v>kat</v>
      </c>
      <c r="ED335" s="73" t="str">
        <f t="shared" si="458"/>
        <v/>
      </c>
      <c r="EE335" s="66" t="str">
        <f t="shared" si="459"/>
        <v>imepre-klu-kat</v>
      </c>
      <c r="EF335" s="47" t="s">
        <v>0</v>
      </c>
      <c r="EG335" s="58">
        <f>IF(AL335="","",MAX(EG$12:EG334)+1)</f>
        <v>481</v>
      </c>
      <c r="EH335" s="73">
        <f t="shared" si="460"/>
        <v>43</v>
      </c>
      <c r="EI335" s="73">
        <f t="shared" si="498"/>
        <v>1939</v>
      </c>
      <c r="EJ335" s="73">
        <f t="shared" si="461"/>
        <v>3507</v>
      </c>
      <c r="EK335" s="73">
        <f t="shared" si="462"/>
        <v>1</v>
      </c>
      <c r="EL335" s="73">
        <f t="shared" si="499"/>
        <v>1</v>
      </c>
      <c r="EM335" s="73">
        <f t="shared" si="500"/>
        <v>1</v>
      </c>
      <c r="EN335" s="73" t="str">
        <f t="shared" si="463"/>
        <v>0</v>
      </c>
      <c r="EO335" s="73" t="str">
        <f t="shared" si="464"/>
        <v/>
      </c>
      <c r="EP335" s="73" t="str">
        <f t="shared" si="465"/>
        <v/>
      </c>
      <c r="EQ335" s="53" t="str">
        <f t="shared" si="466"/>
        <v/>
      </c>
      <c r="ER335" s="47" t="s">
        <v>0</v>
      </c>
      <c r="ES335" s="19" t="str">
        <f t="shared" si="501"/>
        <v>INSERT INTO rezultat(id,stazakategorija_id,imeprezime_id,vrijeme_sec,status_id,registracija,uparivanje_id,originalstatus_id,imeprezimealias_id,klubalias_id,kategorijaalias_id) VALUES (481,43,1939,3507,1,1,1,0,Null,Null,Null);</v>
      </c>
      <c r="ET335" s="47" t="s">
        <v>0</v>
      </c>
      <c r="EU335" s="19" t="str">
        <f t="shared" si="502"/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5" s="47" t="s">
        <v>0</v>
      </c>
      <c r="EW335" s="180" t="str">
        <f t="shared" si="467"/>
        <v xml:space="preserve">
INSERT INTO rezultat(id,stazakategorija_id,imeprezime_id,vrijeme_sec,status_id,registracija,uparivanje_id,originalstatus_id,imeprezimealias_id,klubalias_id,kategorijaalias_id) VALUES (481,43,1939,3507,1,1,1,0,Null,Null,Null);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5" s="47" t="s">
        <v>0</v>
      </c>
    </row>
    <row r="336" spans="1:154" x14ac:dyDescent="0.25">
      <c r="A336" t="s">
        <v>0</v>
      </c>
      <c r="B336" s="52" t="str">
        <f>IF(csv!F326="","",csv!T326)</f>
        <v>Ž55</v>
      </c>
      <c r="C336" s="31" t="s">
        <v>0</v>
      </c>
      <c r="D336" s="31" t="str">
        <f>IF(csv!F326="","",csv!F326)</f>
        <v>Emilija</v>
      </c>
      <c r="E336" s="31" t="str">
        <f>IF(csv!E326="","",csv!E326)</f>
        <v>Ebenspanger</v>
      </c>
      <c r="F336" s="31" t="s">
        <v>0</v>
      </c>
      <c r="G336" s="73" t="str">
        <f>IF(csv!M326="","",csv!M326)</f>
        <v>61:28</v>
      </c>
      <c r="H336" s="73" t="str">
        <f>IF(csv!N326="","",csv!N326)</f>
        <v>0</v>
      </c>
      <c r="I336" s="31" t="s">
        <v>0</v>
      </c>
      <c r="J336" s="31" t="str">
        <f>IF(csv!P326="","",csv!P326)</f>
        <v>KAP</v>
      </c>
      <c r="K336" s="31" t="str">
        <f>IF(csv!Q326="","",csv!Q326)</f>
        <v>OK Kapela</v>
      </c>
      <c r="L336" s="31" t="s">
        <v>0</v>
      </c>
      <c r="M336" s="66" t="str">
        <f>IF(csv!R326="","",csv!R326)</f>
        <v>CRO</v>
      </c>
      <c r="N336" s="47" t="s">
        <v>0</v>
      </c>
      <c r="O336" s="246" t="str">
        <f t="shared" si="468"/>
        <v>ok</v>
      </c>
      <c r="P336" s="47"/>
      <c r="Q336" s="52" t="str">
        <f t="shared" si="469"/>
        <v>Ž55</v>
      </c>
      <c r="R336" s="73">
        <f>IF(Q336="","",IF(COUNTIF(Q$12:Q335,Q336)=0,R335+1,R335))</f>
        <v>21</v>
      </c>
      <c r="S336" s="73">
        <f t="shared" si="470"/>
        <v>115</v>
      </c>
      <c r="T336" s="73">
        <f t="shared" si="434"/>
        <v>24</v>
      </c>
      <c r="U336" s="66" t="str">
        <f t="shared" si="435"/>
        <v>Ž55</v>
      </c>
      <c r="V336" s="47" t="s">
        <v>0</v>
      </c>
      <c r="W336" s="222" t="str">
        <f t="shared" si="436"/>
        <v>Ž55</v>
      </c>
      <c r="X336" s="223">
        <f t="shared" si="437"/>
        <v>43</v>
      </c>
      <c r="Y336" s="47" t="s">
        <v>0</v>
      </c>
      <c r="Z336" s="52" t="str">
        <f t="shared" si="471"/>
        <v>CRO</v>
      </c>
      <c r="AA336" s="73">
        <f t="shared" si="438"/>
        <v>1</v>
      </c>
      <c r="AB336" s="31" t="str">
        <f t="shared" si="472"/>
        <v/>
      </c>
      <c r="AC336" s="66" t="str">
        <f>IF(AB336="","",MAX(AC$12:AC335)+1)</f>
        <v/>
      </c>
      <c r="AD336" s="47" t="s">
        <v>0</v>
      </c>
      <c r="AE336" s="125"/>
      <c r="AF336" s="47" t="s">
        <v>0</v>
      </c>
      <c r="AG336" s="19" t="str">
        <f t="shared" si="473"/>
        <v/>
      </c>
      <c r="AH336" s="47" t="s">
        <v>0</v>
      </c>
      <c r="AI336" s="143" t="str">
        <f t="shared" si="474"/>
        <v>CRO</v>
      </c>
      <c r="AJ336" s="47"/>
      <c r="AK336" s="52" t="str">
        <f t="shared" si="475"/>
        <v>Emilija</v>
      </c>
      <c r="AL336" s="31" t="str">
        <f t="shared" si="476"/>
        <v>Ebenspanger</v>
      </c>
      <c r="AM336" s="73">
        <f t="shared" si="477"/>
        <v>1227</v>
      </c>
      <c r="AN336" s="73" t="str">
        <f t="shared" si="478"/>
        <v/>
      </c>
      <c r="AO336" s="31" t="str">
        <f t="shared" si="439"/>
        <v>Emilija</v>
      </c>
      <c r="AP336" s="66" t="str">
        <f t="shared" si="440"/>
        <v>Ebenspanger</v>
      </c>
      <c r="AQ336" s="47" t="s">
        <v>0</v>
      </c>
      <c r="AR336" s="82" t="str">
        <f t="shared" si="479"/>
        <v/>
      </c>
      <c r="AS336" s="47" t="s">
        <v>0</v>
      </c>
      <c r="AT336" s="19" t="str">
        <f t="shared" si="480"/>
        <v/>
      </c>
      <c r="AU336" s="47" t="s">
        <v>0</v>
      </c>
      <c r="AV336" s="103"/>
      <c r="AW336" s="105"/>
      <c r="AX336" s="47" t="s">
        <v>0</v>
      </c>
      <c r="AY336" s="259" t="str">
        <f t="shared" si="423"/>
        <v/>
      </c>
      <c r="AZ336" s="47" t="s">
        <v>0</v>
      </c>
      <c r="BA336" s="52" t="str">
        <f t="shared" si="433"/>
        <v/>
      </c>
      <c r="BB336" s="73" t="str">
        <f>IF(AV336&amp;AW336="","",MAX(BB$12:BB335)+1)</f>
        <v/>
      </c>
      <c r="BC336" s="272" t="str">
        <f t="shared" si="441"/>
        <v/>
      </c>
      <c r="BD336" s="53" t="str">
        <f>IF(AND(AM336="NEMA",AN336="NEMA",OR(AV336&amp;AW336="",BC336="NEMA")),MAX(BD$12:BD335)+1,"")</f>
        <v/>
      </c>
      <c r="BE336" s="47" t="s">
        <v>0</v>
      </c>
      <c r="BF336" s="52" t="str">
        <f t="shared" si="481"/>
        <v>Emilija</v>
      </c>
      <c r="BG336" s="66" t="str">
        <f t="shared" si="482"/>
        <v>Ebenspanger</v>
      </c>
      <c r="BH336" s="47" t="s">
        <v>0</v>
      </c>
      <c r="BI336" s="52" t="str">
        <f t="shared" si="442"/>
        <v>KAP</v>
      </c>
      <c r="BJ336" s="31" t="str">
        <f t="shared" si="443"/>
        <v>OK Kapela</v>
      </c>
      <c r="BK336" s="73" t="str">
        <f t="shared" si="444"/>
        <v/>
      </c>
      <c r="BL336" s="31" t="str" cm="1">
        <f t="array" ref="BL336">IF(BK336="",""&amp;BJ336,IF(BK336="NEMA",BJ336,INDEX(regKlub_naziv,MATCH(INDEX(regKlub_alias_klubId,BK336),regKlub_id,0))))</f>
        <v>OK Kapela</v>
      </c>
      <c r="BM336" s="31" t="str" cm="1">
        <f t="array" ref="BM336">IFERROR(""&amp;INDEX(regNatjecatelj_klub,DV336),"")</f>
        <v>OK Kapela</v>
      </c>
      <c r="BN336" s="88" t="str">
        <f t="shared" si="483"/>
        <v/>
      </c>
      <c r="BO336" s="66" t="str">
        <f t="shared" si="484"/>
        <v>OK Kapela</v>
      </c>
      <c r="BP336" s="47" t="s">
        <v>0</v>
      </c>
      <c r="BQ336" s="52" t="str">
        <f>IF(X336&lt;&gt;"NEMA","",IF(IFERROR(MATCH(W336,W$12:W335,0),0)&lt;&gt;0,"",W336))</f>
        <v/>
      </c>
      <c r="BR336" s="73" t="str">
        <f t="shared" si="485"/>
        <v/>
      </c>
      <c r="BS336" s="31" t="str">
        <f>IF(OR(BR336="",BR336&lt;&gt;"NEMA"),"",MAX(BS$12:BS335)+1)</f>
        <v/>
      </c>
      <c r="BT336" s="66" t="str">
        <f t="shared" si="486"/>
        <v/>
      </c>
      <c r="BU336" s="47" t="s">
        <v>0</v>
      </c>
      <c r="BV336" s="19" t="str">
        <f t="shared" si="487"/>
        <v/>
      </c>
      <c r="BW336" s="47" t="s">
        <v>0</v>
      </c>
      <c r="BX336" s="82" t="str">
        <f>IF(BK336&lt;&gt;"NEMA","",IF(IFERROR(MATCH(BJ336,BJ$12:BJ335,0),0)&lt;&gt;0,"",BJ336))</f>
        <v/>
      </c>
      <c r="BY336" s="47" t="s">
        <v>0</v>
      </c>
      <c r="BZ336" s="125"/>
      <c r="CA336" s="47" t="s">
        <v>0</v>
      </c>
      <c r="CB336" s="58" t="str">
        <f t="shared" si="488"/>
        <v/>
      </c>
      <c r="CC336" s="31" t="str">
        <f t="shared" si="489"/>
        <v/>
      </c>
      <c r="CD336" s="31" t="str">
        <f>IF(CC336="","",MAX(CD$12:CD335)+1)</f>
        <v/>
      </c>
      <c r="CE336" s="31" t="str">
        <f t="shared" si="445"/>
        <v/>
      </c>
      <c r="CF336" s="31" t="str">
        <f t="shared" si="490"/>
        <v/>
      </c>
      <c r="CG336" s="31" t="str">
        <f>IF(BZ336="","",MAX(CG$12:CG335)+1)</f>
        <v/>
      </c>
      <c r="CH336" s="31" t="str">
        <f t="shared" si="491"/>
        <v/>
      </c>
      <c r="CI336" s="66" t="str">
        <f t="shared" si="492"/>
        <v/>
      </c>
      <c r="CJ336" s="47" t="s">
        <v>0</v>
      </c>
      <c r="CK336" s="73" t="str">
        <f t="shared" si="446"/>
        <v/>
      </c>
      <c r="CL336" s="47"/>
      <c r="CM336" s="19" t="str">
        <f t="shared" si="493"/>
        <v/>
      </c>
      <c r="CN336" s="47" t="s">
        <v>0</v>
      </c>
      <c r="CO336" s="143" t="str">
        <f t="shared" si="494"/>
        <v>OK Kapela</v>
      </c>
      <c r="CP336" s="47" t="s">
        <v>0</v>
      </c>
      <c r="CQ336" s="58" t="str">
        <f t="shared" si="430"/>
        <v>61:28</v>
      </c>
      <c r="CR336" s="73" t="str">
        <f t="shared" si="431"/>
        <v>0</v>
      </c>
      <c r="CS336" s="229" t="str">
        <f t="shared" si="447"/>
        <v/>
      </c>
      <c r="CT336" s="230">
        <f t="shared" si="432"/>
        <v>3688</v>
      </c>
      <c r="CU336" s="163">
        <f t="shared" si="448"/>
        <v>1</v>
      </c>
      <c r="CV336" s="47" t="s">
        <v>0</v>
      </c>
      <c r="CW336" s="222" t="str">
        <f t="shared" si="495"/>
        <v xml:space="preserve">
</v>
      </c>
      <c r="CX336" s="223">
        <f t="shared" si="496"/>
        <v>6</v>
      </c>
      <c r="CY336" s="47" t="s">
        <v>0</v>
      </c>
      <c r="CZ336" s="47"/>
      <c r="DA336" s="47"/>
      <c r="DB336" s="47"/>
      <c r="DC336" s="47" t="s">
        <v>0</v>
      </c>
      <c r="DD336" s="53" t="str">
        <f t="shared" si="424"/>
        <v/>
      </c>
      <c r="DE336" t="s">
        <v>0</v>
      </c>
      <c r="DF336" s="128" t="str">
        <f t="shared" si="425"/>
        <v>Ž</v>
      </c>
      <c r="DG336" t="s">
        <v>0</v>
      </c>
      <c r="DH336" s="52" t="str">
        <f t="shared" si="426"/>
        <v/>
      </c>
      <c r="DI336" s="66" t="str">
        <f t="shared" si="427"/>
        <v/>
      </c>
      <c r="DJ336" t="s">
        <v>0</v>
      </c>
      <c r="DK336" s="19" t="str">
        <f t="shared" si="428"/>
        <v/>
      </c>
      <c r="DL336" s="47" t="s">
        <v>0</v>
      </c>
      <c r="DM336" s="19" t="str">
        <f t="shared" si="429"/>
        <v/>
      </c>
      <c r="DN336" s="47" t="s">
        <v>0</v>
      </c>
      <c r="DO336" s="52" t="str">
        <f t="shared" si="449"/>
        <v>Emilija – Ebenspanger – OK Kapela – Ž55</v>
      </c>
      <c r="DP336" s="53">
        <f t="shared" si="450"/>
        <v>234</v>
      </c>
      <c r="DQ336" s="47" t="s">
        <v>0</v>
      </c>
      <c r="DR336" s="52" t="str">
        <f t="shared" si="451"/>
        <v>Emilija – Ebenspanger – OK Kapela</v>
      </c>
      <c r="DS336" s="53">
        <f t="shared" si="452"/>
        <v>234</v>
      </c>
      <c r="DT336" s="47" t="s">
        <v>0</v>
      </c>
      <c r="DU336" s="52" t="str">
        <f t="shared" si="453"/>
        <v>Emilija – Ebenspanger</v>
      </c>
      <c r="DV336" s="53">
        <f t="shared" si="454"/>
        <v>234</v>
      </c>
      <c r="DW336" s="47" t="s">
        <v>0</v>
      </c>
      <c r="DX336" s="58">
        <f t="shared" si="497"/>
        <v>234</v>
      </c>
      <c r="DY336" s="53" cm="1">
        <f t="array" ref="DY336">IF(DX336&lt;&gt;"",INDEX(regNatjecatelj_id,DX336,0),IF(BD336&lt;&gt;"",BD336,""))</f>
        <v>1227</v>
      </c>
      <c r="DZ336" s="47" t="s">
        <v>0</v>
      </c>
      <c r="EA336" s="58" t="str">
        <f t="shared" si="455"/>
        <v>imepre</v>
      </c>
      <c r="EB336" s="73" t="str">
        <f t="shared" si="456"/>
        <v>klu</v>
      </c>
      <c r="EC336" s="73" t="str">
        <f t="shared" si="457"/>
        <v>kat</v>
      </c>
      <c r="ED336" s="73" t="str">
        <f t="shared" si="458"/>
        <v/>
      </c>
      <c r="EE336" s="66" t="str">
        <f t="shared" si="459"/>
        <v>imepre-klu-kat</v>
      </c>
      <c r="EF336" s="47" t="s">
        <v>0</v>
      </c>
      <c r="EG336" s="58">
        <f>IF(AL336="","",MAX(EG$12:EG335)+1)</f>
        <v>482</v>
      </c>
      <c r="EH336" s="73">
        <f t="shared" si="460"/>
        <v>43</v>
      </c>
      <c r="EI336" s="73">
        <f t="shared" si="498"/>
        <v>1227</v>
      </c>
      <c r="EJ336" s="73">
        <f t="shared" si="461"/>
        <v>3688</v>
      </c>
      <c r="EK336" s="73">
        <f t="shared" si="462"/>
        <v>1</v>
      </c>
      <c r="EL336" s="73">
        <f t="shared" si="499"/>
        <v>1</v>
      </c>
      <c r="EM336" s="73">
        <f t="shared" si="500"/>
        <v>1</v>
      </c>
      <c r="EN336" s="73" t="str">
        <f t="shared" si="463"/>
        <v>0</v>
      </c>
      <c r="EO336" s="73" t="str">
        <f t="shared" si="464"/>
        <v/>
      </c>
      <c r="EP336" s="73" t="str">
        <f t="shared" si="465"/>
        <v/>
      </c>
      <c r="EQ336" s="53" t="str">
        <f t="shared" si="466"/>
        <v/>
      </c>
      <c r="ER336" s="47" t="s">
        <v>0</v>
      </c>
      <c r="ES336" s="19" t="str">
        <f t="shared" si="501"/>
        <v>INSERT INTO rezultat(id,stazakategorija_id,imeprezime_id,vrijeme_sec,status_id,registracija,uparivanje_id,originalstatus_id,imeprezimealias_id,klubalias_id,kategorijaalias_id) VALUES (482,43,1227,3688,1,1,1,0,Null,Null,Null);</v>
      </c>
      <c r="ET336" s="47" t="s">
        <v>0</v>
      </c>
      <c r="EU336" s="19" t="str">
        <f t="shared" si="502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6" s="47" t="s">
        <v>0</v>
      </c>
      <c r="EW336" s="180" t="str">
        <f t="shared" si="467"/>
        <v xml:space="preserve">
INSERT INTO rezultat(id,stazakategorija_id,imeprezime_id,vrijeme_sec,status_id,registracija,uparivanje_id,originalstatus_id,imeprezimealias_id,klubalias_id,kategorijaalias_id) VALUES (482,43,1227,3688,1,1,1,0,Null,Null,Null);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6" s="47" t="s">
        <v>0</v>
      </c>
    </row>
    <row r="337" spans="1:154" x14ac:dyDescent="0.25">
      <c r="A337" t="s">
        <v>0</v>
      </c>
      <c r="B337" s="52" t="str">
        <f>IF(csv!F327="","",csv!T327)</f>
        <v>Ž55</v>
      </c>
      <c r="C337" s="31" t="s">
        <v>0</v>
      </c>
      <c r="D337" s="31" t="str">
        <f>IF(csv!F327="","",csv!F327)</f>
        <v>Karmen</v>
      </c>
      <c r="E337" s="31" t="str">
        <f>IF(csv!E327="","",csv!E327)</f>
        <v>Holenda</v>
      </c>
      <c r="F337" s="31" t="s">
        <v>0</v>
      </c>
      <c r="G337" s="73" t="str">
        <f>IF(csv!M327="","",csv!M327)</f>
        <v>157:02</v>
      </c>
      <c r="H337" s="73" t="str">
        <f>IF(csv!N327="","",csv!N327)</f>
        <v>0</v>
      </c>
      <c r="I337" s="31" t="s">
        <v>0</v>
      </c>
      <c r="J337" s="31" t="str">
        <f>IF(csv!P327="","",csv!P327)</f>
        <v>OK Varaždin</v>
      </c>
      <c r="K337" s="31" t="str">
        <f>IF(csv!Q327="","",csv!Q327)</f>
        <v>OK Varaždin</v>
      </c>
      <c r="L337" s="31" t="s">
        <v>0</v>
      </c>
      <c r="M337" s="66" t="str">
        <f>IF(csv!R327="","",csv!R327)</f>
        <v>CRO</v>
      </c>
      <c r="N337" s="47" t="s">
        <v>0</v>
      </c>
      <c r="O337" s="246" t="str">
        <f t="shared" si="468"/>
        <v>ok</v>
      </c>
      <c r="P337" s="47"/>
      <c r="Q337" s="52" t="str">
        <f t="shared" si="469"/>
        <v>Ž55</v>
      </c>
      <c r="R337" s="73">
        <f>IF(Q337="","",IF(COUNTIF(Q$12:Q336,Q337)=0,R336+1,R336))</f>
        <v>21</v>
      </c>
      <c r="S337" s="73">
        <f t="shared" si="470"/>
        <v>115</v>
      </c>
      <c r="T337" s="73">
        <f t="shared" si="434"/>
        <v>24</v>
      </c>
      <c r="U337" s="66" t="str">
        <f t="shared" si="435"/>
        <v>Ž55</v>
      </c>
      <c r="V337" s="47" t="s">
        <v>0</v>
      </c>
      <c r="W337" s="222" t="str">
        <f t="shared" si="436"/>
        <v>Ž55</v>
      </c>
      <c r="X337" s="223">
        <f t="shared" si="437"/>
        <v>43</v>
      </c>
      <c r="Y337" s="47" t="s">
        <v>0</v>
      </c>
      <c r="Z337" s="52" t="str">
        <f t="shared" si="471"/>
        <v>CRO</v>
      </c>
      <c r="AA337" s="73">
        <f t="shared" si="438"/>
        <v>1</v>
      </c>
      <c r="AB337" s="31" t="str">
        <f t="shared" si="472"/>
        <v/>
      </c>
      <c r="AC337" s="66" t="str">
        <f>IF(AB337="","",MAX(AC$12:AC336)+1)</f>
        <v/>
      </c>
      <c r="AD337" s="47" t="s">
        <v>0</v>
      </c>
      <c r="AE337" s="125"/>
      <c r="AF337" s="47" t="s">
        <v>0</v>
      </c>
      <c r="AG337" s="19" t="str">
        <f t="shared" si="473"/>
        <v/>
      </c>
      <c r="AH337" s="47" t="s">
        <v>0</v>
      </c>
      <c r="AI337" s="143" t="str">
        <f t="shared" si="474"/>
        <v>CRO</v>
      </c>
      <c r="AJ337" s="47"/>
      <c r="AK337" s="52" t="str">
        <f t="shared" si="475"/>
        <v>Karmen</v>
      </c>
      <c r="AL337" s="31" t="str">
        <f t="shared" si="476"/>
        <v>Holenda</v>
      </c>
      <c r="AM337" s="73">
        <f t="shared" si="477"/>
        <v>1403</v>
      </c>
      <c r="AN337" s="73" t="str">
        <f t="shared" si="478"/>
        <v/>
      </c>
      <c r="AO337" s="31" t="str">
        <f t="shared" si="439"/>
        <v>Karmen</v>
      </c>
      <c r="AP337" s="66" t="str">
        <f t="shared" si="440"/>
        <v>Holenda</v>
      </c>
      <c r="AQ337" s="47" t="s">
        <v>0</v>
      </c>
      <c r="AR337" s="82" t="str">
        <f t="shared" si="479"/>
        <v/>
      </c>
      <c r="AS337" s="47" t="s">
        <v>0</v>
      </c>
      <c r="AT337" s="19" t="str">
        <f t="shared" si="480"/>
        <v/>
      </c>
      <c r="AU337" s="47" t="s">
        <v>0</v>
      </c>
      <c r="AV337" s="103"/>
      <c r="AW337" s="105"/>
      <c r="AX337" s="47" t="s">
        <v>0</v>
      </c>
      <c r="AY337" s="259" t="str">
        <f t="shared" si="423"/>
        <v/>
      </c>
      <c r="AZ337" s="47" t="s">
        <v>0</v>
      </c>
      <c r="BA337" s="52" t="str">
        <f t="shared" si="433"/>
        <v/>
      </c>
      <c r="BB337" s="73" t="str">
        <f>IF(AV337&amp;AW337="","",MAX(BB$12:BB336)+1)</f>
        <v/>
      </c>
      <c r="BC337" s="272" t="str">
        <f t="shared" si="441"/>
        <v/>
      </c>
      <c r="BD337" s="53" t="str">
        <f>IF(AND(AM337="NEMA",AN337="NEMA",OR(AV337&amp;AW337="",BC337="NEMA")),MAX(BD$12:BD336)+1,"")</f>
        <v/>
      </c>
      <c r="BE337" s="47" t="s">
        <v>0</v>
      </c>
      <c r="BF337" s="52" t="str">
        <f t="shared" si="481"/>
        <v>Karmen</v>
      </c>
      <c r="BG337" s="66" t="str">
        <f t="shared" si="482"/>
        <v>Holenda</v>
      </c>
      <c r="BH337" s="47" t="s">
        <v>0</v>
      </c>
      <c r="BI337" s="52" t="str">
        <f t="shared" si="442"/>
        <v>OK Varaždin</v>
      </c>
      <c r="BJ337" s="31" t="str">
        <f t="shared" si="443"/>
        <v>OK Varaždin</v>
      </c>
      <c r="BK337" s="73" t="str">
        <f t="shared" si="444"/>
        <v/>
      </c>
      <c r="BL337" s="31" t="str" cm="1">
        <f t="array" ref="BL337">IF(BK337="",""&amp;BJ337,IF(BK337="NEMA",BJ337,INDEX(regKlub_naziv,MATCH(INDEX(regKlub_alias_klubId,BK337),regKlub_id,0))))</f>
        <v>OK Varaždin</v>
      </c>
      <c r="BM337" s="31" t="str" cm="1">
        <f t="array" ref="BM337">IFERROR(""&amp;INDEX(regNatjecatelj_klub,DV337),"")</f>
        <v>OK Varaždin</v>
      </c>
      <c r="BN337" s="88" t="str">
        <f t="shared" si="483"/>
        <v/>
      </c>
      <c r="BO337" s="66" t="str">
        <f t="shared" si="484"/>
        <v>OK Varaždin</v>
      </c>
      <c r="BP337" s="47" t="s">
        <v>0</v>
      </c>
      <c r="BQ337" s="52" t="str">
        <f>IF(X337&lt;&gt;"NEMA","",IF(IFERROR(MATCH(W337,W$12:W336,0),0)&lt;&gt;0,"",W337))</f>
        <v/>
      </c>
      <c r="BR337" s="73" t="str">
        <f t="shared" si="485"/>
        <v/>
      </c>
      <c r="BS337" s="31" t="str">
        <f>IF(OR(BR337="",BR337&lt;&gt;"NEMA"),"",MAX(BS$12:BS336)+1)</f>
        <v/>
      </c>
      <c r="BT337" s="66" t="str">
        <f t="shared" si="486"/>
        <v/>
      </c>
      <c r="BU337" s="47" t="s">
        <v>0</v>
      </c>
      <c r="BV337" s="19" t="str">
        <f t="shared" si="487"/>
        <v/>
      </c>
      <c r="BW337" s="47" t="s">
        <v>0</v>
      </c>
      <c r="BX337" s="82" t="str">
        <f>IF(BK337&lt;&gt;"NEMA","",IF(IFERROR(MATCH(BJ337,BJ$12:BJ336,0),0)&lt;&gt;0,"",BJ337))</f>
        <v/>
      </c>
      <c r="BY337" s="47" t="s">
        <v>0</v>
      </c>
      <c r="BZ337" s="125"/>
      <c r="CA337" s="47" t="s">
        <v>0</v>
      </c>
      <c r="CB337" s="58" t="str">
        <f t="shared" si="488"/>
        <v/>
      </c>
      <c r="CC337" s="31" t="str">
        <f t="shared" si="489"/>
        <v/>
      </c>
      <c r="CD337" s="31" t="str">
        <f>IF(CC337="","",MAX(CD$12:CD336)+1)</f>
        <v/>
      </c>
      <c r="CE337" s="31" t="str">
        <f t="shared" si="445"/>
        <v/>
      </c>
      <c r="CF337" s="31" t="str">
        <f t="shared" si="490"/>
        <v/>
      </c>
      <c r="CG337" s="31" t="str">
        <f>IF(BZ337="","",MAX(CG$12:CG336)+1)</f>
        <v/>
      </c>
      <c r="CH337" s="31" t="str">
        <f t="shared" si="491"/>
        <v/>
      </c>
      <c r="CI337" s="66" t="str">
        <f t="shared" si="492"/>
        <v/>
      </c>
      <c r="CJ337" s="47" t="s">
        <v>0</v>
      </c>
      <c r="CK337" s="73" t="str">
        <f t="shared" si="446"/>
        <v/>
      </c>
      <c r="CL337" s="47"/>
      <c r="CM337" s="19" t="str">
        <f t="shared" si="493"/>
        <v/>
      </c>
      <c r="CN337" s="47" t="s">
        <v>0</v>
      </c>
      <c r="CO337" s="143" t="str">
        <f t="shared" si="494"/>
        <v>OK Varaždin</v>
      </c>
      <c r="CP337" s="47" t="s">
        <v>0</v>
      </c>
      <c r="CQ337" s="58" t="str">
        <f t="shared" si="430"/>
        <v>157:02</v>
      </c>
      <c r="CR337" s="73" t="str">
        <f t="shared" si="431"/>
        <v>0</v>
      </c>
      <c r="CS337" s="229" t="str">
        <f t="shared" si="447"/>
        <v/>
      </c>
      <c r="CT337" s="230">
        <f t="shared" si="432"/>
        <v>9422</v>
      </c>
      <c r="CU337" s="163">
        <f t="shared" si="448"/>
        <v>1</v>
      </c>
      <c r="CV337" s="47" t="s">
        <v>0</v>
      </c>
      <c r="CW337" s="222" t="str">
        <f t="shared" si="495"/>
        <v xml:space="preserve">
</v>
      </c>
      <c r="CX337" s="223">
        <f t="shared" si="496"/>
        <v>6</v>
      </c>
      <c r="CY337" s="47" t="s">
        <v>0</v>
      </c>
      <c r="CZ337" s="47"/>
      <c r="DA337" s="47"/>
      <c r="DB337" s="47"/>
      <c r="DC337" s="47" t="s">
        <v>0</v>
      </c>
      <c r="DD337" s="53" t="str">
        <f t="shared" si="424"/>
        <v/>
      </c>
      <c r="DE337" t="s">
        <v>0</v>
      </c>
      <c r="DF337" s="128" t="str">
        <f t="shared" si="425"/>
        <v>Ž</v>
      </c>
      <c r="DG337" t="s">
        <v>0</v>
      </c>
      <c r="DH337" s="52" t="str">
        <f t="shared" si="426"/>
        <v/>
      </c>
      <c r="DI337" s="66" t="str">
        <f t="shared" si="427"/>
        <v/>
      </c>
      <c r="DJ337" t="s">
        <v>0</v>
      </c>
      <c r="DK337" s="19" t="str">
        <f t="shared" si="428"/>
        <v/>
      </c>
      <c r="DL337" s="47" t="s">
        <v>0</v>
      </c>
      <c r="DM337" s="19" t="str">
        <f t="shared" si="429"/>
        <v/>
      </c>
      <c r="DN337" s="47" t="s">
        <v>0</v>
      </c>
      <c r="DO337" s="52" t="str">
        <f t="shared" si="449"/>
        <v>Karmen – Holenda – OK Varaždin – Ž55</v>
      </c>
      <c r="DP337" s="53">
        <f t="shared" si="450"/>
        <v>537</v>
      </c>
      <c r="DQ337" s="47" t="s">
        <v>0</v>
      </c>
      <c r="DR337" s="52" t="str">
        <f t="shared" si="451"/>
        <v>Karmen – Holenda – OK Varaždin</v>
      </c>
      <c r="DS337" s="53">
        <f t="shared" si="452"/>
        <v>537</v>
      </c>
      <c r="DT337" s="47" t="s">
        <v>0</v>
      </c>
      <c r="DU337" s="52" t="str">
        <f t="shared" si="453"/>
        <v>Karmen – Holenda</v>
      </c>
      <c r="DV337" s="53">
        <f t="shared" si="454"/>
        <v>537</v>
      </c>
      <c r="DW337" s="47" t="s">
        <v>0</v>
      </c>
      <c r="DX337" s="58">
        <f t="shared" si="497"/>
        <v>537</v>
      </c>
      <c r="DY337" s="53" cm="1">
        <f t="array" ref="DY337">IF(DX337&lt;&gt;"",INDEX(regNatjecatelj_id,DX337,0),IF(BD337&lt;&gt;"",BD337,""))</f>
        <v>1403</v>
      </c>
      <c r="DZ337" s="47" t="s">
        <v>0</v>
      </c>
      <c r="EA337" s="58" t="str">
        <f t="shared" si="455"/>
        <v>imepre</v>
      </c>
      <c r="EB337" s="73" t="str">
        <f t="shared" si="456"/>
        <v>klu</v>
      </c>
      <c r="EC337" s="73" t="str">
        <f t="shared" si="457"/>
        <v>kat</v>
      </c>
      <c r="ED337" s="73" t="str">
        <f t="shared" si="458"/>
        <v/>
      </c>
      <c r="EE337" s="66" t="str">
        <f t="shared" si="459"/>
        <v>imepre-klu-kat</v>
      </c>
      <c r="EF337" s="47" t="s">
        <v>0</v>
      </c>
      <c r="EG337" s="58">
        <f>IF(AL337="","",MAX(EG$12:EG336)+1)</f>
        <v>483</v>
      </c>
      <c r="EH337" s="73">
        <f t="shared" si="460"/>
        <v>43</v>
      </c>
      <c r="EI337" s="73">
        <f t="shared" si="498"/>
        <v>1403</v>
      </c>
      <c r="EJ337" s="73">
        <f t="shared" si="461"/>
        <v>9422</v>
      </c>
      <c r="EK337" s="73">
        <f t="shared" si="462"/>
        <v>1</v>
      </c>
      <c r="EL337" s="73">
        <f t="shared" si="499"/>
        <v>1</v>
      </c>
      <c r="EM337" s="73">
        <f t="shared" si="500"/>
        <v>1</v>
      </c>
      <c r="EN337" s="73" t="str">
        <f t="shared" si="463"/>
        <v>0</v>
      </c>
      <c r="EO337" s="73" t="str">
        <f t="shared" si="464"/>
        <v/>
      </c>
      <c r="EP337" s="73" t="str">
        <f t="shared" si="465"/>
        <v/>
      </c>
      <c r="EQ337" s="53" t="str">
        <f t="shared" si="466"/>
        <v/>
      </c>
      <c r="ER337" s="47" t="s">
        <v>0</v>
      </c>
      <c r="ES337" s="19" t="str">
        <f t="shared" si="501"/>
        <v>INSERT INTO rezultat(id,stazakategorija_id,imeprezime_id,vrijeme_sec,status_id,registracija,uparivanje_id,originalstatus_id,imeprezimealias_id,klubalias_id,kategorijaalias_id) VALUES (483,43,1403,9422,1,1,1,0,Null,Null,Null);</v>
      </c>
      <c r="ET337" s="47" t="s">
        <v>0</v>
      </c>
      <c r="EU337" s="19" t="str">
        <f t="shared" si="502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7" s="47" t="s">
        <v>0</v>
      </c>
      <c r="EW337" s="180" t="str">
        <f t="shared" si="467"/>
        <v xml:space="preserve">
INSERT INTO rezultat(id,stazakategorija_id,imeprezime_id,vrijeme_sec,status_id,registracija,uparivanje_id,originalstatus_id,imeprezimealias_id,klubalias_id,kategorijaalias_id) VALUES (483,43,1403,9422,1,1,1,0,Null,Null,Null);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7" s="47" t="s">
        <v>0</v>
      </c>
    </row>
    <row r="338" spans="1:154" x14ac:dyDescent="0.25">
      <c r="A338" t="s">
        <v>0</v>
      </c>
      <c r="B338" s="52" t="str">
        <f>IF(csv!F328="","",csv!T328)</f>
        <v>Ž55</v>
      </c>
      <c r="C338" s="31" t="s">
        <v>0</v>
      </c>
      <c r="D338" s="31" t="str">
        <f>IF(csv!F328="","",csv!F328)</f>
        <v>Vacant</v>
      </c>
      <c r="E338" s="31" t="str">
        <f>IF(csv!E328="","",csv!E328)</f>
        <v/>
      </c>
      <c r="F338" s="31" t="s">
        <v>0</v>
      </c>
      <c r="G338" s="73" t="str">
        <f>IF(csv!M328="","",csv!M328)</f>
        <v/>
      </c>
      <c r="H338" s="73" t="str">
        <f>IF(csv!N328="","",csv!N328)</f>
        <v>0</v>
      </c>
      <c r="I338" s="31" t="s">
        <v>0</v>
      </c>
      <c r="J338" s="31" t="str">
        <f>IF(csv!P328="","",csv!P328)</f>
        <v/>
      </c>
      <c r="K338" s="31" t="str">
        <f>IF(csv!Q328="","",csv!Q328)</f>
        <v/>
      </c>
      <c r="L338" s="31" t="s">
        <v>0</v>
      </c>
      <c r="M338" s="66" t="str">
        <f>IF(csv!R328="","",csv!R328)</f>
        <v/>
      </c>
      <c r="N338" s="47" t="s">
        <v>0</v>
      </c>
      <c r="O338" s="246" t="str">
        <f t="shared" si="468"/>
        <v/>
      </c>
      <c r="P338" s="47"/>
      <c r="Q338" s="52" t="str">
        <f t="shared" si="469"/>
        <v>Ž55</v>
      </c>
      <c r="R338" s="73">
        <f>IF(Q338="","",IF(COUNTIF(Q$12:Q337,Q338)=0,R337+1,R337))</f>
        <v>21</v>
      </c>
      <c r="S338" s="73">
        <f t="shared" si="470"/>
        <v>115</v>
      </c>
      <c r="T338" s="73">
        <f t="shared" si="434"/>
        <v>24</v>
      </c>
      <c r="U338" s="66" t="str">
        <f t="shared" si="435"/>
        <v>Ž55</v>
      </c>
      <c r="V338" s="47" t="s">
        <v>0</v>
      </c>
      <c r="W338" s="222" t="str">
        <f t="shared" si="436"/>
        <v/>
      </c>
      <c r="X338" s="223" t="str">
        <f t="shared" si="437"/>
        <v/>
      </c>
      <c r="Y338" s="47" t="s">
        <v>0</v>
      </c>
      <c r="Z338" s="52" t="str">
        <f t="shared" si="471"/>
        <v/>
      </c>
      <c r="AA338" s="73" t="str">
        <f t="shared" si="438"/>
        <v/>
      </c>
      <c r="AB338" s="31" t="str">
        <f t="shared" si="472"/>
        <v/>
      </c>
      <c r="AC338" s="66" t="str">
        <f>IF(AB338="","",MAX(AC$12:AC337)+1)</f>
        <v/>
      </c>
      <c r="AD338" s="47" t="s">
        <v>0</v>
      </c>
      <c r="AE338" s="125"/>
      <c r="AF338" s="47" t="s">
        <v>0</v>
      </c>
      <c r="AG338" s="19" t="str">
        <f t="shared" si="473"/>
        <v/>
      </c>
      <c r="AH338" s="47" t="s">
        <v>0</v>
      </c>
      <c r="AI338" s="143" t="str">
        <f t="shared" si="474"/>
        <v/>
      </c>
      <c r="AJ338" s="47"/>
      <c r="AK338" s="52" t="str">
        <f t="shared" si="475"/>
        <v/>
      </c>
      <c r="AL338" s="31" t="str">
        <f t="shared" si="476"/>
        <v/>
      </c>
      <c r="AM338" s="73" t="str">
        <f t="shared" si="477"/>
        <v/>
      </c>
      <c r="AN338" s="73" t="str">
        <f t="shared" si="478"/>
        <v/>
      </c>
      <c r="AO338" s="31" t="str">
        <f t="shared" si="439"/>
        <v/>
      </c>
      <c r="AP338" s="66" t="str">
        <f t="shared" si="440"/>
        <v/>
      </c>
      <c r="AQ338" s="47" t="s">
        <v>0</v>
      </c>
      <c r="AR338" s="82" t="str">
        <f t="shared" si="479"/>
        <v/>
      </c>
      <c r="AS338" s="47" t="s">
        <v>0</v>
      </c>
      <c r="AT338" s="19" t="str">
        <f t="shared" si="480"/>
        <v/>
      </c>
      <c r="AU338" s="47" t="s">
        <v>0</v>
      </c>
      <c r="AV338" s="103"/>
      <c r="AW338" s="105"/>
      <c r="AX338" s="47" t="s">
        <v>0</v>
      </c>
      <c r="AY338" s="259" t="str">
        <f t="shared" si="423"/>
        <v/>
      </c>
      <c r="AZ338" s="47" t="s">
        <v>0</v>
      </c>
      <c r="BA338" s="52" t="str">
        <f t="shared" si="433"/>
        <v/>
      </c>
      <c r="BB338" s="73" t="str">
        <f>IF(AV338&amp;AW338="","",MAX(BB$12:BB337)+1)</f>
        <v/>
      </c>
      <c r="BC338" s="272" t="str">
        <f t="shared" si="441"/>
        <v/>
      </c>
      <c r="BD338" s="53" t="str">
        <f>IF(AND(AM338="NEMA",AN338="NEMA",OR(AV338&amp;AW338="",BC338="NEMA")),MAX(BD$12:BD337)+1,"")</f>
        <v/>
      </c>
      <c r="BE338" s="47" t="s">
        <v>0</v>
      </c>
      <c r="BF338" s="52" t="str">
        <f t="shared" si="481"/>
        <v/>
      </c>
      <c r="BG338" s="66" t="str">
        <f t="shared" si="482"/>
        <v/>
      </c>
      <c r="BH338" s="47" t="s">
        <v>0</v>
      </c>
      <c r="BI338" s="52" t="str">
        <f t="shared" si="442"/>
        <v/>
      </c>
      <c r="BJ338" s="31" t="str">
        <f t="shared" si="443"/>
        <v/>
      </c>
      <c r="BK338" s="73" t="str">
        <f t="shared" si="444"/>
        <v/>
      </c>
      <c r="BL338" s="31" t="str" cm="1">
        <f t="array" ref="BL338">IF(BK338="",""&amp;BJ338,IF(BK338="NEMA",BJ338,INDEX(regKlub_naziv,MATCH(INDEX(regKlub_alias_klubId,BK338),regKlub_id,0))))</f>
        <v/>
      </c>
      <c r="BM338" s="31" t="str" cm="1">
        <f t="array" ref="BM338">IFERROR(""&amp;INDEX(regNatjecatelj_klub,DV338),"")</f>
        <v/>
      </c>
      <c r="BN338" s="88" t="str">
        <f t="shared" si="483"/>
        <v/>
      </c>
      <c r="BO338" s="66" t="str">
        <f t="shared" si="484"/>
        <v/>
      </c>
      <c r="BP338" s="47" t="s">
        <v>0</v>
      </c>
      <c r="BQ338" s="52" t="str">
        <f>IF(X338&lt;&gt;"NEMA","",IF(IFERROR(MATCH(W338,W$12:W337,0),0)&lt;&gt;0,"",W338))</f>
        <v/>
      </c>
      <c r="BR338" s="73" t="str">
        <f t="shared" si="485"/>
        <v/>
      </c>
      <c r="BS338" s="31" t="str">
        <f>IF(OR(BR338="",BR338&lt;&gt;"NEMA"),"",MAX(BS$12:BS337)+1)</f>
        <v/>
      </c>
      <c r="BT338" s="66" t="str">
        <f t="shared" si="486"/>
        <v/>
      </c>
      <c r="BU338" s="47" t="s">
        <v>0</v>
      </c>
      <c r="BV338" s="19" t="str">
        <f t="shared" si="487"/>
        <v/>
      </c>
      <c r="BW338" s="47" t="s">
        <v>0</v>
      </c>
      <c r="BX338" s="82" t="str">
        <f>IF(BK338&lt;&gt;"NEMA","",IF(IFERROR(MATCH(BJ338,BJ$12:BJ337,0),0)&lt;&gt;0,"",BJ338))</f>
        <v/>
      </c>
      <c r="BY338" s="47" t="s">
        <v>0</v>
      </c>
      <c r="BZ338" s="125"/>
      <c r="CA338" s="47" t="s">
        <v>0</v>
      </c>
      <c r="CB338" s="58" t="str">
        <f t="shared" si="488"/>
        <v/>
      </c>
      <c r="CC338" s="31" t="str">
        <f t="shared" si="489"/>
        <v/>
      </c>
      <c r="CD338" s="31" t="str">
        <f>IF(CC338="","",MAX(CD$12:CD337)+1)</f>
        <v/>
      </c>
      <c r="CE338" s="31" t="str">
        <f t="shared" si="445"/>
        <v/>
      </c>
      <c r="CF338" s="31" t="str">
        <f t="shared" si="490"/>
        <v/>
      </c>
      <c r="CG338" s="31" t="str">
        <f>IF(BZ338="","",MAX(CG$12:CG337)+1)</f>
        <v/>
      </c>
      <c r="CH338" s="31" t="str">
        <f t="shared" si="491"/>
        <v/>
      </c>
      <c r="CI338" s="66" t="str">
        <f t="shared" si="492"/>
        <v/>
      </c>
      <c r="CJ338" s="47" t="s">
        <v>0</v>
      </c>
      <c r="CK338" s="73" t="str">
        <f t="shared" si="446"/>
        <v/>
      </c>
      <c r="CL338" s="47"/>
      <c r="CM338" s="19" t="str">
        <f t="shared" si="493"/>
        <v/>
      </c>
      <c r="CN338" s="47" t="s">
        <v>0</v>
      </c>
      <c r="CO338" s="143" t="str">
        <f t="shared" si="494"/>
        <v/>
      </c>
      <c r="CP338" s="47" t="s">
        <v>0</v>
      </c>
      <c r="CQ338" s="58" t="str">
        <f t="shared" si="430"/>
        <v/>
      </c>
      <c r="CR338" s="73" t="str">
        <f t="shared" si="431"/>
        <v>0</v>
      </c>
      <c r="CS338" s="229" t="str">
        <f t="shared" si="447"/>
        <v/>
      </c>
      <c r="CT338" s="230" t="str">
        <f t="shared" si="432"/>
        <v/>
      </c>
      <c r="CU338" s="163" t="str">
        <f t="shared" si="448"/>
        <v/>
      </c>
      <c r="CV338" s="47" t="s">
        <v>0</v>
      </c>
      <c r="CW338" s="222" t="str">
        <f t="shared" si="495"/>
        <v xml:space="preserve">
</v>
      </c>
      <c r="CX338" s="223" t="str">
        <f t="shared" si="496"/>
        <v/>
      </c>
      <c r="CY338" s="47" t="s">
        <v>0</v>
      </c>
      <c r="CZ338" s="47"/>
      <c r="DA338" s="47"/>
      <c r="DB338" s="47"/>
      <c r="DC338" s="47" t="s">
        <v>0</v>
      </c>
      <c r="DD338" s="53" t="str">
        <f t="shared" si="424"/>
        <v/>
      </c>
      <c r="DE338" t="s">
        <v>0</v>
      </c>
      <c r="DF338" s="128" t="str">
        <f t="shared" si="425"/>
        <v>Ž</v>
      </c>
      <c r="DG338" t="s">
        <v>0</v>
      </c>
      <c r="DH338" s="52" t="str">
        <f t="shared" si="426"/>
        <v/>
      </c>
      <c r="DI338" s="66" t="str">
        <f t="shared" si="427"/>
        <v/>
      </c>
      <c r="DJ338" t="s">
        <v>0</v>
      </c>
      <c r="DK338" s="19" t="str">
        <f t="shared" si="428"/>
        <v/>
      </c>
      <c r="DL338" s="47" t="s">
        <v>0</v>
      </c>
      <c r="DM338" s="19" t="str">
        <f t="shared" si="429"/>
        <v/>
      </c>
      <c r="DN338" s="47" t="s">
        <v>0</v>
      </c>
      <c r="DO338" s="52" t="str">
        <f t="shared" si="449"/>
        <v/>
      </c>
      <c r="DP338" s="53" t="str">
        <f t="shared" si="450"/>
        <v/>
      </c>
      <c r="DQ338" s="47" t="s">
        <v>0</v>
      </c>
      <c r="DR338" s="52" t="str">
        <f t="shared" si="451"/>
        <v/>
      </c>
      <c r="DS338" s="53" t="str">
        <f t="shared" si="452"/>
        <v/>
      </c>
      <c r="DT338" s="47" t="s">
        <v>0</v>
      </c>
      <c r="DU338" s="52" t="str">
        <f t="shared" si="453"/>
        <v/>
      </c>
      <c r="DV338" s="53" t="str">
        <f t="shared" si="454"/>
        <v/>
      </c>
      <c r="DW338" s="47" t="s">
        <v>0</v>
      </c>
      <c r="DX338" s="58" t="str">
        <f t="shared" si="497"/>
        <v/>
      </c>
      <c r="DY338" s="53" t="str" cm="1">
        <f t="array" ref="DY338">IF(DX338&lt;&gt;"",INDEX(regNatjecatelj_id,DX338,0),IF(BD338&lt;&gt;"",BD338,""))</f>
        <v/>
      </c>
      <c r="DZ338" s="47" t="s">
        <v>0</v>
      </c>
      <c r="EA338" s="58" t="str">
        <f t="shared" si="455"/>
        <v/>
      </c>
      <c r="EB338" s="73" t="str">
        <f t="shared" si="456"/>
        <v/>
      </c>
      <c r="EC338" s="73" t="str">
        <f t="shared" si="457"/>
        <v/>
      </c>
      <c r="ED338" s="73" t="str">
        <f t="shared" si="458"/>
        <v/>
      </c>
      <c r="EE338" s="66" t="str">
        <f t="shared" si="459"/>
        <v/>
      </c>
      <c r="EF338" s="47" t="s">
        <v>0</v>
      </c>
      <c r="EG338" s="58" t="str">
        <f>IF(AL338="","",MAX(EG$12:EG337)+1)</f>
        <v/>
      </c>
      <c r="EH338" s="73" t="str">
        <f t="shared" si="460"/>
        <v/>
      </c>
      <c r="EI338" s="73" t="str">
        <f t="shared" si="498"/>
        <v/>
      </c>
      <c r="EJ338" s="73" t="str">
        <f t="shared" si="461"/>
        <v/>
      </c>
      <c r="EK338" s="73" t="str">
        <f t="shared" si="462"/>
        <v/>
      </c>
      <c r="EL338" s="73" t="str">
        <f t="shared" si="499"/>
        <v/>
      </c>
      <c r="EM338" s="73" t="str">
        <f t="shared" si="500"/>
        <v/>
      </c>
      <c r="EN338" s="73" t="str">
        <f t="shared" si="463"/>
        <v/>
      </c>
      <c r="EO338" s="73" t="str">
        <f t="shared" si="464"/>
        <v/>
      </c>
      <c r="EP338" s="73" t="str">
        <f t="shared" si="465"/>
        <v/>
      </c>
      <c r="EQ338" s="53" t="str">
        <f t="shared" si="466"/>
        <v/>
      </c>
      <c r="ER338" s="47" t="s">
        <v>0</v>
      </c>
      <c r="ES338" s="19" t="str">
        <f t="shared" si="501"/>
        <v/>
      </c>
      <c r="ET338" s="47" t="s">
        <v>0</v>
      </c>
      <c r="EU338" s="19" t="str">
        <f t="shared" si="502"/>
        <v/>
      </c>
      <c r="EV338" s="47" t="s">
        <v>0</v>
      </c>
      <c r="EW338" s="180" t="str">
        <f t="shared" si="467"/>
        <v/>
      </c>
      <c r="EX338" s="47" t="s">
        <v>0</v>
      </c>
    </row>
    <row r="339" spans="1:154" x14ac:dyDescent="0.25">
      <c r="A339" t="s">
        <v>0</v>
      </c>
      <c r="B339" s="52" t="str">
        <f>IF(csv!F329="","",csv!T329)</f>
        <v>Ž55</v>
      </c>
      <c r="C339" s="31" t="s">
        <v>0</v>
      </c>
      <c r="D339" s="31" t="str">
        <f>IF(csv!F329="","",csv!F329)</f>
        <v>Vacant</v>
      </c>
      <c r="E339" s="31" t="str">
        <f>IF(csv!E329="","",csv!E329)</f>
        <v/>
      </c>
      <c r="F339" s="31" t="s">
        <v>0</v>
      </c>
      <c r="G339" s="73" t="str">
        <f>IF(csv!M329="","",csv!M329)</f>
        <v/>
      </c>
      <c r="H339" s="73" t="str">
        <f>IF(csv!N329="","",csv!N329)</f>
        <v>0</v>
      </c>
      <c r="I339" s="31" t="s">
        <v>0</v>
      </c>
      <c r="J339" s="31" t="str">
        <f>IF(csv!P329="","",csv!P329)</f>
        <v/>
      </c>
      <c r="K339" s="31" t="str">
        <f>IF(csv!Q329="","",csv!Q329)</f>
        <v/>
      </c>
      <c r="L339" s="31" t="s">
        <v>0</v>
      </c>
      <c r="M339" s="66" t="str">
        <f>IF(csv!R329="","",csv!R329)</f>
        <v/>
      </c>
      <c r="N339" s="47" t="s">
        <v>0</v>
      </c>
      <c r="O339" s="246" t="str">
        <f t="shared" si="468"/>
        <v/>
      </c>
      <c r="P339" s="47"/>
      <c r="Q339" s="52" t="str">
        <f t="shared" si="469"/>
        <v>Ž55</v>
      </c>
      <c r="R339" s="73">
        <f>IF(Q339="","",IF(COUNTIF(Q$12:Q338,Q339)=0,R338+1,R338))</f>
        <v>21</v>
      </c>
      <c r="S339" s="73">
        <f t="shared" si="470"/>
        <v>115</v>
      </c>
      <c r="T339" s="73">
        <f t="shared" si="434"/>
        <v>24</v>
      </c>
      <c r="U339" s="66" t="str">
        <f t="shared" si="435"/>
        <v>Ž55</v>
      </c>
      <c r="V339" s="47" t="s">
        <v>0</v>
      </c>
      <c r="W339" s="222" t="str">
        <f t="shared" si="436"/>
        <v/>
      </c>
      <c r="X339" s="223" t="str">
        <f t="shared" si="437"/>
        <v/>
      </c>
      <c r="Y339" s="47" t="s">
        <v>0</v>
      </c>
      <c r="Z339" s="52" t="str">
        <f t="shared" si="471"/>
        <v/>
      </c>
      <c r="AA339" s="73" t="str">
        <f t="shared" si="438"/>
        <v/>
      </c>
      <c r="AB339" s="31" t="str">
        <f t="shared" si="472"/>
        <v/>
      </c>
      <c r="AC339" s="66" t="str">
        <f>IF(AB339="","",MAX(AC$12:AC338)+1)</f>
        <v/>
      </c>
      <c r="AD339" s="47" t="s">
        <v>0</v>
      </c>
      <c r="AE339" s="125"/>
      <c r="AF339" s="47" t="s">
        <v>0</v>
      </c>
      <c r="AG339" s="19" t="str">
        <f t="shared" si="473"/>
        <v/>
      </c>
      <c r="AH339" s="47" t="s">
        <v>0</v>
      </c>
      <c r="AI339" s="143" t="str">
        <f t="shared" si="474"/>
        <v/>
      </c>
      <c r="AJ339" s="47"/>
      <c r="AK339" s="52" t="str">
        <f t="shared" si="475"/>
        <v/>
      </c>
      <c r="AL339" s="31" t="str">
        <f t="shared" si="476"/>
        <v/>
      </c>
      <c r="AM339" s="73" t="str">
        <f t="shared" si="477"/>
        <v/>
      </c>
      <c r="AN339" s="73" t="str">
        <f t="shared" si="478"/>
        <v/>
      </c>
      <c r="AO339" s="31" t="str">
        <f t="shared" si="439"/>
        <v/>
      </c>
      <c r="AP339" s="66" t="str">
        <f t="shared" si="440"/>
        <v/>
      </c>
      <c r="AQ339" s="47" t="s">
        <v>0</v>
      </c>
      <c r="AR339" s="82" t="str">
        <f t="shared" si="479"/>
        <v/>
      </c>
      <c r="AS339" s="47" t="s">
        <v>0</v>
      </c>
      <c r="AT339" s="19" t="str">
        <f t="shared" si="480"/>
        <v/>
      </c>
      <c r="AU339" s="47" t="s">
        <v>0</v>
      </c>
      <c r="AV339" s="103"/>
      <c r="AW339" s="105"/>
      <c r="AX339" s="47" t="s">
        <v>0</v>
      </c>
      <c r="AY339" s="259" t="str">
        <f t="shared" si="423"/>
        <v/>
      </c>
      <c r="AZ339" s="47" t="s">
        <v>0</v>
      </c>
      <c r="BA339" s="52" t="str">
        <f t="shared" si="433"/>
        <v/>
      </c>
      <c r="BB339" s="73" t="str">
        <f>IF(AV339&amp;AW339="","",MAX(BB$12:BB338)+1)</f>
        <v/>
      </c>
      <c r="BC339" s="272" t="str">
        <f t="shared" si="441"/>
        <v/>
      </c>
      <c r="BD339" s="53" t="str">
        <f>IF(AND(AM339="NEMA",AN339="NEMA",OR(AV339&amp;AW339="",BC339="NEMA")),MAX(BD$12:BD338)+1,"")</f>
        <v/>
      </c>
      <c r="BE339" s="47" t="s">
        <v>0</v>
      </c>
      <c r="BF339" s="52" t="str">
        <f t="shared" si="481"/>
        <v/>
      </c>
      <c r="BG339" s="66" t="str">
        <f t="shared" si="482"/>
        <v/>
      </c>
      <c r="BH339" s="47" t="s">
        <v>0</v>
      </c>
      <c r="BI339" s="52" t="str">
        <f t="shared" si="442"/>
        <v/>
      </c>
      <c r="BJ339" s="31" t="str">
        <f t="shared" si="443"/>
        <v/>
      </c>
      <c r="BK339" s="73" t="str">
        <f t="shared" si="444"/>
        <v/>
      </c>
      <c r="BL339" s="31" t="str" cm="1">
        <f t="array" ref="BL339">IF(BK339="",""&amp;BJ339,IF(BK339="NEMA",BJ339,INDEX(regKlub_naziv,MATCH(INDEX(regKlub_alias_klubId,BK339),regKlub_id,0))))</f>
        <v/>
      </c>
      <c r="BM339" s="31" t="str" cm="1">
        <f t="array" ref="BM339">IFERROR(""&amp;INDEX(regNatjecatelj_klub,DV339),"")</f>
        <v/>
      </c>
      <c r="BN339" s="88" t="str">
        <f t="shared" si="483"/>
        <v/>
      </c>
      <c r="BO339" s="66" t="str">
        <f t="shared" si="484"/>
        <v/>
      </c>
      <c r="BP339" s="47" t="s">
        <v>0</v>
      </c>
      <c r="BQ339" s="52" t="str">
        <f>IF(X339&lt;&gt;"NEMA","",IF(IFERROR(MATCH(W339,W$12:W338,0),0)&lt;&gt;0,"",W339))</f>
        <v/>
      </c>
      <c r="BR339" s="73" t="str">
        <f t="shared" si="485"/>
        <v/>
      </c>
      <c r="BS339" s="31" t="str">
        <f>IF(OR(BR339="",BR339&lt;&gt;"NEMA"),"",MAX(BS$12:BS338)+1)</f>
        <v/>
      </c>
      <c r="BT339" s="66" t="str">
        <f t="shared" si="486"/>
        <v/>
      </c>
      <c r="BU339" s="47" t="s">
        <v>0</v>
      </c>
      <c r="BV339" s="19" t="str">
        <f t="shared" si="487"/>
        <v/>
      </c>
      <c r="BW339" s="47" t="s">
        <v>0</v>
      </c>
      <c r="BX339" s="82" t="str">
        <f>IF(BK339&lt;&gt;"NEMA","",IF(IFERROR(MATCH(BJ339,BJ$12:BJ338,0),0)&lt;&gt;0,"",BJ339))</f>
        <v/>
      </c>
      <c r="BY339" s="47" t="s">
        <v>0</v>
      </c>
      <c r="BZ339" s="125"/>
      <c r="CA339" s="47" t="s">
        <v>0</v>
      </c>
      <c r="CB339" s="58" t="str">
        <f t="shared" si="488"/>
        <v/>
      </c>
      <c r="CC339" s="31" t="str">
        <f t="shared" si="489"/>
        <v/>
      </c>
      <c r="CD339" s="31" t="str">
        <f>IF(CC339="","",MAX(CD$12:CD338)+1)</f>
        <v/>
      </c>
      <c r="CE339" s="31" t="str">
        <f t="shared" si="445"/>
        <v/>
      </c>
      <c r="CF339" s="31" t="str">
        <f t="shared" si="490"/>
        <v/>
      </c>
      <c r="CG339" s="31" t="str">
        <f>IF(BZ339="","",MAX(CG$12:CG338)+1)</f>
        <v/>
      </c>
      <c r="CH339" s="31" t="str">
        <f t="shared" si="491"/>
        <v/>
      </c>
      <c r="CI339" s="66" t="str">
        <f t="shared" si="492"/>
        <v/>
      </c>
      <c r="CJ339" s="47" t="s">
        <v>0</v>
      </c>
      <c r="CK339" s="73" t="str">
        <f t="shared" si="446"/>
        <v/>
      </c>
      <c r="CL339" s="47"/>
      <c r="CM339" s="19" t="str">
        <f t="shared" si="493"/>
        <v/>
      </c>
      <c r="CN339" s="47" t="s">
        <v>0</v>
      </c>
      <c r="CO339" s="143" t="str">
        <f t="shared" si="494"/>
        <v/>
      </c>
      <c r="CP339" s="47" t="s">
        <v>0</v>
      </c>
      <c r="CQ339" s="58" t="str">
        <f t="shared" si="430"/>
        <v/>
      </c>
      <c r="CR339" s="73" t="str">
        <f t="shared" si="431"/>
        <v>0</v>
      </c>
      <c r="CS339" s="229" t="str">
        <f t="shared" si="447"/>
        <v/>
      </c>
      <c r="CT339" s="230" t="str">
        <f t="shared" si="432"/>
        <v/>
      </c>
      <c r="CU339" s="163" t="str">
        <f t="shared" si="448"/>
        <v/>
      </c>
      <c r="CV339" s="47" t="s">
        <v>0</v>
      </c>
      <c r="CW339" s="222" t="str">
        <f t="shared" si="495"/>
        <v xml:space="preserve">
</v>
      </c>
      <c r="CX339" s="223" t="str">
        <f t="shared" si="496"/>
        <v/>
      </c>
      <c r="CY339" s="47" t="s">
        <v>0</v>
      </c>
      <c r="CZ339" s="47"/>
      <c r="DA339" s="47"/>
      <c r="DB339" s="47"/>
      <c r="DC339" s="47" t="s">
        <v>0</v>
      </c>
      <c r="DD339" s="53" t="str">
        <f t="shared" si="424"/>
        <v/>
      </c>
      <c r="DE339" t="s">
        <v>0</v>
      </c>
      <c r="DF339" s="128" t="str">
        <f t="shared" si="425"/>
        <v>Ž</v>
      </c>
      <c r="DG339" t="s">
        <v>0</v>
      </c>
      <c r="DH339" s="52" t="str">
        <f t="shared" si="426"/>
        <v/>
      </c>
      <c r="DI339" s="66" t="str">
        <f t="shared" si="427"/>
        <v/>
      </c>
      <c r="DJ339" t="s">
        <v>0</v>
      </c>
      <c r="DK339" s="19" t="str">
        <f t="shared" si="428"/>
        <v/>
      </c>
      <c r="DL339" s="47" t="s">
        <v>0</v>
      </c>
      <c r="DM339" s="19" t="str">
        <f t="shared" si="429"/>
        <v/>
      </c>
      <c r="DN339" s="47" t="s">
        <v>0</v>
      </c>
      <c r="DO339" s="52" t="str">
        <f t="shared" si="449"/>
        <v/>
      </c>
      <c r="DP339" s="53" t="str">
        <f t="shared" si="450"/>
        <v/>
      </c>
      <c r="DQ339" s="47" t="s">
        <v>0</v>
      </c>
      <c r="DR339" s="52" t="str">
        <f t="shared" si="451"/>
        <v/>
      </c>
      <c r="DS339" s="53" t="str">
        <f t="shared" si="452"/>
        <v/>
      </c>
      <c r="DT339" s="47" t="s">
        <v>0</v>
      </c>
      <c r="DU339" s="52" t="str">
        <f t="shared" si="453"/>
        <v/>
      </c>
      <c r="DV339" s="53" t="str">
        <f t="shared" si="454"/>
        <v/>
      </c>
      <c r="DW339" s="47" t="s">
        <v>0</v>
      </c>
      <c r="DX339" s="58" t="str">
        <f t="shared" si="497"/>
        <v/>
      </c>
      <c r="DY339" s="53" t="str" cm="1">
        <f t="array" ref="DY339">IF(DX339&lt;&gt;"",INDEX(regNatjecatelj_id,DX339,0),IF(BD339&lt;&gt;"",BD339,""))</f>
        <v/>
      </c>
      <c r="DZ339" s="47" t="s">
        <v>0</v>
      </c>
      <c r="EA339" s="58" t="str">
        <f t="shared" si="455"/>
        <v/>
      </c>
      <c r="EB339" s="73" t="str">
        <f t="shared" si="456"/>
        <v/>
      </c>
      <c r="EC339" s="73" t="str">
        <f t="shared" si="457"/>
        <v/>
      </c>
      <c r="ED339" s="73" t="str">
        <f t="shared" si="458"/>
        <v/>
      </c>
      <c r="EE339" s="66" t="str">
        <f t="shared" si="459"/>
        <v/>
      </c>
      <c r="EF339" s="47" t="s">
        <v>0</v>
      </c>
      <c r="EG339" s="58" t="str">
        <f>IF(AL339="","",MAX(EG$12:EG338)+1)</f>
        <v/>
      </c>
      <c r="EH339" s="73" t="str">
        <f t="shared" si="460"/>
        <v/>
      </c>
      <c r="EI339" s="73" t="str">
        <f t="shared" si="498"/>
        <v/>
      </c>
      <c r="EJ339" s="73" t="str">
        <f t="shared" si="461"/>
        <v/>
      </c>
      <c r="EK339" s="73" t="str">
        <f t="shared" si="462"/>
        <v/>
      </c>
      <c r="EL339" s="73" t="str">
        <f t="shared" si="499"/>
        <v/>
      </c>
      <c r="EM339" s="73" t="str">
        <f t="shared" si="500"/>
        <v/>
      </c>
      <c r="EN339" s="73" t="str">
        <f t="shared" si="463"/>
        <v/>
      </c>
      <c r="EO339" s="73" t="str">
        <f t="shared" si="464"/>
        <v/>
      </c>
      <c r="EP339" s="73" t="str">
        <f t="shared" si="465"/>
        <v/>
      </c>
      <c r="EQ339" s="53" t="str">
        <f t="shared" si="466"/>
        <v/>
      </c>
      <c r="ER339" s="47" t="s">
        <v>0</v>
      </c>
      <c r="ES339" s="19" t="str">
        <f t="shared" si="501"/>
        <v/>
      </c>
      <c r="ET339" s="47" t="s">
        <v>0</v>
      </c>
      <c r="EU339" s="19" t="str">
        <f t="shared" si="502"/>
        <v/>
      </c>
      <c r="EV339" s="47" t="s">
        <v>0</v>
      </c>
      <c r="EW339" s="180" t="str">
        <f t="shared" si="467"/>
        <v/>
      </c>
      <c r="EX339" s="47" t="s">
        <v>0</v>
      </c>
    </row>
    <row r="340" spans="1:154" x14ac:dyDescent="0.25">
      <c r="A340" t="s">
        <v>0</v>
      </c>
      <c r="B340" s="52" t="str">
        <f>IF(csv!F330="","",csv!T330)</f>
        <v>Ž65</v>
      </c>
      <c r="C340" s="31" t="s">
        <v>0</v>
      </c>
      <c r="D340" s="31" t="str">
        <f>IF(csv!F330="","",csv!F330)</f>
        <v>Željka</v>
      </c>
      <c r="E340" s="31" t="str">
        <f>IF(csv!E330="","",csv!E330)</f>
        <v>Vendler Čepelak</v>
      </c>
      <c r="F340" s="31" t="s">
        <v>0</v>
      </c>
      <c r="G340" s="73" t="str">
        <f>IF(csv!M330="","",csv!M330)</f>
        <v>53:15</v>
      </c>
      <c r="H340" s="73" t="str">
        <f>IF(csv!N330="","",csv!N330)</f>
        <v>0</v>
      </c>
      <c r="I340" s="31" t="s">
        <v>0</v>
      </c>
      <c r="J340" s="31" t="str">
        <f>IF(csv!P330="","",csv!P330)</f>
        <v>Maksimir</v>
      </c>
      <c r="K340" s="31" t="str">
        <f>IF(csv!Q330="","",csv!Q330)</f>
        <v>OK Maksimir</v>
      </c>
      <c r="L340" s="31" t="s">
        <v>0</v>
      </c>
      <c r="M340" s="66" t="str">
        <f>IF(csv!R330="","",csv!R330)</f>
        <v>CRO</v>
      </c>
      <c r="N340" s="47" t="s">
        <v>0</v>
      </c>
      <c r="O340" s="246" t="str">
        <f t="shared" si="468"/>
        <v>ok</v>
      </c>
      <c r="P340" s="47"/>
      <c r="Q340" s="52" t="str">
        <f t="shared" si="469"/>
        <v>Ž65</v>
      </c>
      <c r="R340" s="73">
        <f>IF(Q340="","",IF(COUNTIF(Q$12:Q339,Q340)=0,R339+1,R339))</f>
        <v>22</v>
      </c>
      <c r="S340" s="73">
        <f t="shared" si="470"/>
        <v>114</v>
      </c>
      <c r="T340" s="73">
        <f t="shared" si="434"/>
        <v>23</v>
      </c>
      <c r="U340" s="66" t="str">
        <f t="shared" si="435"/>
        <v>Ž65</v>
      </c>
      <c r="V340" s="47" t="s">
        <v>0</v>
      </c>
      <c r="W340" s="222" t="str">
        <f t="shared" si="436"/>
        <v>Ž65</v>
      </c>
      <c r="X340" s="223">
        <f t="shared" si="437"/>
        <v>44</v>
      </c>
      <c r="Y340" s="47" t="s">
        <v>0</v>
      </c>
      <c r="Z340" s="52" t="str">
        <f t="shared" si="471"/>
        <v>CRO</v>
      </c>
      <c r="AA340" s="73">
        <f t="shared" si="438"/>
        <v>1</v>
      </c>
      <c r="AB340" s="31" t="str">
        <f t="shared" si="472"/>
        <v/>
      </c>
      <c r="AC340" s="66" t="str">
        <f>IF(AB340="","",MAX(AC$12:AC339)+1)</f>
        <v/>
      </c>
      <c r="AD340" s="47" t="s">
        <v>0</v>
      </c>
      <c r="AE340" s="125"/>
      <c r="AF340" s="47" t="s">
        <v>0</v>
      </c>
      <c r="AG340" s="19" t="str">
        <f t="shared" si="473"/>
        <v/>
      </c>
      <c r="AH340" s="47" t="s">
        <v>0</v>
      </c>
      <c r="AI340" s="143" t="str">
        <f t="shared" si="474"/>
        <v>CRO</v>
      </c>
      <c r="AJ340" s="47"/>
      <c r="AK340" s="52" t="str">
        <f t="shared" si="475"/>
        <v>Željka</v>
      </c>
      <c r="AL340" s="31" t="str">
        <f t="shared" si="476"/>
        <v>Vendler Čepelak</v>
      </c>
      <c r="AM340" s="73">
        <f t="shared" si="477"/>
        <v>1878</v>
      </c>
      <c r="AN340" s="73" t="str">
        <f t="shared" si="478"/>
        <v/>
      </c>
      <c r="AO340" s="31" t="str">
        <f t="shared" si="439"/>
        <v>Željka</v>
      </c>
      <c r="AP340" s="66" t="str">
        <f t="shared" si="440"/>
        <v>Vendler Čepelak</v>
      </c>
      <c r="AQ340" s="47" t="s">
        <v>0</v>
      </c>
      <c r="AR340" s="82" t="str">
        <f t="shared" si="479"/>
        <v/>
      </c>
      <c r="AS340" s="47" t="s">
        <v>0</v>
      </c>
      <c r="AT340" s="19" t="str">
        <f t="shared" si="480"/>
        <v/>
      </c>
      <c r="AU340" s="47" t="s">
        <v>0</v>
      </c>
      <c r="AV340" s="103"/>
      <c r="AW340" s="105"/>
      <c r="AX340" s="47" t="s">
        <v>0</v>
      </c>
      <c r="AY340" s="259" t="str">
        <f t="shared" si="423"/>
        <v/>
      </c>
      <c r="AZ340" s="47" t="s">
        <v>0</v>
      </c>
      <c r="BA340" s="52" t="str">
        <f t="shared" si="433"/>
        <v/>
      </c>
      <c r="BB340" s="73" t="str">
        <f>IF(AV340&amp;AW340="","",MAX(BB$12:BB339)+1)</f>
        <v/>
      </c>
      <c r="BC340" s="272" t="str">
        <f t="shared" si="441"/>
        <v/>
      </c>
      <c r="BD340" s="53" t="str">
        <f>IF(AND(AM340="NEMA",AN340="NEMA",OR(AV340&amp;AW340="",BC340="NEMA")),MAX(BD$12:BD339)+1,"")</f>
        <v/>
      </c>
      <c r="BE340" s="47" t="s">
        <v>0</v>
      </c>
      <c r="BF340" s="52" t="str">
        <f t="shared" si="481"/>
        <v>Željka</v>
      </c>
      <c r="BG340" s="66" t="str">
        <f t="shared" si="482"/>
        <v>Vendler Čepelak</v>
      </c>
      <c r="BH340" s="47" t="s">
        <v>0</v>
      </c>
      <c r="BI340" s="52" t="str">
        <f t="shared" si="442"/>
        <v>Maksimir</v>
      </c>
      <c r="BJ340" s="31" t="str">
        <f t="shared" si="443"/>
        <v>OK Maksimir</v>
      </c>
      <c r="BK340" s="73" t="str">
        <f t="shared" si="444"/>
        <v/>
      </c>
      <c r="BL340" s="31" t="str" cm="1">
        <f t="array" ref="BL340">IF(BK340="",""&amp;BJ340,IF(BK340="NEMA",BJ340,INDEX(regKlub_naziv,MATCH(INDEX(regKlub_alias_klubId,BK340),regKlub_id,0))))</f>
        <v>OK Maksimir</v>
      </c>
      <c r="BM340" s="31" t="str" cm="1">
        <f t="array" ref="BM340">IFERROR(""&amp;INDEX(regNatjecatelj_klub,DV340),"")</f>
        <v>OK Maksimir</v>
      </c>
      <c r="BN340" s="88" t="str">
        <f t="shared" si="483"/>
        <v/>
      </c>
      <c r="BO340" s="66" t="str">
        <f t="shared" si="484"/>
        <v>OK Maksimir</v>
      </c>
      <c r="BP340" s="47" t="s">
        <v>0</v>
      </c>
      <c r="BQ340" s="52" t="str">
        <f>IF(X340&lt;&gt;"NEMA","",IF(IFERROR(MATCH(W340,W$12:W339,0),0)&lt;&gt;0,"",W340))</f>
        <v/>
      </c>
      <c r="BR340" s="73" t="str">
        <f t="shared" si="485"/>
        <v/>
      </c>
      <c r="BS340" s="31" t="str">
        <f>IF(OR(BR340="",BR340&lt;&gt;"NEMA"),"",MAX(BS$12:BS339)+1)</f>
        <v/>
      </c>
      <c r="BT340" s="66" t="str">
        <f t="shared" si="486"/>
        <v/>
      </c>
      <c r="BU340" s="47" t="s">
        <v>0</v>
      </c>
      <c r="BV340" s="19" t="str">
        <f t="shared" si="487"/>
        <v/>
      </c>
      <c r="BW340" s="47" t="s">
        <v>0</v>
      </c>
      <c r="BX340" s="82" t="str">
        <f>IF(BK340&lt;&gt;"NEMA","",IF(IFERROR(MATCH(BJ340,BJ$12:BJ339,0),0)&lt;&gt;0,"",BJ340))</f>
        <v/>
      </c>
      <c r="BY340" s="47" t="s">
        <v>0</v>
      </c>
      <c r="BZ340" s="125"/>
      <c r="CA340" s="47" t="s">
        <v>0</v>
      </c>
      <c r="CB340" s="58" t="str">
        <f t="shared" si="488"/>
        <v/>
      </c>
      <c r="CC340" s="31" t="str">
        <f t="shared" si="489"/>
        <v/>
      </c>
      <c r="CD340" s="31" t="str">
        <f>IF(CC340="","",MAX(CD$12:CD339)+1)</f>
        <v/>
      </c>
      <c r="CE340" s="31" t="str">
        <f t="shared" si="445"/>
        <v/>
      </c>
      <c r="CF340" s="31" t="str">
        <f t="shared" si="490"/>
        <v/>
      </c>
      <c r="CG340" s="31" t="str">
        <f>IF(BZ340="","",MAX(CG$12:CG339)+1)</f>
        <v/>
      </c>
      <c r="CH340" s="31" t="str">
        <f t="shared" si="491"/>
        <v/>
      </c>
      <c r="CI340" s="66" t="str">
        <f t="shared" si="492"/>
        <v/>
      </c>
      <c r="CJ340" s="47" t="s">
        <v>0</v>
      </c>
      <c r="CK340" s="73" t="str">
        <f t="shared" si="446"/>
        <v/>
      </c>
      <c r="CL340" s="47"/>
      <c r="CM340" s="19" t="str">
        <f t="shared" si="493"/>
        <v/>
      </c>
      <c r="CN340" s="47" t="s">
        <v>0</v>
      </c>
      <c r="CO340" s="143" t="str">
        <f t="shared" si="494"/>
        <v>OK Maksimir</v>
      </c>
      <c r="CP340" s="47" t="s">
        <v>0</v>
      </c>
      <c r="CQ340" s="58" t="str">
        <f t="shared" si="430"/>
        <v>53:15</v>
      </c>
      <c r="CR340" s="73" t="str">
        <f t="shared" si="431"/>
        <v>0</v>
      </c>
      <c r="CS340" s="229" t="str">
        <f t="shared" si="447"/>
        <v/>
      </c>
      <c r="CT340" s="230">
        <f t="shared" si="432"/>
        <v>3195</v>
      </c>
      <c r="CU340" s="163">
        <f t="shared" si="448"/>
        <v>1</v>
      </c>
      <c r="CV340" s="47" t="s">
        <v>0</v>
      </c>
      <c r="CW340" s="222" t="str">
        <f t="shared" si="495"/>
        <v xml:space="preserve">
</v>
      </c>
      <c r="CX340" s="223">
        <f t="shared" si="496"/>
        <v>6</v>
      </c>
      <c r="CY340" s="47" t="s">
        <v>0</v>
      </c>
      <c r="CZ340" s="47"/>
      <c r="DA340" s="47"/>
      <c r="DB340" s="47"/>
      <c r="DC340" s="47" t="s">
        <v>0</v>
      </c>
      <c r="DD340" s="53" t="str">
        <f t="shared" si="424"/>
        <v/>
      </c>
      <c r="DE340" t="s">
        <v>0</v>
      </c>
      <c r="DF340" s="128" t="str">
        <f t="shared" si="425"/>
        <v>Ž</v>
      </c>
      <c r="DG340" t="s">
        <v>0</v>
      </c>
      <c r="DH340" s="52" t="str">
        <f t="shared" si="426"/>
        <v/>
      </c>
      <c r="DI340" s="66" t="str">
        <f t="shared" si="427"/>
        <v/>
      </c>
      <c r="DJ340" t="s">
        <v>0</v>
      </c>
      <c r="DK340" s="19" t="str">
        <f t="shared" si="428"/>
        <v/>
      </c>
      <c r="DL340" s="47" t="s">
        <v>0</v>
      </c>
      <c r="DM340" s="19" t="str">
        <f t="shared" si="429"/>
        <v/>
      </c>
      <c r="DN340" s="47" t="s">
        <v>0</v>
      </c>
      <c r="DO340" s="52" t="str">
        <f t="shared" si="449"/>
        <v>Željka – Vendler Čepelak – OK Maksimir – Ž65</v>
      </c>
      <c r="DP340" s="53">
        <f t="shared" si="450"/>
        <v>390</v>
      </c>
      <c r="DQ340" s="47" t="s">
        <v>0</v>
      </c>
      <c r="DR340" s="52" t="str">
        <f t="shared" si="451"/>
        <v>Željka – Vendler Čepelak – OK Maksimir</v>
      </c>
      <c r="DS340" s="53">
        <f t="shared" si="452"/>
        <v>390</v>
      </c>
      <c r="DT340" s="47" t="s">
        <v>0</v>
      </c>
      <c r="DU340" s="52" t="str">
        <f t="shared" si="453"/>
        <v>Željka – Vendler Čepelak</v>
      </c>
      <c r="DV340" s="53">
        <f t="shared" si="454"/>
        <v>390</v>
      </c>
      <c r="DW340" s="47" t="s">
        <v>0</v>
      </c>
      <c r="DX340" s="58">
        <f t="shared" si="497"/>
        <v>390</v>
      </c>
      <c r="DY340" s="53" cm="1">
        <f t="array" ref="DY340">IF(DX340&lt;&gt;"",INDEX(regNatjecatelj_id,DX340,0),IF(BD340&lt;&gt;"",BD340,""))</f>
        <v>1878</v>
      </c>
      <c r="DZ340" s="47" t="s">
        <v>0</v>
      </c>
      <c r="EA340" s="58" t="str">
        <f t="shared" si="455"/>
        <v>imepre</v>
      </c>
      <c r="EB340" s="73" t="str">
        <f t="shared" si="456"/>
        <v>klu</v>
      </c>
      <c r="EC340" s="73" t="str">
        <f t="shared" si="457"/>
        <v>kat</v>
      </c>
      <c r="ED340" s="73" t="str">
        <f t="shared" si="458"/>
        <v/>
      </c>
      <c r="EE340" s="66" t="str">
        <f t="shared" si="459"/>
        <v>imepre-klu-kat</v>
      </c>
      <c r="EF340" s="47" t="s">
        <v>0</v>
      </c>
      <c r="EG340" s="58">
        <f>IF(AL340="","",MAX(EG$12:EG339)+1)</f>
        <v>484</v>
      </c>
      <c r="EH340" s="73">
        <f t="shared" si="460"/>
        <v>44</v>
      </c>
      <c r="EI340" s="73">
        <f t="shared" si="498"/>
        <v>1878</v>
      </c>
      <c r="EJ340" s="73">
        <f t="shared" si="461"/>
        <v>3195</v>
      </c>
      <c r="EK340" s="73">
        <f t="shared" si="462"/>
        <v>1</v>
      </c>
      <c r="EL340" s="73">
        <f t="shared" si="499"/>
        <v>1</v>
      </c>
      <c r="EM340" s="73">
        <f t="shared" si="500"/>
        <v>1</v>
      </c>
      <c r="EN340" s="73" t="str">
        <f t="shared" si="463"/>
        <v>0</v>
      </c>
      <c r="EO340" s="73" t="str">
        <f t="shared" si="464"/>
        <v/>
      </c>
      <c r="EP340" s="73" t="str">
        <f t="shared" si="465"/>
        <v/>
      </c>
      <c r="EQ340" s="53" t="str">
        <f t="shared" si="466"/>
        <v/>
      </c>
      <c r="ER340" s="47" t="s">
        <v>0</v>
      </c>
      <c r="ES340" s="19" t="str">
        <f t="shared" si="501"/>
        <v>INSERT INTO rezultat(id,stazakategorija_id,imeprezime_id,vrijeme_sec,status_id,registracija,uparivanje_id,originalstatus_id,imeprezimealias_id,klubalias_id,kategorijaalias_id) VALUES (484,44,1878,3195,1,1,1,0,Null,Null,Null);</v>
      </c>
      <c r="ET340" s="47" t="s">
        <v>0</v>
      </c>
      <c r="EU340" s="19" t="str">
        <f t="shared" si="502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0" s="47" t="s">
        <v>0</v>
      </c>
      <c r="EW340" s="180" t="str">
        <f t="shared" si="467"/>
        <v xml:space="preserve">
INSERT INTO rezultat(id,stazakategorija_id,imeprezime_id,vrijeme_sec,status_id,registracija,uparivanje_id,originalstatus_id,imeprezimealias_id,klubalias_id,kategorijaalias_id) VALUES (484,44,1878,3195,1,1,1,0,Null,Null,Null);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0" s="47" t="s">
        <v>0</v>
      </c>
    </row>
    <row r="341" spans="1:154" x14ac:dyDescent="0.25">
      <c r="A341" t="s">
        <v>0</v>
      </c>
      <c r="B341" s="52" t="str">
        <f>IF(csv!F331="","",csv!T331)</f>
        <v>Ž65</v>
      </c>
      <c r="C341" s="31" t="s">
        <v>0</v>
      </c>
      <c r="D341" s="31" t="str">
        <f>IF(csv!F331="","",csv!F331)</f>
        <v>Biserka</v>
      </c>
      <c r="E341" s="31" t="str">
        <f>IF(csv!E331="","",csv!E331)</f>
        <v>Horvat-Nikšić</v>
      </c>
      <c r="F341" s="31" t="s">
        <v>0</v>
      </c>
      <c r="G341" s="73" t="str">
        <f>IF(csv!M331="","",csv!M331)</f>
        <v>61:55</v>
      </c>
      <c r="H341" s="73" t="str">
        <f>IF(csv!N331="","",csv!N331)</f>
        <v>0</v>
      </c>
      <c r="I341" s="31" t="s">
        <v>0</v>
      </c>
      <c r="J341" s="31" t="str">
        <f>IF(csv!P331="","",csv!P331)</f>
        <v>Vihor</v>
      </c>
      <c r="K341" s="31" t="str">
        <f>IF(csv!Q331="","",csv!Q331)</f>
        <v>OK Vihor</v>
      </c>
      <c r="L341" s="31" t="s">
        <v>0</v>
      </c>
      <c r="M341" s="66" t="str">
        <f>IF(csv!R331="","",csv!R331)</f>
        <v>CRO</v>
      </c>
      <c r="N341" s="47" t="s">
        <v>0</v>
      </c>
      <c r="O341" s="246" t="str">
        <f t="shared" si="468"/>
        <v>ok</v>
      </c>
      <c r="P341" s="47"/>
      <c r="Q341" s="52" t="str">
        <f t="shared" si="469"/>
        <v>Ž65</v>
      </c>
      <c r="R341" s="73">
        <f>IF(Q341="","",IF(COUNTIF(Q$12:Q340,Q341)=0,R340+1,R340))</f>
        <v>22</v>
      </c>
      <c r="S341" s="73">
        <f t="shared" si="470"/>
        <v>114</v>
      </c>
      <c r="T341" s="73">
        <f t="shared" si="434"/>
        <v>23</v>
      </c>
      <c r="U341" s="66" t="str">
        <f t="shared" si="435"/>
        <v>Ž65</v>
      </c>
      <c r="V341" s="47" t="s">
        <v>0</v>
      </c>
      <c r="W341" s="222" t="str">
        <f t="shared" si="436"/>
        <v>Ž65</v>
      </c>
      <c r="X341" s="223">
        <f t="shared" si="437"/>
        <v>44</v>
      </c>
      <c r="Y341" s="47" t="s">
        <v>0</v>
      </c>
      <c r="Z341" s="52" t="str">
        <f t="shared" si="471"/>
        <v>CRO</v>
      </c>
      <c r="AA341" s="73">
        <f t="shared" si="438"/>
        <v>1</v>
      </c>
      <c r="AB341" s="31" t="str">
        <f t="shared" si="472"/>
        <v/>
      </c>
      <c r="AC341" s="66" t="str">
        <f>IF(AB341="","",MAX(AC$12:AC340)+1)</f>
        <v/>
      </c>
      <c r="AD341" s="47" t="s">
        <v>0</v>
      </c>
      <c r="AE341" s="125"/>
      <c r="AF341" s="47" t="s">
        <v>0</v>
      </c>
      <c r="AG341" s="19" t="str">
        <f t="shared" si="473"/>
        <v/>
      </c>
      <c r="AH341" s="47" t="s">
        <v>0</v>
      </c>
      <c r="AI341" s="143" t="str">
        <f t="shared" si="474"/>
        <v>CRO</v>
      </c>
      <c r="AJ341" s="47"/>
      <c r="AK341" s="52" t="str">
        <f t="shared" si="475"/>
        <v>Biserka</v>
      </c>
      <c r="AL341" s="31" t="str">
        <f t="shared" si="476"/>
        <v>Horvat-Nikšić</v>
      </c>
      <c r="AM341" s="73">
        <f t="shared" si="477"/>
        <v>1324</v>
      </c>
      <c r="AN341" s="73" t="str">
        <f t="shared" si="478"/>
        <v/>
      </c>
      <c r="AO341" s="31" t="str">
        <f t="shared" si="439"/>
        <v>Biserka</v>
      </c>
      <c r="AP341" s="66" t="str">
        <f t="shared" si="440"/>
        <v>Horvat-Nikšić</v>
      </c>
      <c r="AQ341" s="47" t="s">
        <v>0</v>
      </c>
      <c r="AR341" s="82" t="str">
        <f t="shared" si="479"/>
        <v/>
      </c>
      <c r="AS341" s="47" t="s">
        <v>0</v>
      </c>
      <c r="AT341" s="19" t="str">
        <f t="shared" si="480"/>
        <v/>
      </c>
      <c r="AU341" s="47" t="s">
        <v>0</v>
      </c>
      <c r="AV341" s="103"/>
      <c r="AW341" s="105"/>
      <c r="AX341" s="47" t="s">
        <v>0</v>
      </c>
      <c r="AY341" s="259" t="str">
        <f t="shared" ref="AY341:AY404" si="503">IF(AND(AV341="",AW341&lt;&gt;""),"FALI IME",IF(AND(AV341&lt;&gt;"",AW341=""),"FALI PREZIME",IF(OR(AM341="",AND(AM341="NEMA",AN341="NEMA"),AV341&amp;AW341=""),"","GREŠKA")))</f>
        <v/>
      </c>
      <c r="AZ341" s="47" t="s">
        <v>0</v>
      </c>
      <c r="BA341" s="52" t="str">
        <f t="shared" si="433"/>
        <v/>
      </c>
      <c r="BB341" s="73" t="str">
        <f>IF(AV341&amp;AW341="","",MAX(BB$12:BB340)+1)</f>
        <v/>
      </c>
      <c r="BC341" s="272" t="str">
        <f t="shared" si="441"/>
        <v/>
      </c>
      <c r="BD341" s="53" t="str">
        <f>IF(AND(AM341="NEMA",AN341="NEMA",OR(AV341&amp;AW341="",BC341="NEMA")),MAX(BD$12:BD340)+1,"")</f>
        <v/>
      </c>
      <c r="BE341" s="47" t="s">
        <v>0</v>
      </c>
      <c r="BF341" s="52" t="str">
        <f t="shared" si="481"/>
        <v>Biserka</v>
      </c>
      <c r="BG341" s="66" t="str">
        <f t="shared" si="482"/>
        <v>Horvat-Nikšić</v>
      </c>
      <c r="BH341" s="47" t="s">
        <v>0</v>
      </c>
      <c r="BI341" s="52" t="str">
        <f t="shared" si="442"/>
        <v>Vihor</v>
      </c>
      <c r="BJ341" s="31" t="str">
        <f t="shared" si="443"/>
        <v>OK Vihor</v>
      </c>
      <c r="BK341" s="73" t="str">
        <f t="shared" si="444"/>
        <v/>
      </c>
      <c r="BL341" s="31" t="str" cm="1">
        <f t="array" ref="BL341">IF(BK341="",""&amp;BJ341,IF(BK341="NEMA",BJ341,INDEX(regKlub_naziv,MATCH(INDEX(regKlub_alias_klubId,BK341),regKlub_id,0))))</f>
        <v>OK Vihor</v>
      </c>
      <c r="BM341" s="31" t="str" cm="1">
        <f t="array" ref="BM341">IFERROR(""&amp;INDEX(regNatjecatelj_klub,DV341),"")</f>
        <v>OK Vihor</v>
      </c>
      <c r="BN341" s="88" t="str">
        <f t="shared" si="483"/>
        <v/>
      </c>
      <c r="BO341" s="66" t="str">
        <f t="shared" si="484"/>
        <v>OK Vihor</v>
      </c>
      <c r="BP341" s="47" t="s">
        <v>0</v>
      </c>
      <c r="BQ341" s="52" t="str">
        <f>IF(X341&lt;&gt;"NEMA","",IF(IFERROR(MATCH(W341,W$12:W340,0),0)&lt;&gt;0,"",W341))</f>
        <v/>
      </c>
      <c r="BR341" s="73" t="str">
        <f t="shared" si="485"/>
        <v/>
      </c>
      <c r="BS341" s="31" t="str">
        <f>IF(OR(BR341="",BR341&lt;&gt;"NEMA"),"",MAX(BS$12:BS340)+1)</f>
        <v/>
      </c>
      <c r="BT341" s="66" t="str">
        <f t="shared" si="486"/>
        <v/>
      </c>
      <c r="BU341" s="47" t="s">
        <v>0</v>
      </c>
      <c r="BV341" s="19" t="str">
        <f t="shared" si="487"/>
        <v/>
      </c>
      <c r="BW341" s="47" t="s">
        <v>0</v>
      </c>
      <c r="BX341" s="82" t="str">
        <f>IF(BK341&lt;&gt;"NEMA","",IF(IFERROR(MATCH(BJ341,BJ$12:BJ340,0),0)&lt;&gt;0,"",BJ341))</f>
        <v/>
      </c>
      <c r="BY341" s="47" t="s">
        <v>0</v>
      </c>
      <c r="BZ341" s="125"/>
      <c r="CA341" s="47" t="s">
        <v>0</v>
      </c>
      <c r="CB341" s="58" t="str">
        <f t="shared" si="488"/>
        <v/>
      </c>
      <c r="CC341" s="31" t="str">
        <f t="shared" si="489"/>
        <v/>
      </c>
      <c r="CD341" s="31" t="str">
        <f>IF(CC341="","",MAX(CD$12:CD340)+1)</f>
        <v/>
      </c>
      <c r="CE341" s="31" t="str">
        <f t="shared" si="445"/>
        <v/>
      </c>
      <c r="CF341" s="31" t="str">
        <f t="shared" si="490"/>
        <v/>
      </c>
      <c r="CG341" s="31" t="str">
        <f>IF(BZ341="","",MAX(CG$12:CG340)+1)</f>
        <v/>
      </c>
      <c r="CH341" s="31" t="str">
        <f t="shared" si="491"/>
        <v/>
      </c>
      <c r="CI341" s="66" t="str">
        <f t="shared" si="492"/>
        <v/>
      </c>
      <c r="CJ341" s="47" t="s">
        <v>0</v>
      </c>
      <c r="CK341" s="73" t="str">
        <f t="shared" si="446"/>
        <v/>
      </c>
      <c r="CL341" s="47"/>
      <c r="CM341" s="19" t="str">
        <f t="shared" si="493"/>
        <v/>
      </c>
      <c r="CN341" s="47" t="s">
        <v>0</v>
      </c>
      <c r="CO341" s="143" t="str">
        <f t="shared" si="494"/>
        <v>OK Vihor</v>
      </c>
      <c r="CP341" s="47" t="s">
        <v>0</v>
      </c>
      <c r="CQ341" s="58" t="str">
        <f t="shared" si="430"/>
        <v>61:55</v>
      </c>
      <c r="CR341" s="73" t="str">
        <f t="shared" si="431"/>
        <v>0</v>
      </c>
      <c r="CS341" s="229" t="str">
        <f t="shared" si="447"/>
        <v/>
      </c>
      <c r="CT341" s="230">
        <f t="shared" si="432"/>
        <v>3715</v>
      </c>
      <c r="CU341" s="163">
        <f t="shared" si="448"/>
        <v>1</v>
      </c>
      <c r="CV341" s="47" t="s">
        <v>0</v>
      </c>
      <c r="CW341" s="222" t="str">
        <f t="shared" si="495"/>
        <v xml:space="preserve">
</v>
      </c>
      <c r="CX341" s="223">
        <f t="shared" si="496"/>
        <v>6</v>
      </c>
      <c r="CY341" s="47" t="s">
        <v>0</v>
      </c>
      <c r="CZ341" s="47"/>
      <c r="DA341" s="47"/>
      <c r="DB341" s="47"/>
      <c r="DC341" s="47" t="s">
        <v>0</v>
      </c>
      <c r="DD341" s="53" t="str">
        <f t="shared" ref="DD341:DD404" si="504">IF(BD341="","",IF(DF341="O",1,""))</f>
        <v/>
      </c>
      <c r="DE341" t="s">
        <v>0</v>
      </c>
      <c r="DF341" s="128" t="str">
        <f t="shared" ref="DF341:DF404" si="505">IF(Q341="","",LEFT(INDEX(regKategorija_oznaka,MATCH(S341,regKategorija_id,0)),1))</f>
        <v>Ž</v>
      </c>
      <c r="DG341" t="s">
        <v>0</v>
      </c>
      <c r="DH341" s="52" t="str">
        <f t="shared" ref="DH341:DH404" si="506">IF(BD341="","",IF(M341&lt;&gt;"CRO","","INSERT INTO osoba (id,reg_broj,oib,spol_id,dat_rodjenja) VALUES ("&amp;BD341&amp;",(SELECT max(os.reg_broj)+1 FROM osoba AS os),Null,'"&amp;DF341&amp;"',Null); INSERT INTO osoba_log (id,reg_broj,oib,spol_id,dat_rodjenja,dnevnik_id) SELECT id,reg_broj,oib,spol_id,dat_rodjenja,"&amp;data_dnevnik_id&amp;" FROM osoba WHERE id = "&amp;BD341&amp;";"))</f>
        <v/>
      </c>
      <c r="DI341" s="66" t="str">
        <f t="shared" ref="DI341:DI404" si="507">IF(BD341="","","INSERT INTO imeprezime (id,osoba_id,rbr,ime,prezime,klub_id,identitet_id,sintaksa_id,info,aktivno,dnevnik_id) VALUES ("&amp;BD341&amp;","&amp;IF(DH341="","Null",BD341)&amp;",1,'"&amp;IF(AV341&lt;&gt;"",AV341,AK341)&amp;"','"&amp;IF(AW341&lt;&gt;"",AW341,AL341)&amp;"',(SELECT id FROM klub WHERE naziv = '"&amp;CO341&amp;"'),Null,1,'',1,"&amp;data_dnevnik_id&amp;");")</f>
        <v/>
      </c>
      <c r="DJ341" t="s">
        <v>0</v>
      </c>
      <c r="DK341" s="19" t="str">
        <f t="shared" ref="DK341:DK404" si="508">IF(DH341="",DI341,DH341&amp;" "&amp;DI341)</f>
        <v/>
      </c>
      <c r="DL341" s="47" t="s">
        <v>0</v>
      </c>
      <c r="DM341" s="19" t="str">
        <f t="shared" ref="DM341:DM404" si="509">IF(BA341="","","INSERT INTO imeprezime_alias(id,alias,imeprezime_id) VALUES ("&amp;BB341&amp;",'"&amp;BA341&amp;"',"&amp;IF(BC341="NEMA",BD341,BC341)&amp;");")</f>
        <v/>
      </c>
      <c r="DN341" s="47" t="s">
        <v>0</v>
      </c>
      <c r="DO341" s="52" t="str">
        <f t="shared" si="449"/>
        <v>Biserka – Horvat-Nikšić – OK Vihor – Ž65</v>
      </c>
      <c r="DP341" s="53">
        <f t="shared" si="450"/>
        <v>701</v>
      </c>
      <c r="DQ341" s="47" t="s">
        <v>0</v>
      </c>
      <c r="DR341" s="52" t="str">
        <f t="shared" si="451"/>
        <v>Biserka – Horvat-Nikšić – OK Vihor</v>
      </c>
      <c r="DS341" s="53">
        <f t="shared" si="452"/>
        <v>701</v>
      </c>
      <c r="DT341" s="47" t="s">
        <v>0</v>
      </c>
      <c r="DU341" s="52" t="str">
        <f t="shared" si="453"/>
        <v>Biserka – Horvat-Nikšić</v>
      </c>
      <c r="DV341" s="53">
        <f t="shared" si="454"/>
        <v>701</v>
      </c>
      <c r="DW341" s="47" t="s">
        <v>0</v>
      </c>
      <c r="DX341" s="58">
        <f t="shared" si="497"/>
        <v>701</v>
      </c>
      <c r="DY341" s="53" cm="1">
        <f t="array" ref="DY341">IF(DX341&lt;&gt;"",INDEX(regNatjecatelj_id,DX341,0),IF(BD341&lt;&gt;"",BD341,""))</f>
        <v>1324</v>
      </c>
      <c r="DZ341" s="47" t="s">
        <v>0</v>
      </c>
      <c r="EA341" s="58" t="str">
        <f t="shared" si="455"/>
        <v>imepre</v>
      </c>
      <c r="EB341" s="73" t="str">
        <f t="shared" si="456"/>
        <v>klu</v>
      </c>
      <c r="EC341" s="73" t="str">
        <f t="shared" si="457"/>
        <v>kat</v>
      </c>
      <c r="ED341" s="73" t="str">
        <f t="shared" si="458"/>
        <v/>
      </c>
      <c r="EE341" s="66" t="str">
        <f t="shared" si="459"/>
        <v>imepre-klu-kat</v>
      </c>
      <c r="EF341" s="47" t="s">
        <v>0</v>
      </c>
      <c r="EG341" s="58">
        <f>IF(AL341="","",MAX(EG$12:EG340)+1)</f>
        <v>485</v>
      </c>
      <c r="EH341" s="73">
        <f t="shared" si="460"/>
        <v>44</v>
      </c>
      <c r="EI341" s="73">
        <f t="shared" si="498"/>
        <v>1324</v>
      </c>
      <c r="EJ341" s="73">
        <f t="shared" si="461"/>
        <v>3715</v>
      </c>
      <c r="EK341" s="73">
        <f t="shared" si="462"/>
        <v>1</v>
      </c>
      <c r="EL341" s="73">
        <f t="shared" si="499"/>
        <v>1</v>
      </c>
      <c r="EM341" s="73">
        <f t="shared" si="500"/>
        <v>1</v>
      </c>
      <c r="EN341" s="73" t="str">
        <f t="shared" si="463"/>
        <v>0</v>
      </c>
      <c r="EO341" s="73" t="str">
        <f t="shared" si="464"/>
        <v/>
      </c>
      <c r="EP341" s="73" t="str">
        <f t="shared" si="465"/>
        <v/>
      </c>
      <c r="EQ341" s="53" t="str">
        <f t="shared" si="466"/>
        <v/>
      </c>
      <c r="ER341" s="47" t="s">
        <v>0</v>
      </c>
      <c r="ES341" s="19" t="str">
        <f t="shared" si="501"/>
        <v>INSERT INTO rezultat(id,stazakategorija_id,imeprezime_id,vrijeme_sec,status_id,registracija,uparivanje_id,originalstatus_id,imeprezimealias_id,klubalias_id,kategorijaalias_id) VALUES (485,44,1324,3715,1,1,1,0,Null,Null,Null);</v>
      </c>
      <c r="ET341" s="47" t="s">
        <v>0</v>
      </c>
      <c r="EU341" s="19" t="str">
        <f t="shared" si="502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1" s="47" t="s">
        <v>0</v>
      </c>
      <c r="EW341" s="180" t="str">
        <f t="shared" si="467"/>
        <v xml:space="preserve">
INSERT INTO rezultat(id,stazakategorija_id,imeprezime_id,vrijeme_sec,status_id,registracija,uparivanje_id,originalstatus_id,imeprezimealias_id,klubalias_id,kategorijaalias_id) VALUES (485,44,1324,3715,1,1,1,0,Null,Null,Null);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1" s="47" t="s">
        <v>0</v>
      </c>
    </row>
    <row r="342" spans="1:154" x14ac:dyDescent="0.25">
      <c r="A342" t="s">
        <v>0</v>
      </c>
      <c r="B342" s="52" t="str">
        <f>IF(csv!F332="","",csv!T332)</f>
        <v>Ž65</v>
      </c>
      <c r="C342" s="31" t="s">
        <v>0</v>
      </c>
      <c r="D342" s="31" t="str">
        <f>IF(csv!F332="","",csv!F332)</f>
        <v>Vera</v>
      </c>
      <c r="E342" s="31" t="str">
        <f>IF(csv!E332="","",csv!E332)</f>
        <v>Franc</v>
      </c>
      <c r="F342" s="31" t="s">
        <v>0</v>
      </c>
      <c r="G342" s="73" t="str">
        <f>IF(csv!M332="","",csv!M332)</f>
        <v>69:14</v>
      </c>
      <c r="H342" s="73" t="str">
        <f>IF(csv!N332="","",csv!N332)</f>
        <v>0</v>
      </c>
      <c r="I342" s="31" t="s">
        <v>0</v>
      </c>
      <c r="J342" s="31" t="str">
        <f>IF(csv!P332="","",csv!P332)</f>
        <v>KAP</v>
      </c>
      <c r="K342" s="31" t="str">
        <f>IF(csv!Q332="","",csv!Q332)</f>
        <v>OK Kapela</v>
      </c>
      <c r="L342" s="31" t="s">
        <v>0</v>
      </c>
      <c r="M342" s="66" t="str">
        <f>IF(csv!R332="","",csv!R332)</f>
        <v>CRO</v>
      </c>
      <c r="N342" s="47" t="s">
        <v>0</v>
      </c>
      <c r="O342" s="246" t="str">
        <f t="shared" si="468"/>
        <v>ok</v>
      </c>
      <c r="P342" s="47"/>
      <c r="Q342" s="52" t="str">
        <f t="shared" si="469"/>
        <v>Ž65</v>
      </c>
      <c r="R342" s="73">
        <f>IF(Q342="","",IF(COUNTIF(Q$12:Q341,Q342)=0,R341+1,R341))</f>
        <v>22</v>
      </c>
      <c r="S342" s="73">
        <f t="shared" si="470"/>
        <v>114</v>
      </c>
      <c r="T342" s="73">
        <f t="shared" si="434"/>
        <v>23</v>
      </c>
      <c r="U342" s="66" t="str">
        <f t="shared" si="435"/>
        <v>Ž65</v>
      </c>
      <c r="V342" s="47" t="s">
        <v>0</v>
      </c>
      <c r="W342" s="222" t="str">
        <f t="shared" si="436"/>
        <v>Ž65</v>
      </c>
      <c r="X342" s="223">
        <f t="shared" si="437"/>
        <v>44</v>
      </c>
      <c r="Y342" s="47" t="s">
        <v>0</v>
      </c>
      <c r="Z342" s="52" t="str">
        <f t="shared" si="471"/>
        <v>CRO</v>
      </c>
      <c r="AA342" s="73">
        <f t="shared" si="438"/>
        <v>1</v>
      </c>
      <c r="AB342" s="31" t="str">
        <f t="shared" si="472"/>
        <v/>
      </c>
      <c r="AC342" s="66" t="str">
        <f>IF(AB342="","",MAX(AC$12:AC341)+1)</f>
        <v/>
      </c>
      <c r="AD342" s="47" t="s">
        <v>0</v>
      </c>
      <c r="AE342" s="125"/>
      <c r="AF342" s="47" t="s">
        <v>0</v>
      </c>
      <c r="AG342" s="19" t="str">
        <f t="shared" si="473"/>
        <v/>
      </c>
      <c r="AH342" s="47" t="s">
        <v>0</v>
      </c>
      <c r="AI342" s="143" t="str">
        <f t="shared" si="474"/>
        <v>CRO</v>
      </c>
      <c r="AJ342" s="47"/>
      <c r="AK342" s="52" t="str">
        <f t="shared" si="475"/>
        <v>Vera</v>
      </c>
      <c r="AL342" s="31" t="str">
        <f t="shared" si="476"/>
        <v>Franc</v>
      </c>
      <c r="AM342" s="73">
        <f t="shared" si="477"/>
        <v>1279</v>
      </c>
      <c r="AN342" s="73" t="str">
        <f t="shared" si="478"/>
        <v/>
      </c>
      <c r="AO342" s="31" t="str">
        <f t="shared" si="439"/>
        <v>Vera</v>
      </c>
      <c r="AP342" s="66" t="str">
        <f t="shared" si="440"/>
        <v>Franc</v>
      </c>
      <c r="AQ342" s="47" t="s">
        <v>0</v>
      </c>
      <c r="AR342" s="82" t="str">
        <f t="shared" si="479"/>
        <v/>
      </c>
      <c r="AS342" s="47" t="s">
        <v>0</v>
      </c>
      <c r="AT342" s="19" t="str">
        <f t="shared" si="480"/>
        <v/>
      </c>
      <c r="AU342" s="47" t="s">
        <v>0</v>
      </c>
      <c r="AV342" s="103"/>
      <c r="AW342" s="105"/>
      <c r="AX342" s="47" t="s">
        <v>0</v>
      </c>
      <c r="AY342" s="259" t="str">
        <f t="shared" si="503"/>
        <v/>
      </c>
      <c r="AZ342" s="47" t="s">
        <v>0</v>
      </c>
      <c r="BA342" s="52" t="str">
        <f t="shared" si="433"/>
        <v/>
      </c>
      <c r="BB342" s="73" t="str">
        <f>IF(AV342&amp;AW342="","",MAX(BB$12:BB341)+1)</f>
        <v/>
      </c>
      <c r="BC342" s="272" t="str">
        <f t="shared" si="441"/>
        <v/>
      </c>
      <c r="BD342" s="53" t="str">
        <f>IF(AND(AM342="NEMA",AN342="NEMA",OR(AV342&amp;AW342="",BC342="NEMA")),MAX(BD$12:BD341)+1,"")</f>
        <v/>
      </c>
      <c r="BE342" s="47" t="s">
        <v>0</v>
      </c>
      <c r="BF342" s="52" t="str">
        <f t="shared" si="481"/>
        <v>Vera</v>
      </c>
      <c r="BG342" s="66" t="str">
        <f t="shared" si="482"/>
        <v>Franc</v>
      </c>
      <c r="BH342" s="47" t="s">
        <v>0</v>
      </c>
      <c r="BI342" s="52" t="str">
        <f t="shared" si="442"/>
        <v>KAP</v>
      </c>
      <c r="BJ342" s="31" t="str">
        <f t="shared" si="443"/>
        <v>OK Kapela</v>
      </c>
      <c r="BK342" s="73" t="str">
        <f t="shared" si="444"/>
        <v/>
      </c>
      <c r="BL342" s="31" t="str" cm="1">
        <f t="array" ref="BL342">IF(BK342="",""&amp;BJ342,IF(BK342="NEMA",BJ342,INDEX(regKlub_naziv,MATCH(INDEX(regKlub_alias_klubId,BK342),regKlub_id,0))))</f>
        <v>OK Kapela</v>
      </c>
      <c r="BM342" s="31" t="str" cm="1">
        <f t="array" ref="BM342">IFERROR(""&amp;INDEX(regNatjecatelj_klub,DV342),"")</f>
        <v>OK Kapela</v>
      </c>
      <c r="BN342" s="88" t="str">
        <f t="shared" si="483"/>
        <v/>
      </c>
      <c r="BO342" s="66" t="str">
        <f t="shared" si="484"/>
        <v>OK Kapela</v>
      </c>
      <c r="BP342" s="47" t="s">
        <v>0</v>
      </c>
      <c r="BQ342" s="52" t="str">
        <f>IF(X342&lt;&gt;"NEMA","",IF(IFERROR(MATCH(W342,W$12:W341,0),0)&lt;&gt;0,"",W342))</f>
        <v/>
      </c>
      <c r="BR342" s="73" t="str">
        <f t="shared" si="485"/>
        <v/>
      </c>
      <c r="BS342" s="31" t="str">
        <f>IF(OR(BR342="",BR342&lt;&gt;"NEMA"),"",MAX(BS$12:BS341)+1)</f>
        <v/>
      </c>
      <c r="BT342" s="66" t="str">
        <f t="shared" si="486"/>
        <v/>
      </c>
      <c r="BU342" s="47" t="s">
        <v>0</v>
      </c>
      <c r="BV342" s="19" t="str">
        <f t="shared" si="487"/>
        <v/>
      </c>
      <c r="BW342" s="47" t="s">
        <v>0</v>
      </c>
      <c r="BX342" s="82" t="str">
        <f>IF(BK342&lt;&gt;"NEMA","",IF(IFERROR(MATCH(BJ342,BJ$12:BJ341,0),0)&lt;&gt;0,"",BJ342))</f>
        <v/>
      </c>
      <c r="BY342" s="47" t="s">
        <v>0</v>
      </c>
      <c r="BZ342" s="125"/>
      <c r="CA342" s="47" t="s">
        <v>0</v>
      </c>
      <c r="CB342" s="58" t="str">
        <f t="shared" si="488"/>
        <v/>
      </c>
      <c r="CC342" s="31" t="str">
        <f t="shared" si="489"/>
        <v/>
      </c>
      <c r="CD342" s="31" t="str">
        <f>IF(CC342="","",MAX(CD$12:CD341)+1)</f>
        <v/>
      </c>
      <c r="CE342" s="31" t="str">
        <f t="shared" si="445"/>
        <v/>
      </c>
      <c r="CF342" s="31" t="str">
        <f t="shared" si="490"/>
        <v/>
      </c>
      <c r="CG342" s="31" t="str">
        <f>IF(BZ342="","",MAX(CG$12:CG341)+1)</f>
        <v/>
      </c>
      <c r="CH342" s="31" t="str">
        <f t="shared" si="491"/>
        <v/>
      </c>
      <c r="CI342" s="66" t="str">
        <f t="shared" si="492"/>
        <v/>
      </c>
      <c r="CJ342" s="47" t="s">
        <v>0</v>
      </c>
      <c r="CK342" s="73" t="str">
        <f t="shared" si="446"/>
        <v/>
      </c>
      <c r="CL342" s="47"/>
      <c r="CM342" s="19" t="str">
        <f t="shared" si="493"/>
        <v/>
      </c>
      <c r="CN342" s="47" t="s">
        <v>0</v>
      </c>
      <c r="CO342" s="143" t="str">
        <f t="shared" si="494"/>
        <v>OK Kapela</v>
      </c>
      <c r="CP342" s="47" t="s">
        <v>0</v>
      </c>
      <c r="CQ342" s="58" t="str">
        <f t="shared" si="430"/>
        <v>69:14</v>
      </c>
      <c r="CR342" s="73" t="str">
        <f t="shared" si="431"/>
        <v>0</v>
      </c>
      <c r="CS342" s="229" t="str">
        <f t="shared" si="447"/>
        <v/>
      </c>
      <c r="CT342" s="230">
        <f t="shared" si="432"/>
        <v>4154</v>
      </c>
      <c r="CU342" s="163">
        <f t="shared" si="448"/>
        <v>1</v>
      </c>
      <c r="CV342" s="47" t="s">
        <v>0</v>
      </c>
      <c r="CW342" s="222" t="str">
        <f t="shared" si="495"/>
        <v xml:space="preserve">
</v>
      </c>
      <c r="CX342" s="223">
        <f t="shared" si="496"/>
        <v>6</v>
      </c>
      <c r="CY342" s="47" t="s">
        <v>0</v>
      </c>
      <c r="CZ342" s="47"/>
      <c r="DA342" s="47"/>
      <c r="DB342" s="47"/>
      <c r="DC342" s="47" t="s">
        <v>0</v>
      </c>
      <c r="DD342" s="53" t="str">
        <f t="shared" si="504"/>
        <v/>
      </c>
      <c r="DE342" t="s">
        <v>0</v>
      </c>
      <c r="DF342" s="128" t="str">
        <f t="shared" si="505"/>
        <v>Ž</v>
      </c>
      <c r="DG342" t="s">
        <v>0</v>
      </c>
      <c r="DH342" s="52" t="str">
        <f t="shared" si="506"/>
        <v/>
      </c>
      <c r="DI342" s="66" t="str">
        <f t="shared" si="507"/>
        <v/>
      </c>
      <c r="DJ342" t="s">
        <v>0</v>
      </c>
      <c r="DK342" s="19" t="str">
        <f t="shared" si="508"/>
        <v/>
      </c>
      <c r="DL342" s="47" t="s">
        <v>0</v>
      </c>
      <c r="DM342" s="19" t="str">
        <f t="shared" si="509"/>
        <v/>
      </c>
      <c r="DN342" s="47" t="s">
        <v>0</v>
      </c>
      <c r="DO342" s="52" t="str">
        <f t="shared" si="449"/>
        <v>Vera – Franc – OK Kapela – Ž65</v>
      </c>
      <c r="DP342" s="53">
        <f t="shared" si="450"/>
        <v>238</v>
      </c>
      <c r="DQ342" s="47" t="s">
        <v>0</v>
      </c>
      <c r="DR342" s="52" t="str">
        <f t="shared" si="451"/>
        <v>Vera – Franc – OK Kapela</v>
      </c>
      <c r="DS342" s="53">
        <f t="shared" si="452"/>
        <v>238</v>
      </c>
      <c r="DT342" s="47" t="s">
        <v>0</v>
      </c>
      <c r="DU342" s="52" t="str">
        <f t="shared" si="453"/>
        <v>Vera – Franc</v>
      </c>
      <c r="DV342" s="53">
        <f t="shared" si="454"/>
        <v>238</v>
      </c>
      <c r="DW342" s="47" t="s">
        <v>0</v>
      </c>
      <c r="DX342" s="58">
        <f t="shared" si="497"/>
        <v>238</v>
      </c>
      <c r="DY342" s="53" cm="1">
        <f t="array" ref="DY342">IF(DX342&lt;&gt;"",INDEX(regNatjecatelj_id,DX342,0),IF(BD342&lt;&gt;"",BD342,""))</f>
        <v>1279</v>
      </c>
      <c r="DZ342" s="47" t="s">
        <v>0</v>
      </c>
      <c r="EA342" s="58" t="str">
        <f t="shared" si="455"/>
        <v>imepre</v>
      </c>
      <c r="EB342" s="73" t="str">
        <f t="shared" si="456"/>
        <v>klu</v>
      </c>
      <c r="EC342" s="73" t="str">
        <f t="shared" si="457"/>
        <v>kat</v>
      </c>
      <c r="ED342" s="73" t="str">
        <f t="shared" si="458"/>
        <v/>
      </c>
      <c r="EE342" s="66" t="str">
        <f t="shared" si="459"/>
        <v>imepre-klu-kat</v>
      </c>
      <c r="EF342" s="47" t="s">
        <v>0</v>
      </c>
      <c r="EG342" s="58">
        <f>IF(AL342="","",MAX(EG$12:EG341)+1)</f>
        <v>486</v>
      </c>
      <c r="EH342" s="73">
        <f t="shared" si="460"/>
        <v>44</v>
      </c>
      <c r="EI342" s="73">
        <f t="shared" si="498"/>
        <v>1279</v>
      </c>
      <c r="EJ342" s="73">
        <f t="shared" si="461"/>
        <v>4154</v>
      </c>
      <c r="EK342" s="73">
        <f t="shared" si="462"/>
        <v>1</v>
      </c>
      <c r="EL342" s="73">
        <f t="shared" si="499"/>
        <v>1</v>
      </c>
      <c r="EM342" s="73">
        <f t="shared" si="500"/>
        <v>1</v>
      </c>
      <c r="EN342" s="73" t="str">
        <f t="shared" si="463"/>
        <v>0</v>
      </c>
      <c r="EO342" s="73" t="str">
        <f t="shared" si="464"/>
        <v/>
      </c>
      <c r="EP342" s="73" t="str">
        <f t="shared" si="465"/>
        <v/>
      </c>
      <c r="EQ342" s="53" t="str">
        <f t="shared" si="466"/>
        <v/>
      </c>
      <c r="ER342" s="47" t="s">
        <v>0</v>
      </c>
      <c r="ES342" s="19" t="str">
        <f t="shared" si="501"/>
        <v>INSERT INTO rezultat(id,stazakategorija_id,imeprezime_id,vrijeme_sec,status_id,registracija,uparivanje_id,originalstatus_id,imeprezimealias_id,klubalias_id,kategorijaalias_id) VALUES (486,44,1279,4154,1,1,1,0,Null,Null,Null);</v>
      </c>
      <c r="ET342" s="47" t="s">
        <v>0</v>
      </c>
      <c r="EU342" s="19" t="str">
        <f t="shared" si="502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2" s="47" t="s">
        <v>0</v>
      </c>
      <c r="EW342" s="180" t="str">
        <f t="shared" si="467"/>
        <v xml:space="preserve">
INSERT INTO rezultat(id,stazakategorija_id,imeprezime_id,vrijeme_sec,status_id,registracija,uparivanje_id,originalstatus_id,imeprezimealias_id,klubalias_id,kategorijaalias_id) VALUES (486,44,1279,4154,1,1,1,0,Null,Null,Null);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2" s="47" t="s">
        <v>0</v>
      </c>
    </row>
    <row r="343" spans="1:154" x14ac:dyDescent="0.25">
      <c r="A343" t="s">
        <v>0</v>
      </c>
      <c r="B343" s="52" t="str">
        <f>IF(csv!F333="","",csv!T333)</f>
        <v>Ž65</v>
      </c>
      <c r="C343" s="31" t="s">
        <v>0</v>
      </c>
      <c r="D343" s="31" t="str">
        <f>IF(csv!F333="","",csv!F333)</f>
        <v>Vacant</v>
      </c>
      <c r="E343" s="31" t="str">
        <f>IF(csv!E333="","",csv!E333)</f>
        <v/>
      </c>
      <c r="F343" s="31" t="s">
        <v>0</v>
      </c>
      <c r="G343" s="73" t="str">
        <f>IF(csv!M333="","",csv!M333)</f>
        <v/>
      </c>
      <c r="H343" s="73" t="str">
        <f>IF(csv!N333="","",csv!N333)</f>
        <v>0</v>
      </c>
      <c r="I343" s="31" t="s">
        <v>0</v>
      </c>
      <c r="J343" s="31" t="str">
        <f>IF(csv!P333="","",csv!P333)</f>
        <v/>
      </c>
      <c r="K343" s="31" t="str">
        <f>IF(csv!Q333="","",csv!Q333)</f>
        <v/>
      </c>
      <c r="L343" s="31" t="s">
        <v>0</v>
      </c>
      <c r="M343" s="66" t="str">
        <f>IF(csv!R333="","",csv!R333)</f>
        <v/>
      </c>
      <c r="N343" s="47" t="s">
        <v>0</v>
      </c>
      <c r="O343" s="246" t="str">
        <f t="shared" si="468"/>
        <v/>
      </c>
      <c r="P343" s="47"/>
      <c r="Q343" s="52" t="str">
        <f t="shared" si="469"/>
        <v>Ž65</v>
      </c>
      <c r="R343" s="73">
        <f>IF(Q343="","",IF(COUNTIF(Q$12:Q342,Q343)=0,R342+1,R342))</f>
        <v>22</v>
      </c>
      <c r="S343" s="73">
        <f t="shared" si="470"/>
        <v>114</v>
      </c>
      <c r="T343" s="73">
        <f t="shared" si="434"/>
        <v>23</v>
      </c>
      <c r="U343" s="66" t="str">
        <f t="shared" si="435"/>
        <v>Ž65</v>
      </c>
      <c r="V343" s="47" t="s">
        <v>0</v>
      </c>
      <c r="W343" s="222" t="str">
        <f t="shared" si="436"/>
        <v/>
      </c>
      <c r="X343" s="223" t="str">
        <f t="shared" si="437"/>
        <v/>
      </c>
      <c r="Y343" s="47" t="s">
        <v>0</v>
      </c>
      <c r="Z343" s="52" t="str">
        <f t="shared" si="471"/>
        <v/>
      </c>
      <c r="AA343" s="73" t="str">
        <f t="shared" si="438"/>
        <v/>
      </c>
      <c r="AB343" s="31" t="str">
        <f t="shared" si="472"/>
        <v/>
      </c>
      <c r="AC343" s="66" t="str">
        <f>IF(AB343="","",MAX(AC$12:AC342)+1)</f>
        <v/>
      </c>
      <c r="AD343" s="47" t="s">
        <v>0</v>
      </c>
      <c r="AE343" s="125"/>
      <c r="AF343" s="47" t="s">
        <v>0</v>
      </c>
      <c r="AG343" s="19" t="str">
        <f t="shared" si="473"/>
        <v/>
      </c>
      <c r="AH343" s="47" t="s">
        <v>0</v>
      </c>
      <c r="AI343" s="143" t="str">
        <f t="shared" si="474"/>
        <v/>
      </c>
      <c r="AJ343" s="47"/>
      <c r="AK343" s="52" t="str">
        <f t="shared" si="475"/>
        <v/>
      </c>
      <c r="AL343" s="31" t="str">
        <f t="shared" si="476"/>
        <v/>
      </c>
      <c r="AM343" s="73" t="str">
        <f t="shared" si="477"/>
        <v/>
      </c>
      <c r="AN343" s="73" t="str">
        <f t="shared" si="478"/>
        <v/>
      </c>
      <c r="AO343" s="31" t="str">
        <f t="shared" si="439"/>
        <v/>
      </c>
      <c r="AP343" s="66" t="str">
        <f t="shared" si="440"/>
        <v/>
      </c>
      <c r="AQ343" s="47" t="s">
        <v>0</v>
      </c>
      <c r="AR343" s="82" t="str">
        <f t="shared" si="479"/>
        <v/>
      </c>
      <c r="AS343" s="47" t="s">
        <v>0</v>
      </c>
      <c r="AT343" s="19" t="str">
        <f t="shared" si="480"/>
        <v/>
      </c>
      <c r="AU343" s="47" t="s">
        <v>0</v>
      </c>
      <c r="AV343" s="103"/>
      <c r="AW343" s="105"/>
      <c r="AX343" s="47" t="s">
        <v>0</v>
      </c>
      <c r="AY343" s="259" t="str">
        <f t="shared" si="503"/>
        <v/>
      </c>
      <c r="AZ343" s="47" t="s">
        <v>0</v>
      </c>
      <c r="BA343" s="52" t="str">
        <f t="shared" si="433"/>
        <v/>
      </c>
      <c r="BB343" s="73" t="str">
        <f>IF(AV343&amp;AW343="","",MAX(BB$12:BB342)+1)</f>
        <v/>
      </c>
      <c r="BC343" s="272" t="str">
        <f t="shared" si="441"/>
        <v/>
      </c>
      <c r="BD343" s="53" t="str">
        <f>IF(AND(AM343="NEMA",AN343="NEMA",OR(AV343&amp;AW343="",BC343="NEMA")),MAX(BD$12:BD342)+1,"")</f>
        <v/>
      </c>
      <c r="BE343" s="47" t="s">
        <v>0</v>
      </c>
      <c r="BF343" s="52" t="str">
        <f t="shared" si="481"/>
        <v/>
      </c>
      <c r="BG343" s="66" t="str">
        <f t="shared" si="482"/>
        <v/>
      </c>
      <c r="BH343" s="47" t="s">
        <v>0</v>
      </c>
      <c r="BI343" s="52" t="str">
        <f t="shared" si="442"/>
        <v/>
      </c>
      <c r="BJ343" s="31" t="str">
        <f t="shared" si="443"/>
        <v/>
      </c>
      <c r="BK343" s="73" t="str">
        <f t="shared" si="444"/>
        <v/>
      </c>
      <c r="BL343" s="31" t="str" cm="1">
        <f t="array" ref="BL343">IF(BK343="",""&amp;BJ343,IF(BK343="NEMA",BJ343,INDEX(regKlub_naziv,MATCH(INDEX(regKlub_alias_klubId,BK343),regKlub_id,0))))</f>
        <v/>
      </c>
      <c r="BM343" s="31" t="str" cm="1">
        <f t="array" ref="BM343">IFERROR(""&amp;INDEX(regNatjecatelj_klub,DV343),"")</f>
        <v/>
      </c>
      <c r="BN343" s="88" t="str">
        <f t="shared" si="483"/>
        <v/>
      </c>
      <c r="BO343" s="66" t="str">
        <f t="shared" si="484"/>
        <v/>
      </c>
      <c r="BP343" s="47" t="s">
        <v>0</v>
      </c>
      <c r="BQ343" s="52" t="str">
        <f>IF(X343&lt;&gt;"NEMA","",IF(IFERROR(MATCH(W343,W$12:W342,0),0)&lt;&gt;0,"",W343))</f>
        <v/>
      </c>
      <c r="BR343" s="73" t="str">
        <f t="shared" si="485"/>
        <v/>
      </c>
      <c r="BS343" s="31" t="str">
        <f>IF(OR(BR343="",BR343&lt;&gt;"NEMA"),"",MAX(BS$12:BS342)+1)</f>
        <v/>
      </c>
      <c r="BT343" s="66" t="str">
        <f t="shared" si="486"/>
        <v/>
      </c>
      <c r="BU343" s="47" t="s">
        <v>0</v>
      </c>
      <c r="BV343" s="19" t="str">
        <f t="shared" si="487"/>
        <v/>
      </c>
      <c r="BW343" s="47" t="s">
        <v>0</v>
      </c>
      <c r="BX343" s="82" t="str">
        <f>IF(BK343&lt;&gt;"NEMA","",IF(IFERROR(MATCH(BJ343,BJ$12:BJ342,0),0)&lt;&gt;0,"",BJ343))</f>
        <v/>
      </c>
      <c r="BY343" s="47" t="s">
        <v>0</v>
      </c>
      <c r="BZ343" s="125"/>
      <c r="CA343" s="47" t="s">
        <v>0</v>
      </c>
      <c r="CB343" s="58" t="str">
        <f t="shared" si="488"/>
        <v/>
      </c>
      <c r="CC343" s="31" t="str">
        <f t="shared" si="489"/>
        <v/>
      </c>
      <c r="CD343" s="31" t="str">
        <f>IF(CC343="","",MAX(CD$12:CD342)+1)</f>
        <v/>
      </c>
      <c r="CE343" s="31" t="str">
        <f t="shared" si="445"/>
        <v/>
      </c>
      <c r="CF343" s="31" t="str">
        <f t="shared" si="490"/>
        <v/>
      </c>
      <c r="CG343" s="31" t="str">
        <f>IF(BZ343="","",MAX(CG$12:CG342)+1)</f>
        <v/>
      </c>
      <c r="CH343" s="31" t="str">
        <f t="shared" si="491"/>
        <v/>
      </c>
      <c r="CI343" s="66" t="str">
        <f t="shared" si="492"/>
        <v/>
      </c>
      <c r="CJ343" s="47" t="s">
        <v>0</v>
      </c>
      <c r="CK343" s="73" t="str">
        <f t="shared" si="446"/>
        <v/>
      </c>
      <c r="CL343" s="47"/>
      <c r="CM343" s="19" t="str">
        <f t="shared" si="493"/>
        <v/>
      </c>
      <c r="CN343" s="47" t="s">
        <v>0</v>
      </c>
      <c r="CO343" s="143" t="str">
        <f t="shared" si="494"/>
        <v/>
      </c>
      <c r="CP343" s="47" t="s">
        <v>0</v>
      </c>
      <c r="CQ343" s="58" t="str">
        <f t="shared" si="430"/>
        <v/>
      </c>
      <c r="CR343" s="73" t="str">
        <f t="shared" si="431"/>
        <v>0</v>
      </c>
      <c r="CS343" s="229" t="str">
        <f t="shared" si="447"/>
        <v/>
      </c>
      <c r="CT343" s="230" t="str">
        <f t="shared" si="432"/>
        <v/>
      </c>
      <c r="CU343" s="163" t="str">
        <f t="shared" si="448"/>
        <v/>
      </c>
      <c r="CV343" s="47" t="s">
        <v>0</v>
      </c>
      <c r="CW343" s="222" t="str">
        <f t="shared" si="495"/>
        <v xml:space="preserve">
</v>
      </c>
      <c r="CX343" s="223" t="str">
        <f t="shared" si="496"/>
        <v/>
      </c>
      <c r="CY343" s="47" t="s">
        <v>0</v>
      </c>
      <c r="CZ343" s="47"/>
      <c r="DA343" s="47"/>
      <c r="DB343" s="47"/>
      <c r="DC343" s="47" t="s">
        <v>0</v>
      </c>
      <c r="DD343" s="53" t="str">
        <f t="shared" si="504"/>
        <v/>
      </c>
      <c r="DE343" t="s">
        <v>0</v>
      </c>
      <c r="DF343" s="128" t="str">
        <f t="shared" si="505"/>
        <v>Ž</v>
      </c>
      <c r="DG343" t="s">
        <v>0</v>
      </c>
      <c r="DH343" s="52" t="str">
        <f t="shared" si="506"/>
        <v/>
      </c>
      <c r="DI343" s="66" t="str">
        <f t="shared" si="507"/>
        <v/>
      </c>
      <c r="DJ343" t="s">
        <v>0</v>
      </c>
      <c r="DK343" s="19" t="str">
        <f t="shared" si="508"/>
        <v/>
      </c>
      <c r="DL343" s="47" t="s">
        <v>0</v>
      </c>
      <c r="DM343" s="19" t="str">
        <f t="shared" si="509"/>
        <v/>
      </c>
      <c r="DN343" s="47" t="s">
        <v>0</v>
      </c>
      <c r="DO343" s="52" t="str">
        <f t="shared" si="449"/>
        <v/>
      </c>
      <c r="DP343" s="53" t="str">
        <f t="shared" si="450"/>
        <v/>
      </c>
      <c r="DQ343" s="47" t="s">
        <v>0</v>
      </c>
      <c r="DR343" s="52" t="str">
        <f t="shared" si="451"/>
        <v/>
      </c>
      <c r="DS343" s="53" t="str">
        <f t="shared" si="452"/>
        <v/>
      </c>
      <c r="DT343" s="47" t="s">
        <v>0</v>
      </c>
      <c r="DU343" s="52" t="str">
        <f t="shared" si="453"/>
        <v/>
      </c>
      <c r="DV343" s="53" t="str">
        <f t="shared" si="454"/>
        <v/>
      </c>
      <c r="DW343" s="47" t="s">
        <v>0</v>
      </c>
      <c r="DX343" s="58" t="str">
        <f t="shared" si="497"/>
        <v/>
      </c>
      <c r="DY343" s="53" t="str" cm="1">
        <f t="array" ref="DY343">IF(DX343&lt;&gt;"",INDEX(regNatjecatelj_id,DX343,0),IF(BD343&lt;&gt;"",BD343,""))</f>
        <v/>
      </c>
      <c r="DZ343" s="47" t="s">
        <v>0</v>
      </c>
      <c r="EA343" s="58" t="str">
        <f t="shared" si="455"/>
        <v/>
      </c>
      <c r="EB343" s="73" t="str">
        <f t="shared" si="456"/>
        <v/>
      </c>
      <c r="EC343" s="73" t="str">
        <f t="shared" si="457"/>
        <v/>
      </c>
      <c r="ED343" s="73" t="str">
        <f t="shared" si="458"/>
        <v/>
      </c>
      <c r="EE343" s="66" t="str">
        <f t="shared" si="459"/>
        <v/>
      </c>
      <c r="EF343" s="47" t="s">
        <v>0</v>
      </c>
      <c r="EG343" s="58" t="str">
        <f>IF(AL343="","",MAX(EG$12:EG342)+1)</f>
        <v/>
      </c>
      <c r="EH343" s="73" t="str">
        <f t="shared" si="460"/>
        <v/>
      </c>
      <c r="EI343" s="73" t="str">
        <f t="shared" si="498"/>
        <v/>
      </c>
      <c r="EJ343" s="73" t="str">
        <f t="shared" si="461"/>
        <v/>
      </c>
      <c r="EK343" s="73" t="str">
        <f t="shared" si="462"/>
        <v/>
      </c>
      <c r="EL343" s="73" t="str">
        <f t="shared" si="499"/>
        <v/>
      </c>
      <c r="EM343" s="73" t="str">
        <f t="shared" si="500"/>
        <v/>
      </c>
      <c r="EN343" s="73" t="str">
        <f t="shared" si="463"/>
        <v/>
      </c>
      <c r="EO343" s="73" t="str">
        <f t="shared" si="464"/>
        <v/>
      </c>
      <c r="EP343" s="73" t="str">
        <f t="shared" si="465"/>
        <v/>
      </c>
      <c r="EQ343" s="53" t="str">
        <f t="shared" si="466"/>
        <v/>
      </c>
      <c r="ER343" s="47" t="s">
        <v>0</v>
      </c>
      <c r="ES343" s="19" t="str">
        <f t="shared" si="501"/>
        <v/>
      </c>
      <c r="ET343" s="47" t="s">
        <v>0</v>
      </c>
      <c r="EU343" s="19" t="str">
        <f t="shared" si="502"/>
        <v/>
      </c>
      <c r="EV343" s="47" t="s">
        <v>0</v>
      </c>
      <c r="EW343" s="180" t="str">
        <f t="shared" si="467"/>
        <v/>
      </c>
      <c r="EX343" s="47" t="s">
        <v>0</v>
      </c>
    </row>
    <row r="344" spans="1:154" x14ac:dyDescent="0.25">
      <c r="A344" t="s">
        <v>0</v>
      </c>
      <c r="B344" s="52" t="str">
        <f>IF(csv!F334="","",csv!T334)</f>
        <v>Ž65</v>
      </c>
      <c r="C344" s="31" t="s">
        <v>0</v>
      </c>
      <c r="D344" s="31" t="str">
        <f>IF(csv!F334="","",csv!F334)</f>
        <v>Vacant</v>
      </c>
      <c r="E344" s="31" t="str">
        <f>IF(csv!E334="","",csv!E334)</f>
        <v/>
      </c>
      <c r="F344" s="31" t="s">
        <v>0</v>
      </c>
      <c r="G344" s="73" t="str">
        <f>IF(csv!M334="","",csv!M334)</f>
        <v/>
      </c>
      <c r="H344" s="73" t="str">
        <f>IF(csv!N334="","",csv!N334)</f>
        <v>0</v>
      </c>
      <c r="I344" s="31" t="s">
        <v>0</v>
      </c>
      <c r="J344" s="31" t="str">
        <f>IF(csv!P334="","",csv!P334)</f>
        <v/>
      </c>
      <c r="K344" s="31" t="str">
        <f>IF(csv!Q334="","",csv!Q334)</f>
        <v/>
      </c>
      <c r="L344" s="31" t="s">
        <v>0</v>
      </c>
      <c r="M344" s="66" t="str">
        <f>IF(csv!R334="","",csv!R334)</f>
        <v/>
      </c>
      <c r="N344" s="47" t="s">
        <v>0</v>
      </c>
      <c r="O344" s="246" t="str">
        <f t="shared" si="468"/>
        <v/>
      </c>
      <c r="P344" s="47"/>
      <c r="Q344" s="52" t="str">
        <f t="shared" si="469"/>
        <v>Ž65</v>
      </c>
      <c r="R344" s="73">
        <f>IF(Q344="","",IF(COUNTIF(Q$12:Q343,Q344)=0,R343+1,R343))</f>
        <v>22</v>
      </c>
      <c r="S344" s="73">
        <f t="shared" si="470"/>
        <v>114</v>
      </c>
      <c r="T344" s="73">
        <f t="shared" si="434"/>
        <v>23</v>
      </c>
      <c r="U344" s="66" t="str">
        <f t="shared" si="435"/>
        <v>Ž65</v>
      </c>
      <c r="V344" s="47" t="s">
        <v>0</v>
      </c>
      <c r="W344" s="222" t="str">
        <f t="shared" si="436"/>
        <v/>
      </c>
      <c r="X344" s="223" t="str">
        <f t="shared" si="437"/>
        <v/>
      </c>
      <c r="Y344" s="47" t="s">
        <v>0</v>
      </c>
      <c r="Z344" s="52" t="str">
        <f t="shared" si="471"/>
        <v/>
      </c>
      <c r="AA344" s="73" t="str">
        <f t="shared" si="438"/>
        <v/>
      </c>
      <c r="AB344" s="31" t="str">
        <f t="shared" si="472"/>
        <v/>
      </c>
      <c r="AC344" s="66" t="str">
        <f>IF(AB344="","",MAX(AC$12:AC343)+1)</f>
        <v/>
      </c>
      <c r="AD344" s="47" t="s">
        <v>0</v>
      </c>
      <c r="AE344" s="125"/>
      <c r="AF344" s="47" t="s">
        <v>0</v>
      </c>
      <c r="AG344" s="19" t="str">
        <f t="shared" si="473"/>
        <v/>
      </c>
      <c r="AH344" s="47" t="s">
        <v>0</v>
      </c>
      <c r="AI344" s="143" t="str">
        <f t="shared" si="474"/>
        <v/>
      </c>
      <c r="AJ344" s="47"/>
      <c r="AK344" s="52" t="str">
        <f t="shared" si="475"/>
        <v/>
      </c>
      <c r="AL344" s="31" t="str">
        <f t="shared" si="476"/>
        <v/>
      </c>
      <c r="AM344" s="73" t="str">
        <f t="shared" si="477"/>
        <v/>
      </c>
      <c r="AN344" s="73" t="str">
        <f t="shared" si="478"/>
        <v/>
      </c>
      <c r="AO344" s="31" t="str">
        <f t="shared" si="439"/>
        <v/>
      </c>
      <c r="AP344" s="66" t="str">
        <f t="shared" si="440"/>
        <v/>
      </c>
      <c r="AQ344" s="47" t="s">
        <v>0</v>
      </c>
      <c r="AR344" s="82" t="str">
        <f t="shared" si="479"/>
        <v/>
      </c>
      <c r="AS344" s="47" t="s">
        <v>0</v>
      </c>
      <c r="AT344" s="19" t="str">
        <f t="shared" si="480"/>
        <v/>
      </c>
      <c r="AU344" s="47" t="s">
        <v>0</v>
      </c>
      <c r="AV344" s="103"/>
      <c r="AW344" s="105"/>
      <c r="AX344" s="47" t="s">
        <v>0</v>
      </c>
      <c r="AY344" s="259" t="str">
        <f t="shared" si="503"/>
        <v/>
      </c>
      <c r="AZ344" s="47" t="s">
        <v>0</v>
      </c>
      <c r="BA344" s="52" t="str">
        <f t="shared" si="433"/>
        <v/>
      </c>
      <c r="BB344" s="73" t="str">
        <f>IF(AV344&amp;AW344="","",MAX(BB$12:BB343)+1)</f>
        <v/>
      </c>
      <c r="BC344" s="272" t="str">
        <f t="shared" si="441"/>
        <v/>
      </c>
      <c r="BD344" s="53" t="str">
        <f>IF(AND(AM344="NEMA",AN344="NEMA",OR(AV344&amp;AW344="",BC344="NEMA")),MAX(BD$12:BD343)+1,"")</f>
        <v/>
      </c>
      <c r="BE344" s="47" t="s">
        <v>0</v>
      </c>
      <c r="BF344" s="52" t="str">
        <f t="shared" si="481"/>
        <v/>
      </c>
      <c r="BG344" s="66" t="str">
        <f t="shared" si="482"/>
        <v/>
      </c>
      <c r="BH344" s="47" t="s">
        <v>0</v>
      </c>
      <c r="BI344" s="52" t="str">
        <f t="shared" si="442"/>
        <v/>
      </c>
      <c r="BJ344" s="31" t="str">
        <f t="shared" si="443"/>
        <v/>
      </c>
      <c r="BK344" s="73" t="str">
        <f t="shared" si="444"/>
        <v/>
      </c>
      <c r="BL344" s="31" t="str" cm="1">
        <f t="array" ref="BL344">IF(BK344="",""&amp;BJ344,IF(BK344="NEMA",BJ344,INDEX(regKlub_naziv,MATCH(INDEX(regKlub_alias_klubId,BK344),regKlub_id,0))))</f>
        <v/>
      </c>
      <c r="BM344" s="31" t="str" cm="1">
        <f t="array" ref="BM344">IFERROR(""&amp;INDEX(regNatjecatelj_klub,DV344),"")</f>
        <v/>
      </c>
      <c r="BN344" s="88" t="str">
        <f t="shared" si="483"/>
        <v/>
      </c>
      <c r="BO344" s="66" t="str">
        <f t="shared" si="484"/>
        <v/>
      </c>
      <c r="BP344" s="47" t="s">
        <v>0</v>
      </c>
      <c r="BQ344" s="52" t="str">
        <f>IF(X344&lt;&gt;"NEMA","",IF(IFERROR(MATCH(W344,W$12:W343,0),0)&lt;&gt;0,"",W344))</f>
        <v/>
      </c>
      <c r="BR344" s="73" t="str">
        <f t="shared" si="485"/>
        <v/>
      </c>
      <c r="BS344" s="31" t="str">
        <f>IF(OR(BR344="",BR344&lt;&gt;"NEMA"),"",MAX(BS$12:BS343)+1)</f>
        <v/>
      </c>
      <c r="BT344" s="66" t="str">
        <f t="shared" si="486"/>
        <v/>
      </c>
      <c r="BU344" s="47" t="s">
        <v>0</v>
      </c>
      <c r="BV344" s="19" t="str">
        <f t="shared" si="487"/>
        <v/>
      </c>
      <c r="BW344" s="47" t="s">
        <v>0</v>
      </c>
      <c r="BX344" s="82" t="str">
        <f>IF(BK344&lt;&gt;"NEMA","",IF(IFERROR(MATCH(BJ344,BJ$12:BJ343,0),0)&lt;&gt;0,"",BJ344))</f>
        <v/>
      </c>
      <c r="BY344" s="47" t="s">
        <v>0</v>
      </c>
      <c r="BZ344" s="125"/>
      <c r="CA344" s="47" t="s">
        <v>0</v>
      </c>
      <c r="CB344" s="58" t="str">
        <f t="shared" si="488"/>
        <v/>
      </c>
      <c r="CC344" s="31" t="str">
        <f t="shared" si="489"/>
        <v/>
      </c>
      <c r="CD344" s="31" t="str">
        <f>IF(CC344="","",MAX(CD$12:CD343)+1)</f>
        <v/>
      </c>
      <c r="CE344" s="31" t="str">
        <f t="shared" si="445"/>
        <v/>
      </c>
      <c r="CF344" s="31" t="str">
        <f t="shared" si="490"/>
        <v/>
      </c>
      <c r="CG344" s="31" t="str">
        <f>IF(BZ344="","",MAX(CG$12:CG343)+1)</f>
        <v/>
      </c>
      <c r="CH344" s="31" t="str">
        <f t="shared" si="491"/>
        <v/>
      </c>
      <c r="CI344" s="66" t="str">
        <f t="shared" si="492"/>
        <v/>
      </c>
      <c r="CJ344" s="47" t="s">
        <v>0</v>
      </c>
      <c r="CK344" s="73" t="str">
        <f t="shared" si="446"/>
        <v/>
      </c>
      <c r="CL344" s="47"/>
      <c r="CM344" s="19" t="str">
        <f t="shared" si="493"/>
        <v/>
      </c>
      <c r="CN344" s="47" t="s">
        <v>0</v>
      </c>
      <c r="CO344" s="143" t="str">
        <f t="shared" si="494"/>
        <v/>
      </c>
      <c r="CP344" s="47" t="s">
        <v>0</v>
      </c>
      <c r="CQ344" s="58" t="str">
        <f t="shared" si="430"/>
        <v/>
      </c>
      <c r="CR344" s="73" t="str">
        <f t="shared" si="431"/>
        <v>0</v>
      </c>
      <c r="CS344" s="229" t="str">
        <f t="shared" si="447"/>
        <v/>
      </c>
      <c r="CT344" s="230" t="str">
        <f t="shared" si="432"/>
        <v/>
      </c>
      <c r="CU344" s="163" t="str">
        <f t="shared" si="448"/>
        <v/>
      </c>
      <c r="CV344" s="47" t="s">
        <v>0</v>
      </c>
      <c r="CW344" s="222" t="str">
        <f t="shared" si="495"/>
        <v xml:space="preserve">
</v>
      </c>
      <c r="CX344" s="223" t="str">
        <f t="shared" si="496"/>
        <v/>
      </c>
      <c r="CY344" s="47" t="s">
        <v>0</v>
      </c>
      <c r="CZ344" s="47"/>
      <c r="DA344" s="47"/>
      <c r="DB344" s="47"/>
      <c r="DC344" s="47" t="s">
        <v>0</v>
      </c>
      <c r="DD344" s="53" t="str">
        <f t="shared" si="504"/>
        <v/>
      </c>
      <c r="DE344" t="s">
        <v>0</v>
      </c>
      <c r="DF344" s="128" t="str">
        <f t="shared" si="505"/>
        <v>Ž</v>
      </c>
      <c r="DG344" t="s">
        <v>0</v>
      </c>
      <c r="DH344" s="52" t="str">
        <f t="shared" si="506"/>
        <v/>
      </c>
      <c r="DI344" s="66" t="str">
        <f t="shared" si="507"/>
        <v/>
      </c>
      <c r="DJ344" t="s">
        <v>0</v>
      </c>
      <c r="DK344" s="19" t="str">
        <f t="shared" si="508"/>
        <v/>
      </c>
      <c r="DL344" s="47" t="s">
        <v>0</v>
      </c>
      <c r="DM344" s="19" t="str">
        <f t="shared" si="509"/>
        <v/>
      </c>
      <c r="DN344" s="47" t="s">
        <v>0</v>
      </c>
      <c r="DO344" s="52" t="str">
        <f t="shared" si="449"/>
        <v/>
      </c>
      <c r="DP344" s="53" t="str">
        <f t="shared" si="450"/>
        <v/>
      </c>
      <c r="DQ344" s="47" t="s">
        <v>0</v>
      </c>
      <c r="DR344" s="52" t="str">
        <f t="shared" si="451"/>
        <v/>
      </c>
      <c r="DS344" s="53" t="str">
        <f t="shared" si="452"/>
        <v/>
      </c>
      <c r="DT344" s="47" t="s">
        <v>0</v>
      </c>
      <c r="DU344" s="52" t="str">
        <f t="shared" si="453"/>
        <v/>
      </c>
      <c r="DV344" s="53" t="str">
        <f t="shared" si="454"/>
        <v/>
      </c>
      <c r="DW344" s="47" t="s">
        <v>0</v>
      </c>
      <c r="DX344" s="58" t="str">
        <f t="shared" si="497"/>
        <v/>
      </c>
      <c r="DY344" s="53" t="str" cm="1">
        <f t="array" ref="DY344">IF(DX344&lt;&gt;"",INDEX(regNatjecatelj_id,DX344,0),IF(BD344&lt;&gt;"",BD344,""))</f>
        <v/>
      </c>
      <c r="DZ344" s="47" t="s">
        <v>0</v>
      </c>
      <c r="EA344" s="58" t="str">
        <f t="shared" si="455"/>
        <v/>
      </c>
      <c r="EB344" s="73" t="str">
        <f t="shared" si="456"/>
        <v/>
      </c>
      <c r="EC344" s="73" t="str">
        <f t="shared" si="457"/>
        <v/>
      </c>
      <c r="ED344" s="73" t="str">
        <f t="shared" si="458"/>
        <v/>
      </c>
      <c r="EE344" s="66" t="str">
        <f t="shared" si="459"/>
        <v/>
      </c>
      <c r="EF344" s="47" t="s">
        <v>0</v>
      </c>
      <c r="EG344" s="58" t="str">
        <f>IF(AL344="","",MAX(EG$12:EG343)+1)</f>
        <v/>
      </c>
      <c r="EH344" s="73" t="str">
        <f t="shared" si="460"/>
        <v/>
      </c>
      <c r="EI344" s="73" t="str">
        <f t="shared" si="498"/>
        <v/>
      </c>
      <c r="EJ344" s="73" t="str">
        <f t="shared" si="461"/>
        <v/>
      </c>
      <c r="EK344" s="73" t="str">
        <f t="shared" si="462"/>
        <v/>
      </c>
      <c r="EL344" s="73" t="str">
        <f t="shared" si="499"/>
        <v/>
      </c>
      <c r="EM344" s="73" t="str">
        <f t="shared" si="500"/>
        <v/>
      </c>
      <c r="EN344" s="73" t="str">
        <f t="shared" si="463"/>
        <v/>
      </c>
      <c r="EO344" s="73" t="str">
        <f t="shared" si="464"/>
        <v/>
      </c>
      <c r="EP344" s="73" t="str">
        <f t="shared" si="465"/>
        <v/>
      </c>
      <c r="EQ344" s="53" t="str">
        <f t="shared" si="466"/>
        <v/>
      </c>
      <c r="ER344" s="47" t="s">
        <v>0</v>
      </c>
      <c r="ES344" s="19" t="str">
        <f t="shared" si="501"/>
        <v/>
      </c>
      <c r="ET344" s="47" t="s">
        <v>0</v>
      </c>
      <c r="EU344" s="19" t="str">
        <f t="shared" si="502"/>
        <v/>
      </c>
      <c r="EV344" s="47" t="s">
        <v>0</v>
      </c>
      <c r="EW344" s="180" t="str">
        <f t="shared" si="467"/>
        <v/>
      </c>
      <c r="EX344" s="47" t="s">
        <v>0</v>
      </c>
    </row>
    <row r="345" spans="1:154" x14ac:dyDescent="0.25">
      <c r="A345" t="s">
        <v>0</v>
      </c>
      <c r="B345" s="52" t="str">
        <f>IF(csv!F335="","",csv!T335)</f>
        <v>Ž70</v>
      </c>
      <c r="C345" s="31" t="s">
        <v>0</v>
      </c>
      <c r="D345" s="31" t="str">
        <f>IF(csv!F335="","",csv!F335)</f>
        <v>Vacant</v>
      </c>
      <c r="E345" s="31" t="str">
        <f>IF(csv!E335="","",csv!E335)</f>
        <v/>
      </c>
      <c r="F345" s="31" t="s">
        <v>0</v>
      </c>
      <c r="G345" s="73" t="str">
        <f>IF(csv!M335="","",csv!M335)</f>
        <v/>
      </c>
      <c r="H345" s="73" t="str">
        <f>IF(csv!N335="","",csv!N335)</f>
        <v>0</v>
      </c>
      <c r="I345" s="31" t="s">
        <v>0</v>
      </c>
      <c r="J345" s="31" t="str">
        <f>IF(csv!P335="","",csv!P335)</f>
        <v/>
      </c>
      <c r="K345" s="31" t="str">
        <f>IF(csv!Q335="","",csv!Q335)</f>
        <v/>
      </c>
      <c r="L345" s="31" t="s">
        <v>0</v>
      </c>
      <c r="M345" s="66" t="str">
        <f>IF(csv!R335="","",csv!R335)</f>
        <v/>
      </c>
      <c r="N345" s="47" t="s">
        <v>0</v>
      </c>
      <c r="O345" s="246" t="str">
        <f t="shared" si="468"/>
        <v/>
      </c>
      <c r="P345" s="47"/>
      <c r="Q345" s="52" t="str">
        <f t="shared" si="469"/>
        <v>Ž70</v>
      </c>
      <c r="R345" s="73">
        <f>IF(Q345="","",IF(COUNTIF(Q$12:Q344,Q345)=0,R344+1,R344))</f>
        <v>23</v>
      </c>
      <c r="S345" s="73">
        <f t="shared" si="470"/>
        <v>113</v>
      </c>
      <c r="T345" s="73" t="str">
        <f t="shared" si="434"/>
        <v/>
      </c>
      <c r="U345" s="66" t="str">
        <f t="shared" si="435"/>
        <v/>
      </c>
      <c r="V345" s="47" t="s">
        <v>0</v>
      </c>
      <c r="W345" s="222" t="str">
        <f t="shared" si="436"/>
        <v/>
      </c>
      <c r="X345" s="223" t="str">
        <f t="shared" si="437"/>
        <v/>
      </c>
      <c r="Y345" s="47" t="s">
        <v>0</v>
      </c>
      <c r="Z345" s="52" t="str">
        <f t="shared" si="471"/>
        <v/>
      </c>
      <c r="AA345" s="73" t="str">
        <f t="shared" si="438"/>
        <v/>
      </c>
      <c r="AB345" s="31" t="str">
        <f t="shared" si="472"/>
        <v/>
      </c>
      <c r="AC345" s="66" t="str">
        <f>IF(AB345="","",MAX(AC$12:AC344)+1)</f>
        <v/>
      </c>
      <c r="AD345" s="47" t="s">
        <v>0</v>
      </c>
      <c r="AE345" s="125"/>
      <c r="AF345" s="47" t="s">
        <v>0</v>
      </c>
      <c r="AG345" s="19" t="str">
        <f t="shared" si="473"/>
        <v/>
      </c>
      <c r="AH345" s="47" t="s">
        <v>0</v>
      </c>
      <c r="AI345" s="143" t="str">
        <f t="shared" si="474"/>
        <v/>
      </c>
      <c r="AJ345" s="47"/>
      <c r="AK345" s="52" t="str">
        <f t="shared" si="475"/>
        <v/>
      </c>
      <c r="AL345" s="31" t="str">
        <f t="shared" si="476"/>
        <v/>
      </c>
      <c r="AM345" s="73" t="str">
        <f t="shared" si="477"/>
        <v/>
      </c>
      <c r="AN345" s="73" t="str">
        <f t="shared" si="478"/>
        <v/>
      </c>
      <c r="AO345" s="31" t="str">
        <f t="shared" si="439"/>
        <v/>
      </c>
      <c r="AP345" s="66" t="str">
        <f t="shared" si="440"/>
        <v/>
      </c>
      <c r="AQ345" s="47" t="s">
        <v>0</v>
      </c>
      <c r="AR345" s="82" t="str">
        <f t="shared" si="479"/>
        <v/>
      </c>
      <c r="AS345" s="47" t="s">
        <v>0</v>
      </c>
      <c r="AT345" s="19" t="str">
        <f t="shared" si="480"/>
        <v/>
      </c>
      <c r="AU345" s="47" t="s">
        <v>0</v>
      </c>
      <c r="AV345" s="103"/>
      <c r="AW345" s="105"/>
      <c r="AX345" s="47" t="s">
        <v>0</v>
      </c>
      <c r="AY345" s="259" t="str">
        <f t="shared" si="503"/>
        <v/>
      </c>
      <c r="AZ345" s="47" t="s">
        <v>0</v>
      </c>
      <c r="BA345" s="52" t="str">
        <f t="shared" si="433"/>
        <v/>
      </c>
      <c r="BB345" s="73" t="str">
        <f>IF(AV345&amp;AW345="","",MAX(BB$12:BB344)+1)</f>
        <v/>
      </c>
      <c r="BC345" s="272" t="str">
        <f t="shared" si="441"/>
        <v/>
      </c>
      <c r="BD345" s="53" t="str">
        <f>IF(AND(AM345="NEMA",AN345="NEMA",OR(AV345&amp;AW345="",BC345="NEMA")),MAX(BD$12:BD344)+1,"")</f>
        <v/>
      </c>
      <c r="BE345" s="47" t="s">
        <v>0</v>
      </c>
      <c r="BF345" s="52" t="str">
        <f t="shared" si="481"/>
        <v/>
      </c>
      <c r="BG345" s="66" t="str">
        <f t="shared" si="482"/>
        <v/>
      </c>
      <c r="BH345" s="47" t="s">
        <v>0</v>
      </c>
      <c r="BI345" s="52" t="str">
        <f t="shared" si="442"/>
        <v/>
      </c>
      <c r="BJ345" s="31" t="str">
        <f t="shared" si="443"/>
        <v/>
      </c>
      <c r="BK345" s="73" t="str">
        <f t="shared" si="444"/>
        <v/>
      </c>
      <c r="BL345" s="31" t="str" cm="1">
        <f t="array" ref="BL345">IF(BK345="",""&amp;BJ345,IF(BK345="NEMA",BJ345,INDEX(regKlub_naziv,MATCH(INDEX(regKlub_alias_klubId,BK345),regKlub_id,0))))</f>
        <v/>
      </c>
      <c r="BM345" s="31" t="str" cm="1">
        <f t="array" ref="BM345">IFERROR(""&amp;INDEX(regNatjecatelj_klub,DV345),"")</f>
        <v/>
      </c>
      <c r="BN345" s="88" t="str">
        <f t="shared" si="483"/>
        <v/>
      </c>
      <c r="BO345" s="66" t="str">
        <f t="shared" si="484"/>
        <v/>
      </c>
      <c r="BP345" s="47" t="s">
        <v>0</v>
      </c>
      <c r="BQ345" s="52" t="str">
        <f>IF(X345&lt;&gt;"NEMA","",IF(IFERROR(MATCH(W345,W$12:W344,0),0)&lt;&gt;0,"",W345))</f>
        <v/>
      </c>
      <c r="BR345" s="73" t="str">
        <f t="shared" si="485"/>
        <v/>
      </c>
      <c r="BS345" s="31" t="str">
        <f>IF(OR(BR345="",BR345&lt;&gt;"NEMA"),"",MAX(BS$12:BS344)+1)</f>
        <v/>
      </c>
      <c r="BT345" s="66" t="str">
        <f t="shared" si="486"/>
        <v/>
      </c>
      <c r="BU345" s="47" t="s">
        <v>0</v>
      </c>
      <c r="BV345" s="19" t="str">
        <f t="shared" si="487"/>
        <v/>
      </c>
      <c r="BW345" s="47" t="s">
        <v>0</v>
      </c>
      <c r="BX345" s="82" t="str">
        <f>IF(BK345&lt;&gt;"NEMA","",IF(IFERROR(MATCH(BJ345,BJ$12:BJ344,0),0)&lt;&gt;0,"",BJ345))</f>
        <v/>
      </c>
      <c r="BY345" s="47" t="s">
        <v>0</v>
      </c>
      <c r="BZ345" s="125"/>
      <c r="CA345" s="47" t="s">
        <v>0</v>
      </c>
      <c r="CB345" s="58" t="str">
        <f t="shared" si="488"/>
        <v/>
      </c>
      <c r="CC345" s="31" t="str">
        <f t="shared" si="489"/>
        <v/>
      </c>
      <c r="CD345" s="31" t="str">
        <f>IF(CC345="","",MAX(CD$12:CD344)+1)</f>
        <v/>
      </c>
      <c r="CE345" s="31" t="str">
        <f t="shared" si="445"/>
        <v/>
      </c>
      <c r="CF345" s="31" t="str">
        <f t="shared" si="490"/>
        <v/>
      </c>
      <c r="CG345" s="31" t="str">
        <f>IF(BZ345="","",MAX(CG$12:CG344)+1)</f>
        <v/>
      </c>
      <c r="CH345" s="31" t="str">
        <f t="shared" si="491"/>
        <v/>
      </c>
      <c r="CI345" s="66" t="str">
        <f t="shared" si="492"/>
        <v/>
      </c>
      <c r="CJ345" s="47" t="s">
        <v>0</v>
      </c>
      <c r="CK345" s="73" t="str">
        <f t="shared" si="446"/>
        <v/>
      </c>
      <c r="CL345" s="47"/>
      <c r="CM345" s="19" t="str">
        <f t="shared" si="493"/>
        <v/>
      </c>
      <c r="CN345" s="47" t="s">
        <v>0</v>
      </c>
      <c r="CO345" s="143" t="str">
        <f t="shared" si="494"/>
        <v/>
      </c>
      <c r="CP345" s="47" t="s">
        <v>0</v>
      </c>
      <c r="CQ345" s="58" t="str">
        <f t="shared" si="430"/>
        <v/>
      </c>
      <c r="CR345" s="73" t="str">
        <f t="shared" si="431"/>
        <v>0</v>
      </c>
      <c r="CS345" s="229" t="str">
        <f t="shared" si="447"/>
        <v/>
      </c>
      <c r="CT345" s="230" t="str">
        <f t="shared" si="432"/>
        <v/>
      </c>
      <c r="CU345" s="163" t="str">
        <f t="shared" si="448"/>
        <v/>
      </c>
      <c r="CV345" s="47" t="s">
        <v>0</v>
      </c>
      <c r="CW345" s="222" t="str">
        <f t="shared" si="495"/>
        <v xml:space="preserve">
</v>
      </c>
      <c r="CX345" s="223" t="str">
        <f t="shared" si="496"/>
        <v/>
      </c>
      <c r="CY345" s="47" t="s">
        <v>0</v>
      </c>
      <c r="CZ345" s="47"/>
      <c r="DA345" s="47"/>
      <c r="DB345" s="47"/>
      <c r="DC345" s="47" t="s">
        <v>0</v>
      </c>
      <c r="DD345" s="53" t="str">
        <f t="shared" si="504"/>
        <v/>
      </c>
      <c r="DE345" t="s">
        <v>0</v>
      </c>
      <c r="DF345" s="128" t="str">
        <f t="shared" si="505"/>
        <v>Ž</v>
      </c>
      <c r="DG345" t="s">
        <v>0</v>
      </c>
      <c r="DH345" s="52" t="str">
        <f t="shared" si="506"/>
        <v/>
      </c>
      <c r="DI345" s="66" t="str">
        <f t="shared" si="507"/>
        <v/>
      </c>
      <c r="DJ345" t="s">
        <v>0</v>
      </c>
      <c r="DK345" s="19" t="str">
        <f t="shared" si="508"/>
        <v/>
      </c>
      <c r="DL345" s="47" t="s">
        <v>0</v>
      </c>
      <c r="DM345" s="19" t="str">
        <f t="shared" si="509"/>
        <v/>
      </c>
      <c r="DN345" s="47" t="s">
        <v>0</v>
      </c>
      <c r="DO345" s="52" t="str">
        <f t="shared" si="449"/>
        <v/>
      </c>
      <c r="DP345" s="53" t="str">
        <f t="shared" si="450"/>
        <v/>
      </c>
      <c r="DQ345" s="47" t="s">
        <v>0</v>
      </c>
      <c r="DR345" s="52" t="str">
        <f t="shared" si="451"/>
        <v/>
      </c>
      <c r="DS345" s="53" t="str">
        <f t="shared" si="452"/>
        <v/>
      </c>
      <c r="DT345" s="47" t="s">
        <v>0</v>
      </c>
      <c r="DU345" s="52" t="str">
        <f t="shared" si="453"/>
        <v/>
      </c>
      <c r="DV345" s="53" t="str">
        <f t="shared" si="454"/>
        <v/>
      </c>
      <c r="DW345" s="47" t="s">
        <v>0</v>
      </c>
      <c r="DX345" s="58" t="str">
        <f t="shared" si="497"/>
        <v/>
      </c>
      <c r="DY345" s="53" t="str" cm="1">
        <f t="array" ref="DY345">IF(DX345&lt;&gt;"",INDEX(regNatjecatelj_id,DX345,0),IF(BD345&lt;&gt;"",BD345,""))</f>
        <v/>
      </c>
      <c r="DZ345" s="47" t="s">
        <v>0</v>
      </c>
      <c r="EA345" s="58" t="str">
        <f t="shared" si="455"/>
        <v/>
      </c>
      <c r="EB345" s="73" t="str">
        <f t="shared" si="456"/>
        <v/>
      </c>
      <c r="EC345" s="73" t="str">
        <f t="shared" si="457"/>
        <v/>
      </c>
      <c r="ED345" s="73" t="str">
        <f t="shared" si="458"/>
        <v/>
      </c>
      <c r="EE345" s="66" t="str">
        <f t="shared" si="459"/>
        <v/>
      </c>
      <c r="EF345" s="47" t="s">
        <v>0</v>
      </c>
      <c r="EG345" s="58" t="str">
        <f>IF(AL345="","",MAX(EG$12:EG344)+1)</f>
        <v/>
      </c>
      <c r="EH345" s="73" t="str">
        <f t="shared" si="460"/>
        <v/>
      </c>
      <c r="EI345" s="73" t="str">
        <f t="shared" si="498"/>
        <v/>
      </c>
      <c r="EJ345" s="73" t="str">
        <f t="shared" si="461"/>
        <v/>
      </c>
      <c r="EK345" s="73" t="str">
        <f t="shared" si="462"/>
        <v/>
      </c>
      <c r="EL345" s="73" t="str">
        <f t="shared" si="499"/>
        <v/>
      </c>
      <c r="EM345" s="73" t="str">
        <f t="shared" si="500"/>
        <v/>
      </c>
      <c r="EN345" s="73" t="str">
        <f t="shared" si="463"/>
        <v/>
      </c>
      <c r="EO345" s="73" t="str">
        <f t="shared" si="464"/>
        <v/>
      </c>
      <c r="EP345" s="73" t="str">
        <f t="shared" si="465"/>
        <v/>
      </c>
      <c r="EQ345" s="53" t="str">
        <f t="shared" si="466"/>
        <v/>
      </c>
      <c r="ER345" s="47" t="s">
        <v>0</v>
      </c>
      <c r="ES345" s="19" t="str">
        <f t="shared" si="501"/>
        <v/>
      </c>
      <c r="ET345" s="47" t="s">
        <v>0</v>
      </c>
      <c r="EU345" s="19" t="str">
        <f t="shared" si="502"/>
        <v/>
      </c>
      <c r="EV345" s="47" t="s">
        <v>0</v>
      </c>
      <c r="EW345" s="180" t="str">
        <f t="shared" si="467"/>
        <v/>
      </c>
      <c r="EX345" s="47" t="s">
        <v>0</v>
      </c>
    </row>
    <row r="346" spans="1:154" x14ac:dyDescent="0.25">
      <c r="A346" t="s">
        <v>0</v>
      </c>
      <c r="B346" s="52" t="str">
        <f>IF(csv!F336="","",csv!T336)</f>
        <v>Ž70</v>
      </c>
      <c r="C346" s="31" t="s">
        <v>0</v>
      </c>
      <c r="D346" s="31" t="str">
        <f>IF(csv!F336="","",csv!F336)</f>
        <v>Vacant</v>
      </c>
      <c r="E346" s="31" t="str">
        <f>IF(csv!E336="","",csv!E336)</f>
        <v/>
      </c>
      <c r="F346" s="31" t="s">
        <v>0</v>
      </c>
      <c r="G346" s="73" t="str">
        <f>IF(csv!M336="","",csv!M336)</f>
        <v/>
      </c>
      <c r="H346" s="73" t="str">
        <f>IF(csv!N336="","",csv!N336)</f>
        <v>0</v>
      </c>
      <c r="I346" s="31" t="s">
        <v>0</v>
      </c>
      <c r="J346" s="31" t="str">
        <f>IF(csv!P336="","",csv!P336)</f>
        <v/>
      </c>
      <c r="K346" s="31" t="str">
        <f>IF(csv!Q336="","",csv!Q336)</f>
        <v/>
      </c>
      <c r="L346" s="31" t="s">
        <v>0</v>
      </c>
      <c r="M346" s="66" t="str">
        <f>IF(csv!R336="","",csv!R336)</f>
        <v/>
      </c>
      <c r="N346" s="47" t="s">
        <v>0</v>
      </c>
      <c r="O346" s="246" t="str">
        <f t="shared" si="468"/>
        <v/>
      </c>
      <c r="P346" s="47"/>
      <c r="Q346" s="52" t="str">
        <f t="shared" si="469"/>
        <v>Ž70</v>
      </c>
      <c r="R346" s="73">
        <f>IF(Q346="","",IF(COUNTIF(Q$12:Q345,Q346)=0,R345+1,R345))</f>
        <v>23</v>
      </c>
      <c r="S346" s="73">
        <f t="shared" si="470"/>
        <v>113</v>
      </c>
      <c r="T346" s="73" t="str">
        <f t="shared" si="434"/>
        <v/>
      </c>
      <c r="U346" s="66" t="str">
        <f t="shared" si="435"/>
        <v/>
      </c>
      <c r="V346" s="47" t="s">
        <v>0</v>
      </c>
      <c r="W346" s="222" t="str">
        <f t="shared" si="436"/>
        <v/>
      </c>
      <c r="X346" s="223" t="str">
        <f t="shared" si="437"/>
        <v/>
      </c>
      <c r="Y346" s="47" t="s">
        <v>0</v>
      </c>
      <c r="Z346" s="52" t="str">
        <f t="shared" si="471"/>
        <v/>
      </c>
      <c r="AA346" s="73" t="str">
        <f t="shared" si="438"/>
        <v/>
      </c>
      <c r="AB346" s="31" t="str">
        <f t="shared" si="472"/>
        <v/>
      </c>
      <c r="AC346" s="66" t="str">
        <f>IF(AB346="","",MAX(AC$12:AC345)+1)</f>
        <v/>
      </c>
      <c r="AD346" s="47" t="s">
        <v>0</v>
      </c>
      <c r="AE346" s="125"/>
      <c r="AF346" s="47" t="s">
        <v>0</v>
      </c>
      <c r="AG346" s="19" t="str">
        <f t="shared" si="473"/>
        <v/>
      </c>
      <c r="AH346" s="47" t="s">
        <v>0</v>
      </c>
      <c r="AI346" s="143" t="str">
        <f t="shared" si="474"/>
        <v/>
      </c>
      <c r="AJ346" s="47"/>
      <c r="AK346" s="52" t="str">
        <f t="shared" si="475"/>
        <v/>
      </c>
      <c r="AL346" s="31" t="str">
        <f t="shared" si="476"/>
        <v/>
      </c>
      <c r="AM346" s="73" t="str">
        <f t="shared" si="477"/>
        <v/>
      </c>
      <c r="AN346" s="73" t="str">
        <f t="shared" si="478"/>
        <v/>
      </c>
      <c r="AO346" s="31" t="str">
        <f t="shared" si="439"/>
        <v/>
      </c>
      <c r="AP346" s="66" t="str">
        <f t="shared" si="440"/>
        <v/>
      </c>
      <c r="AQ346" s="47" t="s">
        <v>0</v>
      </c>
      <c r="AR346" s="82" t="str">
        <f t="shared" si="479"/>
        <v/>
      </c>
      <c r="AS346" s="47" t="s">
        <v>0</v>
      </c>
      <c r="AT346" s="19" t="str">
        <f t="shared" si="480"/>
        <v/>
      </c>
      <c r="AU346" s="47" t="s">
        <v>0</v>
      </c>
      <c r="AV346" s="103"/>
      <c r="AW346" s="105"/>
      <c r="AX346" s="47" t="s">
        <v>0</v>
      </c>
      <c r="AY346" s="259" t="str">
        <f t="shared" si="503"/>
        <v/>
      </c>
      <c r="AZ346" s="47" t="s">
        <v>0</v>
      </c>
      <c r="BA346" s="52" t="str">
        <f t="shared" si="433"/>
        <v/>
      </c>
      <c r="BB346" s="73" t="str">
        <f>IF(AV346&amp;AW346="","",MAX(BB$12:BB345)+1)</f>
        <v/>
      </c>
      <c r="BC346" s="272" t="str">
        <f t="shared" si="441"/>
        <v/>
      </c>
      <c r="BD346" s="53" t="str">
        <f>IF(AND(AM346="NEMA",AN346="NEMA",OR(AV346&amp;AW346="",BC346="NEMA")),MAX(BD$12:BD345)+1,"")</f>
        <v/>
      </c>
      <c r="BE346" s="47" t="s">
        <v>0</v>
      </c>
      <c r="BF346" s="52" t="str">
        <f t="shared" si="481"/>
        <v/>
      </c>
      <c r="BG346" s="66" t="str">
        <f t="shared" si="482"/>
        <v/>
      </c>
      <c r="BH346" s="47" t="s">
        <v>0</v>
      </c>
      <c r="BI346" s="52" t="str">
        <f t="shared" si="442"/>
        <v/>
      </c>
      <c r="BJ346" s="31" t="str">
        <f t="shared" si="443"/>
        <v/>
      </c>
      <c r="BK346" s="73" t="str">
        <f t="shared" si="444"/>
        <v/>
      </c>
      <c r="BL346" s="31" t="str" cm="1">
        <f t="array" ref="BL346">IF(BK346="",""&amp;BJ346,IF(BK346="NEMA",BJ346,INDEX(regKlub_naziv,MATCH(INDEX(regKlub_alias_klubId,BK346),regKlub_id,0))))</f>
        <v/>
      </c>
      <c r="BM346" s="31" t="str" cm="1">
        <f t="array" ref="BM346">IFERROR(""&amp;INDEX(regNatjecatelj_klub,DV346),"")</f>
        <v/>
      </c>
      <c r="BN346" s="88" t="str">
        <f t="shared" si="483"/>
        <v/>
      </c>
      <c r="BO346" s="66" t="str">
        <f t="shared" si="484"/>
        <v/>
      </c>
      <c r="BP346" s="47" t="s">
        <v>0</v>
      </c>
      <c r="BQ346" s="52" t="str">
        <f>IF(X346&lt;&gt;"NEMA","",IF(IFERROR(MATCH(W346,W$12:W345,0),0)&lt;&gt;0,"",W346))</f>
        <v/>
      </c>
      <c r="BR346" s="73" t="str">
        <f t="shared" si="485"/>
        <v/>
      </c>
      <c r="BS346" s="31" t="str">
        <f>IF(OR(BR346="",BR346&lt;&gt;"NEMA"),"",MAX(BS$12:BS345)+1)</f>
        <v/>
      </c>
      <c r="BT346" s="66" t="str">
        <f t="shared" si="486"/>
        <v/>
      </c>
      <c r="BU346" s="47" t="s">
        <v>0</v>
      </c>
      <c r="BV346" s="19" t="str">
        <f t="shared" si="487"/>
        <v/>
      </c>
      <c r="BW346" s="47" t="s">
        <v>0</v>
      </c>
      <c r="BX346" s="82" t="str">
        <f>IF(BK346&lt;&gt;"NEMA","",IF(IFERROR(MATCH(BJ346,BJ$12:BJ345,0),0)&lt;&gt;0,"",BJ346))</f>
        <v/>
      </c>
      <c r="BY346" s="47" t="s">
        <v>0</v>
      </c>
      <c r="BZ346" s="125"/>
      <c r="CA346" s="47" t="s">
        <v>0</v>
      </c>
      <c r="CB346" s="58" t="str">
        <f t="shared" si="488"/>
        <v/>
      </c>
      <c r="CC346" s="31" t="str">
        <f t="shared" si="489"/>
        <v/>
      </c>
      <c r="CD346" s="31" t="str">
        <f>IF(CC346="","",MAX(CD$12:CD345)+1)</f>
        <v/>
      </c>
      <c r="CE346" s="31" t="str">
        <f t="shared" si="445"/>
        <v/>
      </c>
      <c r="CF346" s="31" t="str">
        <f t="shared" si="490"/>
        <v/>
      </c>
      <c r="CG346" s="31" t="str">
        <f>IF(BZ346="","",MAX(CG$12:CG345)+1)</f>
        <v/>
      </c>
      <c r="CH346" s="31" t="str">
        <f t="shared" si="491"/>
        <v/>
      </c>
      <c r="CI346" s="66" t="str">
        <f t="shared" si="492"/>
        <v/>
      </c>
      <c r="CJ346" s="47" t="s">
        <v>0</v>
      </c>
      <c r="CK346" s="73" t="str">
        <f t="shared" si="446"/>
        <v/>
      </c>
      <c r="CL346" s="47"/>
      <c r="CM346" s="19" t="str">
        <f t="shared" si="493"/>
        <v/>
      </c>
      <c r="CN346" s="47" t="s">
        <v>0</v>
      </c>
      <c r="CO346" s="143" t="str">
        <f t="shared" si="494"/>
        <v/>
      </c>
      <c r="CP346" s="47" t="s">
        <v>0</v>
      </c>
      <c r="CQ346" s="58" t="str">
        <f t="shared" si="430"/>
        <v/>
      </c>
      <c r="CR346" s="73" t="str">
        <f t="shared" si="431"/>
        <v>0</v>
      </c>
      <c r="CS346" s="229" t="str">
        <f t="shared" si="447"/>
        <v/>
      </c>
      <c r="CT346" s="230" t="str">
        <f t="shared" si="432"/>
        <v/>
      </c>
      <c r="CU346" s="163" t="str">
        <f t="shared" si="448"/>
        <v/>
      </c>
      <c r="CV346" s="47" t="s">
        <v>0</v>
      </c>
      <c r="CW346" s="222" t="str">
        <f t="shared" si="495"/>
        <v xml:space="preserve">
</v>
      </c>
      <c r="CX346" s="223" t="str">
        <f t="shared" si="496"/>
        <v/>
      </c>
      <c r="CY346" s="47" t="s">
        <v>0</v>
      </c>
      <c r="CZ346" s="47"/>
      <c r="DA346" s="47"/>
      <c r="DB346" s="47"/>
      <c r="DC346" s="47" t="s">
        <v>0</v>
      </c>
      <c r="DD346" s="53" t="str">
        <f t="shared" si="504"/>
        <v/>
      </c>
      <c r="DE346" t="s">
        <v>0</v>
      </c>
      <c r="DF346" s="128" t="str">
        <f t="shared" si="505"/>
        <v>Ž</v>
      </c>
      <c r="DG346" t="s">
        <v>0</v>
      </c>
      <c r="DH346" s="52" t="str">
        <f t="shared" si="506"/>
        <v/>
      </c>
      <c r="DI346" s="66" t="str">
        <f t="shared" si="507"/>
        <v/>
      </c>
      <c r="DJ346" t="s">
        <v>0</v>
      </c>
      <c r="DK346" s="19" t="str">
        <f t="shared" si="508"/>
        <v/>
      </c>
      <c r="DL346" s="47" t="s">
        <v>0</v>
      </c>
      <c r="DM346" s="19" t="str">
        <f t="shared" si="509"/>
        <v/>
      </c>
      <c r="DN346" s="47" t="s">
        <v>0</v>
      </c>
      <c r="DO346" s="52" t="str">
        <f t="shared" si="449"/>
        <v/>
      </c>
      <c r="DP346" s="53" t="str">
        <f t="shared" si="450"/>
        <v/>
      </c>
      <c r="DQ346" s="47" t="s">
        <v>0</v>
      </c>
      <c r="DR346" s="52" t="str">
        <f t="shared" si="451"/>
        <v/>
      </c>
      <c r="DS346" s="53" t="str">
        <f t="shared" si="452"/>
        <v/>
      </c>
      <c r="DT346" s="47" t="s">
        <v>0</v>
      </c>
      <c r="DU346" s="52" t="str">
        <f t="shared" si="453"/>
        <v/>
      </c>
      <c r="DV346" s="53" t="str">
        <f t="shared" si="454"/>
        <v/>
      </c>
      <c r="DW346" s="47" t="s">
        <v>0</v>
      </c>
      <c r="DX346" s="58" t="str">
        <f t="shared" si="497"/>
        <v/>
      </c>
      <c r="DY346" s="53" t="str" cm="1">
        <f t="array" ref="DY346">IF(DX346&lt;&gt;"",INDEX(regNatjecatelj_id,DX346,0),IF(BD346&lt;&gt;"",BD346,""))</f>
        <v/>
      </c>
      <c r="DZ346" s="47" t="s">
        <v>0</v>
      </c>
      <c r="EA346" s="58" t="str">
        <f t="shared" si="455"/>
        <v/>
      </c>
      <c r="EB346" s="73" t="str">
        <f t="shared" si="456"/>
        <v/>
      </c>
      <c r="EC346" s="73" t="str">
        <f t="shared" si="457"/>
        <v/>
      </c>
      <c r="ED346" s="73" t="str">
        <f t="shared" si="458"/>
        <v/>
      </c>
      <c r="EE346" s="66" t="str">
        <f t="shared" si="459"/>
        <v/>
      </c>
      <c r="EF346" s="47" t="s">
        <v>0</v>
      </c>
      <c r="EG346" s="58" t="str">
        <f>IF(AL346="","",MAX(EG$12:EG345)+1)</f>
        <v/>
      </c>
      <c r="EH346" s="73" t="str">
        <f t="shared" si="460"/>
        <v/>
      </c>
      <c r="EI346" s="73" t="str">
        <f t="shared" si="498"/>
        <v/>
      </c>
      <c r="EJ346" s="73" t="str">
        <f t="shared" si="461"/>
        <v/>
      </c>
      <c r="EK346" s="73" t="str">
        <f t="shared" si="462"/>
        <v/>
      </c>
      <c r="EL346" s="73" t="str">
        <f t="shared" si="499"/>
        <v/>
      </c>
      <c r="EM346" s="73" t="str">
        <f t="shared" si="500"/>
        <v/>
      </c>
      <c r="EN346" s="73" t="str">
        <f t="shared" si="463"/>
        <v/>
      </c>
      <c r="EO346" s="73" t="str">
        <f t="shared" si="464"/>
        <v/>
      </c>
      <c r="EP346" s="73" t="str">
        <f t="shared" si="465"/>
        <v/>
      </c>
      <c r="EQ346" s="53" t="str">
        <f t="shared" si="466"/>
        <v/>
      </c>
      <c r="ER346" s="47" t="s">
        <v>0</v>
      </c>
      <c r="ES346" s="19" t="str">
        <f t="shared" si="501"/>
        <v/>
      </c>
      <c r="ET346" s="47" t="s">
        <v>0</v>
      </c>
      <c r="EU346" s="19" t="str">
        <f t="shared" si="502"/>
        <v/>
      </c>
      <c r="EV346" s="47" t="s">
        <v>0</v>
      </c>
      <c r="EW346" s="180" t="str">
        <f t="shared" si="467"/>
        <v/>
      </c>
      <c r="EX346" s="47" t="s">
        <v>0</v>
      </c>
    </row>
    <row r="347" spans="1:154" x14ac:dyDescent="0.25">
      <c r="A347" t="s">
        <v>0</v>
      </c>
      <c r="B347" s="52" t="str">
        <f>IF(csv!F337="","",csv!T337)</f>
        <v/>
      </c>
      <c r="C347" s="31" t="s">
        <v>0</v>
      </c>
      <c r="D347" s="31" t="str">
        <f>IF(csv!F337="","",csv!F337)</f>
        <v/>
      </c>
      <c r="E347" s="31" t="str">
        <f>IF(csv!E337="","",csv!E337)</f>
        <v/>
      </c>
      <c r="F347" s="31" t="s">
        <v>0</v>
      </c>
      <c r="G347" s="73" t="str">
        <f>IF(csv!M337="","",csv!M337)</f>
        <v/>
      </c>
      <c r="H347" s="73" t="str">
        <f>IF(csv!N337="","",csv!N337)</f>
        <v/>
      </c>
      <c r="I347" s="31" t="s">
        <v>0</v>
      </c>
      <c r="J347" s="31" t="str">
        <f>IF(csv!P337="","",csv!P337)</f>
        <v/>
      </c>
      <c r="K347" s="31" t="str">
        <f>IF(csv!Q337="","",csv!Q337)</f>
        <v/>
      </c>
      <c r="L347" s="31" t="s">
        <v>0</v>
      </c>
      <c r="M347" s="66" t="str">
        <f>IF(csv!R337="","",csv!R337)</f>
        <v/>
      </c>
      <c r="N347" s="47" t="s">
        <v>0</v>
      </c>
      <c r="O347" s="246" t="str">
        <f t="shared" si="468"/>
        <v/>
      </c>
      <c r="P347" s="47"/>
      <c r="Q347" s="52" t="str">
        <f t="shared" si="469"/>
        <v/>
      </c>
      <c r="R347" s="73" t="str">
        <f>IF(Q347="","",IF(COUNTIF(Q$12:Q346,Q347)=0,R346+1,R346))</f>
        <v/>
      </c>
      <c r="S347" s="73" t="str">
        <f t="shared" si="470"/>
        <v/>
      </c>
      <c r="T347" s="73" t="str">
        <f t="shared" si="434"/>
        <v/>
      </c>
      <c r="U347" s="66" t="str">
        <f t="shared" si="435"/>
        <v/>
      </c>
      <c r="V347" s="47" t="s">
        <v>0</v>
      </c>
      <c r="W347" s="222" t="str">
        <f t="shared" si="436"/>
        <v/>
      </c>
      <c r="X347" s="223" t="str">
        <f t="shared" si="437"/>
        <v/>
      </c>
      <c r="Y347" s="47" t="s">
        <v>0</v>
      </c>
      <c r="Z347" s="52" t="str">
        <f t="shared" si="471"/>
        <v/>
      </c>
      <c r="AA347" s="73" t="str">
        <f t="shared" si="438"/>
        <v/>
      </c>
      <c r="AB347" s="31" t="str">
        <f t="shared" si="472"/>
        <v/>
      </c>
      <c r="AC347" s="66" t="str">
        <f>IF(AB347="","",MAX(AC$12:AC346)+1)</f>
        <v/>
      </c>
      <c r="AD347" s="47" t="s">
        <v>0</v>
      </c>
      <c r="AE347" s="125"/>
      <c r="AF347" s="47" t="s">
        <v>0</v>
      </c>
      <c r="AG347" s="19" t="str">
        <f t="shared" si="473"/>
        <v/>
      </c>
      <c r="AH347" s="47" t="s">
        <v>0</v>
      </c>
      <c r="AI347" s="143" t="str">
        <f t="shared" si="474"/>
        <v/>
      </c>
      <c r="AJ347" s="47"/>
      <c r="AK347" s="52" t="str">
        <f t="shared" si="475"/>
        <v/>
      </c>
      <c r="AL347" s="31" t="str">
        <f t="shared" si="476"/>
        <v/>
      </c>
      <c r="AM347" s="73" t="str">
        <f t="shared" si="477"/>
        <v/>
      </c>
      <c r="AN347" s="73" t="str">
        <f t="shared" si="478"/>
        <v/>
      </c>
      <c r="AO347" s="31" t="str">
        <f t="shared" si="439"/>
        <v/>
      </c>
      <c r="AP347" s="66" t="str">
        <f t="shared" si="440"/>
        <v/>
      </c>
      <c r="AQ347" s="47" t="s">
        <v>0</v>
      </c>
      <c r="AR347" s="82" t="str">
        <f t="shared" si="479"/>
        <v/>
      </c>
      <c r="AS347" s="47" t="s">
        <v>0</v>
      </c>
      <c r="AT347" s="19" t="str">
        <f t="shared" si="480"/>
        <v/>
      </c>
      <c r="AU347" s="47" t="s">
        <v>0</v>
      </c>
      <c r="AV347" s="103"/>
      <c r="AW347" s="105"/>
      <c r="AX347" s="47" t="s">
        <v>0</v>
      </c>
      <c r="AY347" s="259" t="str">
        <f t="shared" si="503"/>
        <v/>
      </c>
      <c r="AZ347" s="47" t="s">
        <v>0</v>
      </c>
      <c r="BA347" s="52" t="str">
        <f t="shared" si="433"/>
        <v/>
      </c>
      <c r="BB347" s="73" t="str">
        <f>IF(AV347&amp;AW347="","",MAX(BB$12:BB346)+1)</f>
        <v/>
      </c>
      <c r="BC347" s="272" t="str">
        <f t="shared" si="441"/>
        <v/>
      </c>
      <c r="BD347" s="53" t="str">
        <f>IF(AND(AM347="NEMA",AN347="NEMA",OR(AV347&amp;AW347="",BC347="NEMA")),MAX(BD$12:BD346)+1,"")</f>
        <v/>
      </c>
      <c r="BE347" s="47" t="s">
        <v>0</v>
      </c>
      <c r="BF347" s="52" t="str">
        <f t="shared" si="481"/>
        <v/>
      </c>
      <c r="BG347" s="66" t="str">
        <f t="shared" si="482"/>
        <v/>
      </c>
      <c r="BH347" s="47" t="s">
        <v>0</v>
      </c>
      <c r="BI347" s="52" t="str">
        <f t="shared" si="442"/>
        <v/>
      </c>
      <c r="BJ347" s="31" t="str">
        <f t="shared" si="443"/>
        <v/>
      </c>
      <c r="BK347" s="73" t="str">
        <f t="shared" si="444"/>
        <v/>
      </c>
      <c r="BL347" s="31" t="str" cm="1">
        <f t="array" ref="BL347">IF(BK347="",""&amp;BJ347,IF(BK347="NEMA",BJ347,INDEX(regKlub_naziv,MATCH(INDEX(regKlub_alias_klubId,BK347),regKlub_id,0))))</f>
        <v/>
      </c>
      <c r="BM347" s="31" t="str" cm="1">
        <f t="array" ref="BM347">IFERROR(""&amp;INDEX(regNatjecatelj_klub,DV347),"")</f>
        <v/>
      </c>
      <c r="BN347" s="88" t="str">
        <f t="shared" si="483"/>
        <v/>
      </c>
      <c r="BO347" s="66" t="str">
        <f t="shared" si="484"/>
        <v/>
      </c>
      <c r="BP347" s="47" t="s">
        <v>0</v>
      </c>
      <c r="BQ347" s="52" t="str">
        <f>IF(X347&lt;&gt;"NEMA","",IF(IFERROR(MATCH(W347,W$12:W346,0),0)&lt;&gt;0,"",W347))</f>
        <v/>
      </c>
      <c r="BR347" s="73" t="str">
        <f t="shared" si="485"/>
        <v/>
      </c>
      <c r="BS347" s="31" t="str">
        <f>IF(OR(BR347="",BR347&lt;&gt;"NEMA"),"",MAX(BS$12:BS346)+1)</f>
        <v/>
      </c>
      <c r="BT347" s="66" t="str">
        <f t="shared" si="486"/>
        <v/>
      </c>
      <c r="BU347" s="47" t="s">
        <v>0</v>
      </c>
      <c r="BV347" s="19" t="str">
        <f t="shared" si="487"/>
        <v/>
      </c>
      <c r="BW347" s="47" t="s">
        <v>0</v>
      </c>
      <c r="BX347" s="82" t="str">
        <f>IF(BK347&lt;&gt;"NEMA","",IF(IFERROR(MATCH(BJ347,BJ$12:BJ346,0),0)&lt;&gt;0,"",BJ347))</f>
        <v/>
      </c>
      <c r="BY347" s="47" t="s">
        <v>0</v>
      </c>
      <c r="BZ347" s="125"/>
      <c r="CA347" s="47" t="s">
        <v>0</v>
      </c>
      <c r="CB347" s="58" t="str">
        <f t="shared" si="488"/>
        <v/>
      </c>
      <c r="CC347" s="31" t="str">
        <f t="shared" si="489"/>
        <v/>
      </c>
      <c r="CD347" s="31" t="str">
        <f>IF(CC347="","",MAX(CD$12:CD346)+1)</f>
        <v/>
      </c>
      <c r="CE347" s="31" t="str">
        <f t="shared" si="445"/>
        <v/>
      </c>
      <c r="CF347" s="31" t="str">
        <f t="shared" si="490"/>
        <v/>
      </c>
      <c r="CG347" s="31" t="str">
        <f>IF(BZ347="","",MAX(CG$12:CG346)+1)</f>
        <v/>
      </c>
      <c r="CH347" s="31" t="str">
        <f t="shared" si="491"/>
        <v/>
      </c>
      <c r="CI347" s="66" t="str">
        <f t="shared" si="492"/>
        <v/>
      </c>
      <c r="CJ347" s="47" t="s">
        <v>0</v>
      </c>
      <c r="CK347" s="73" t="str">
        <f t="shared" si="446"/>
        <v/>
      </c>
      <c r="CL347" s="47"/>
      <c r="CM347" s="19" t="str">
        <f t="shared" si="493"/>
        <v/>
      </c>
      <c r="CN347" s="47" t="s">
        <v>0</v>
      </c>
      <c r="CO347" s="143" t="str">
        <f t="shared" si="494"/>
        <v/>
      </c>
      <c r="CP347" s="47" t="s">
        <v>0</v>
      </c>
      <c r="CQ347" s="58" t="str">
        <f t="shared" si="430"/>
        <v/>
      </c>
      <c r="CR347" s="73" t="str">
        <f t="shared" si="431"/>
        <v/>
      </c>
      <c r="CS347" s="229" t="str">
        <f t="shared" si="447"/>
        <v/>
      </c>
      <c r="CT347" s="230" t="str">
        <f t="shared" si="432"/>
        <v/>
      </c>
      <c r="CU347" s="163" t="str">
        <f t="shared" si="448"/>
        <v/>
      </c>
      <c r="CV347" s="47" t="s">
        <v>0</v>
      </c>
      <c r="CW347" s="222" t="str">
        <f t="shared" si="495"/>
        <v xml:space="preserve">
</v>
      </c>
      <c r="CX347" s="223" t="str">
        <f t="shared" si="496"/>
        <v/>
      </c>
      <c r="CY347" s="47" t="s">
        <v>0</v>
      </c>
      <c r="CZ347" s="47"/>
      <c r="DA347" s="47"/>
      <c r="DB347" s="47"/>
      <c r="DC347" s="47" t="s">
        <v>0</v>
      </c>
      <c r="DD347" s="53" t="str">
        <f t="shared" si="504"/>
        <v/>
      </c>
      <c r="DE347" t="s">
        <v>0</v>
      </c>
      <c r="DF347" s="128" t="str">
        <f t="shared" si="505"/>
        <v/>
      </c>
      <c r="DG347" t="s">
        <v>0</v>
      </c>
      <c r="DH347" s="52" t="str">
        <f t="shared" si="506"/>
        <v/>
      </c>
      <c r="DI347" s="66" t="str">
        <f t="shared" si="507"/>
        <v/>
      </c>
      <c r="DJ347" t="s">
        <v>0</v>
      </c>
      <c r="DK347" s="19" t="str">
        <f t="shared" si="508"/>
        <v/>
      </c>
      <c r="DL347" s="47" t="s">
        <v>0</v>
      </c>
      <c r="DM347" s="19" t="str">
        <f t="shared" si="509"/>
        <v/>
      </c>
      <c r="DN347" s="47" t="s">
        <v>0</v>
      </c>
      <c r="DO347" s="52" t="str">
        <f t="shared" si="449"/>
        <v/>
      </c>
      <c r="DP347" s="53" t="str">
        <f t="shared" si="450"/>
        <v/>
      </c>
      <c r="DQ347" s="47" t="s">
        <v>0</v>
      </c>
      <c r="DR347" s="52" t="str">
        <f t="shared" si="451"/>
        <v/>
      </c>
      <c r="DS347" s="53" t="str">
        <f t="shared" si="452"/>
        <v/>
      </c>
      <c r="DT347" s="47" t="s">
        <v>0</v>
      </c>
      <c r="DU347" s="52" t="str">
        <f t="shared" si="453"/>
        <v/>
      </c>
      <c r="DV347" s="53" t="str">
        <f t="shared" si="454"/>
        <v/>
      </c>
      <c r="DW347" s="47" t="s">
        <v>0</v>
      </c>
      <c r="DX347" s="58" t="str">
        <f t="shared" si="497"/>
        <v/>
      </c>
      <c r="DY347" s="53" t="str" cm="1">
        <f t="array" ref="DY347">IF(DX347&lt;&gt;"",INDEX(regNatjecatelj_id,DX347,0),IF(BD347&lt;&gt;"",BD347,""))</f>
        <v/>
      </c>
      <c r="DZ347" s="47" t="s">
        <v>0</v>
      </c>
      <c r="EA347" s="58" t="str">
        <f t="shared" si="455"/>
        <v/>
      </c>
      <c r="EB347" s="73" t="str">
        <f t="shared" si="456"/>
        <v/>
      </c>
      <c r="EC347" s="73" t="str">
        <f t="shared" si="457"/>
        <v/>
      </c>
      <c r="ED347" s="73" t="str">
        <f t="shared" si="458"/>
        <v/>
      </c>
      <c r="EE347" s="66" t="str">
        <f t="shared" si="459"/>
        <v/>
      </c>
      <c r="EF347" s="47" t="s">
        <v>0</v>
      </c>
      <c r="EG347" s="58" t="str">
        <f>IF(AL347="","",MAX(EG$12:EG346)+1)</f>
        <v/>
      </c>
      <c r="EH347" s="73" t="str">
        <f t="shared" si="460"/>
        <v/>
      </c>
      <c r="EI347" s="73" t="str">
        <f t="shared" si="498"/>
        <v/>
      </c>
      <c r="EJ347" s="73" t="str">
        <f t="shared" si="461"/>
        <v/>
      </c>
      <c r="EK347" s="73" t="str">
        <f t="shared" si="462"/>
        <v/>
      </c>
      <c r="EL347" s="73" t="str">
        <f t="shared" si="499"/>
        <v/>
      </c>
      <c r="EM347" s="73" t="str">
        <f t="shared" si="500"/>
        <v/>
      </c>
      <c r="EN347" s="73" t="str">
        <f t="shared" si="463"/>
        <v/>
      </c>
      <c r="EO347" s="73" t="str">
        <f t="shared" si="464"/>
        <v/>
      </c>
      <c r="EP347" s="73" t="str">
        <f t="shared" si="465"/>
        <v/>
      </c>
      <c r="EQ347" s="53" t="str">
        <f t="shared" si="466"/>
        <v/>
      </c>
      <c r="ER347" s="47" t="s">
        <v>0</v>
      </c>
      <c r="ES347" s="19" t="str">
        <f t="shared" si="501"/>
        <v/>
      </c>
      <c r="ET347" s="47" t="s">
        <v>0</v>
      </c>
      <c r="EU347" s="19" t="str">
        <f t="shared" si="502"/>
        <v/>
      </c>
      <c r="EV347" s="47" t="s">
        <v>0</v>
      </c>
      <c r="EW347" s="180" t="str">
        <f t="shared" si="467"/>
        <v/>
      </c>
      <c r="EX347" s="47" t="s">
        <v>0</v>
      </c>
    </row>
    <row r="348" spans="1:154" x14ac:dyDescent="0.25">
      <c r="A348" t="s">
        <v>0</v>
      </c>
      <c r="B348" s="52" t="str">
        <f>IF(csv!F338="","",csv!T338)</f>
        <v/>
      </c>
      <c r="C348" s="31" t="s">
        <v>0</v>
      </c>
      <c r="D348" s="31" t="str">
        <f>IF(csv!F338="","",csv!F338)</f>
        <v/>
      </c>
      <c r="E348" s="31" t="str">
        <f>IF(csv!E338="","",csv!E338)</f>
        <v/>
      </c>
      <c r="F348" s="31" t="s">
        <v>0</v>
      </c>
      <c r="G348" s="73" t="str">
        <f>IF(csv!M338="","",csv!M338)</f>
        <v/>
      </c>
      <c r="H348" s="73" t="str">
        <f>IF(csv!N338="","",csv!N338)</f>
        <v/>
      </c>
      <c r="I348" s="31" t="s">
        <v>0</v>
      </c>
      <c r="J348" s="31" t="str">
        <f>IF(csv!P338="","",csv!P338)</f>
        <v/>
      </c>
      <c r="K348" s="31" t="str">
        <f>IF(csv!Q338="","",csv!Q338)</f>
        <v/>
      </c>
      <c r="L348" s="31" t="s">
        <v>0</v>
      </c>
      <c r="M348" s="66" t="str">
        <f>IF(csv!R338="","",csv!R338)</f>
        <v/>
      </c>
      <c r="N348" s="47" t="s">
        <v>0</v>
      </c>
      <c r="O348" s="246" t="str">
        <f t="shared" si="468"/>
        <v/>
      </c>
      <c r="P348" s="47"/>
      <c r="Q348" s="52" t="str">
        <f t="shared" si="469"/>
        <v/>
      </c>
      <c r="R348" s="73" t="str">
        <f>IF(Q348="","",IF(COUNTIF(Q$12:Q347,Q348)=0,R347+1,R347))</f>
        <v/>
      </c>
      <c r="S348" s="73" t="str">
        <f t="shared" si="470"/>
        <v/>
      </c>
      <c r="T348" s="73" t="str">
        <f t="shared" si="434"/>
        <v/>
      </c>
      <c r="U348" s="66" t="str">
        <f t="shared" si="435"/>
        <v/>
      </c>
      <c r="V348" s="47" t="s">
        <v>0</v>
      </c>
      <c r="W348" s="222" t="str">
        <f t="shared" si="436"/>
        <v/>
      </c>
      <c r="X348" s="223" t="str">
        <f t="shared" si="437"/>
        <v/>
      </c>
      <c r="Y348" s="47" t="s">
        <v>0</v>
      </c>
      <c r="Z348" s="52" t="str">
        <f t="shared" si="471"/>
        <v/>
      </c>
      <c r="AA348" s="73" t="str">
        <f t="shared" si="438"/>
        <v/>
      </c>
      <c r="AB348" s="31" t="str">
        <f t="shared" si="472"/>
        <v/>
      </c>
      <c r="AC348" s="66" t="str">
        <f>IF(AB348="","",MAX(AC$12:AC347)+1)</f>
        <v/>
      </c>
      <c r="AD348" s="47" t="s">
        <v>0</v>
      </c>
      <c r="AE348" s="125"/>
      <c r="AF348" s="47" t="s">
        <v>0</v>
      </c>
      <c r="AG348" s="19" t="str">
        <f t="shared" si="473"/>
        <v/>
      </c>
      <c r="AH348" s="47" t="s">
        <v>0</v>
      </c>
      <c r="AI348" s="143" t="str">
        <f t="shared" si="474"/>
        <v/>
      </c>
      <c r="AJ348" s="47"/>
      <c r="AK348" s="52" t="str">
        <f t="shared" si="475"/>
        <v/>
      </c>
      <c r="AL348" s="31" t="str">
        <f t="shared" si="476"/>
        <v/>
      </c>
      <c r="AM348" s="73" t="str">
        <f t="shared" si="477"/>
        <v/>
      </c>
      <c r="AN348" s="73" t="str">
        <f t="shared" si="478"/>
        <v/>
      </c>
      <c r="AO348" s="31" t="str">
        <f t="shared" si="439"/>
        <v/>
      </c>
      <c r="AP348" s="66" t="str">
        <f t="shared" si="440"/>
        <v/>
      </c>
      <c r="AQ348" s="47" t="s">
        <v>0</v>
      </c>
      <c r="AR348" s="82" t="str">
        <f t="shared" si="479"/>
        <v/>
      </c>
      <c r="AS348" s="47" t="s">
        <v>0</v>
      </c>
      <c r="AT348" s="19" t="str">
        <f t="shared" si="480"/>
        <v/>
      </c>
      <c r="AU348" s="47" t="s">
        <v>0</v>
      </c>
      <c r="AV348" s="103"/>
      <c r="AW348" s="105"/>
      <c r="AX348" s="47" t="s">
        <v>0</v>
      </c>
      <c r="AY348" s="259" t="str">
        <f t="shared" si="503"/>
        <v/>
      </c>
      <c r="AZ348" s="47" t="s">
        <v>0</v>
      </c>
      <c r="BA348" s="52" t="str">
        <f t="shared" si="433"/>
        <v/>
      </c>
      <c r="BB348" s="73" t="str">
        <f>IF(AV348&amp;AW348="","",MAX(BB$12:BB347)+1)</f>
        <v/>
      </c>
      <c r="BC348" s="272" t="str">
        <f t="shared" si="441"/>
        <v/>
      </c>
      <c r="BD348" s="53" t="str">
        <f>IF(AND(AM348="NEMA",AN348="NEMA",OR(AV348&amp;AW348="",BC348="NEMA")),MAX(BD$12:BD347)+1,"")</f>
        <v/>
      </c>
      <c r="BE348" s="47" t="s">
        <v>0</v>
      </c>
      <c r="BF348" s="52" t="str">
        <f t="shared" si="481"/>
        <v/>
      </c>
      <c r="BG348" s="66" t="str">
        <f t="shared" si="482"/>
        <v/>
      </c>
      <c r="BH348" s="47" t="s">
        <v>0</v>
      </c>
      <c r="BI348" s="52" t="str">
        <f t="shared" si="442"/>
        <v/>
      </c>
      <c r="BJ348" s="31" t="str">
        <f t="shared" si="443"/>
        <v/>
      </c>
      <c r="BK348" s="73" t="str">
        <f t="shared" si="444"/>
        <v/>
      </c>
      <c r="BL348" s="31" t="str" cm="1">
        <f t="array" ref="BL348">IF(BK348="",""&amp;BJ348,IF(BK348="NEMA",BJ348,INDEX(regKlub_naziv,MATCH(INDEX(regKlub_alias_klubId,BK348),regKlub_id,0))))</f>
        <v/>
      </c>
      <c r="BM348" s="31" t="str" cm="1">
        <f t="array" ref="BM348">IFERROR(""&amp;INDEX(regNatjecatelj_klub,DV348),"")</f>
        <v/>
      </c>
      <c r="BN348" s="88" t="str">
        <f t="shared" si="483"/>
        <v/>
      </c>
      <c r="BO348" s="66" t="str">
        <f t="shared" si="484"/>
        <v/>
      </c>
      <c r="BP348" s="47" t="s">
        <v>0</v>
      </c>
      <c r="BQ348" s="52" t="str">
        <f>IF(X348&lt;&gt;"NEMA","",IF(IFERROR(MATCH(W348,W$12:W347,0),0)&lt;&gt;0,"",W348))</f>
        <v/>
      </c>
      <c r="BR348" s="73" t="str">
        <f t="shared" si="485"/>
        <v/>
      </c>
      <c r="BS348" s="31" t="str">
        <f>IF(OR(BR348="",BR348&lt;&gt;"NEMA"),"",MAX(BS$12:BS347)+1)</f>
        <v/>
      </c>
      <c r="BT348" s="66" t="str">
        <f t="shared" si="486"/>
        <v/>
      </c>
      <c r="BU348" s="47" t="s">
        <v>0</v>
      </c>
      <c r="BV348" s="19" t="str">
        <f t="shared" si="487"/>
        <v/>
      </c>
      <c r="BW348" s="47" t="s">
        <v>0</v>
      </c>
      <c r="BX348" s="82" t="str">
        <f>IF(BK348&lt;&gt;"NEMA","",IF(IFERROR(MATCH(BJ348,BJ$12:BJ347,0),0)&lt;&gt;0,"",BJ348))</f>
        <v/>
      </c>
      <c r="BY348" s="47" t="s">
        <v>0</v>
      </c>
      <c r="BZ348" s="125"/>
      <c r="CA348" s="47" t="s">
        <v>0</v>
      </c>
      <c r="CB348" s="58" t="str">
        <f t="shared" si="488"/>
        <v/>
      </c>
      <c r="CC348" s="31" t="str">
        <f t="shared" si="489"/>
        <v/>
      </c>
      <c r="CD348" s="31" t="str">
        <f>IF(CC348="","",MAX(CD$12:CD347)+1)</f>
        <v/>
      </c>
      <c r="CE348" s="31" t="str">
        <f t="shared" si="445"/>
        <v/>
      </c>
      <c r="CF348" s="31" t="str">
        <f t="shared" si="490"/>
        <v/>
      </c>
      <c r="CG348" s="31" t="str">
        <f>IF(BZ348="","",MAX(CG$12:CG347)+1)</f>
        <v/>
      </c>
      <c r="CH348" s="31" t="str">
        <f t="shared" si="491"/>
        <v/>
      </c>
      <c r="CI348" s="66" t="str">
        <f t="shared" si="492"/>
        <v/>
      </c>
      <c r="CJ348" s="47" t="s">
        <v>0</v>
      </c>
      <c r="CK348" s="73" t="str">
        <f t="shared" si="446"/>
        <v/>
      </c>
      <c r="CL348" s="47"/>
      <c r="CM348" s="19" t="str">
        <f t="shared" si="493"/>
        <v/>
      </c>
      <c r="CN348" s="47" t="s">
        <v>0</v>
      </c>
      <c r="CO348" s="143" t="str">
        <f t="shared" si="494"/>
        <v/>
      </c>
      <c r="CP348" s="47" t="s">
        <v>0</v>
      </c>
      <c r="CQ348" s="58" t="str">
        <f t="shared" si="430"/>
        <v/>
      </c>
      <c r="CR348" s="73" t="str">
        <f t="shared" si="431"/>
        <v/>
      </c>
      <c r="CS348" s="229" t="str">
        <f t="shared" si="447"/>
        <v/>
      </c>
      <c r="CT348" s="230" t="str">
        <f t="shared" si="432"/>
        <v/>
      </c>
      <c r="CU348" s="163" t="str">
        <f t="shared" si="448"/>
        <v/>
      </c>
      <c r="CV348" s="47" t="s">
        <v>0</v>
      </c>
      <c r="CW348" s="222" t="str">
        <f t="shared" si="495"/>
        <v xml:space="preserve">
</v>
      </c>
      <c r="CX348" s="223" t="str">
        <f t="shared" si="496"/>
        <v/>
      </c>
      <c r="CY348" s="47" t="s">
        <v>0</v>
      </c>
      <c r="CZ348" s="47"/>
      <c r="DA348" s="47"/>
      <c r="DB348" s="47"/>
      <c r="DC348" s="47" t="s">
        <v>0</v>
      </c>
      <c r="DD348" s="53" t="str">
        <f t="shared" si="504"/>
        <v/>
      </c>
      <c r="DE348" t="s">
        <v>0</v>
      </c>
      <c r="DF348" s="128" t="str">
        <f t="shared" si="505"/>
        <v/>
      </c>
      <c r="DG348" t="s">
        <v>0</v>
      </c>
      <c r="DH348" s="52" t="str">
        <f t="shared" si="506"/>
        <v/>
      </c>
      <c r="DI348" s="66" t="str">
        <f t="shared" si="507"/>
        <v/>
      </c>
      <c r="DJ348" t="s">
        <v>0</v>
      </c>
      <c r="DK348" s="19" t="str">
        <f t="shared" si="508"/>
        <v/>
      </c>
      <c r="DL348" s="47" t="s">
        <v>0</v>
      </c>
      <c r="DM348" s="19" t="str">
        <f t="shared" si="509"/>
        <v/>
      </c>
      <c r="DN348" s="47" t="s">
        <v>0</v>
      </c>
      <c r="DO348" s="52" t="str">
        <f t="shared" si="449"/>
        <v/>
      </c>
      <c r="DP348" s="53" t="str">
        <f t="shared" si="450"/>
        <v/>
      </c>
      <c r="DQ348" s="47" t="s">
        <v>0</v>
      </c>
      <c r="DR348" s="52" t="str">
        <f t="shared" si="451"/>
        <v/>
      </c>
      <c r="DS348" s="53" t="str">
        <f t="shared" si="452"/>
        <v/>
      </c>
      <c r="DT348" s="47" t="s">
        <v>0</v>
      </c>
      <c r="DU348" s="52" t="str">
        <f t="shared" si="453"/>
        <v/>
      </c>
      <c r="DV348" s="53" t="str">
        <f t="shared" si="454"/>
        <v/>
      </c>
      <c r="DW348" s="47" t="s">
        <v>0</v>
      </c>
      <c r="DX348" s="58" t="str">
        <f t="shared" si="497"/>
        <v/>
      </c>
      <c r="DY348" s="53" t="str" cm="1">
        <f t="array" ref="DY348">IF(DX348&lt;&gt;"",INDEX(regNatjecatelj_id,DX348,0),IF(BD348&lt;&gt;"",BD348,""))</f>
        <v/>
      </c>
      <c r="DZ348" s="47" t="s">
        <v>0</v>
      </c>
      <c r="EA348" s="58" t="str">
        <f t="shared" si="455"/>
        <v/>
      </c>
      <c r="EB348" s="73" t="str">
        <f t="shared" si="456"/>
        <v/>
      </c>
      <c r="EC348" s="73" t="str">
        <f t="shared" si="457"/>
        <v/>
      </c>
      <c r="ED348" s="73" t="str">
        <f t="shared" si="458"/>
        <v/>
      </c>
      <c r="EE348" s="66" t="str">
        <f t="shared" si="459"/>
        <v/>
      </c>
      <c r="EF348" s="47" t="s">
        <v>0</v>
      </c>
      <c r="EG348" s="58" t="str">
        <f>IF(AL348="","",MAX(EG$12:EG347)+1)</f>
        <v/>
      </c>
      <c r="EH348" s="73" t="str">
        <f t="shared" si="460"/>
        <v/>
      </c>
      <c r="EI348" s="73" t="str">
        <f t="shared" si="498"/>
        <v/>
      </c>
      <c r="EJ348" s="73" t="str">
        <f t="shared" si="461"/>
        <v/>
      </c>
      <c r="EK348" s="73" t="str">
        <f t="shared" si="462"/>
        <v/>
      </c>
      <c r="EL348" s="73" t="str">
        <f t="shared" si="499"/>
        <v/>
      </c>
      <c r="EM348" s="73" t="str">
        <f t="shared" si="500"/>
        <v/>
      </c>
      <c r="EN348" s="73" t="str">
        <f t="shared" si="463"/>
        <v/>
      </c>
      <c r="EO348" s="73" t="str">
        <f t="shared" si="464"/>
        <v/>
      </c>
      <c r="EP348" s="73" t="str">
        <f t="shared" si="465"/>
        <v/>
      </c>
      <c r="EQ348" s="53" t="str">
        <f t="shared" si="466"/>
        <v/>
      </c>
      <c r="ER348" s="47" t="s">
        <v>0</v>
      </c>
      <c r="ES348" s="19" t="str">
        <f t="shared" si="501"/>
        <v/>
      </c>
      <c r="ET348" s="47" t="s">
        <v>0</v>
      </c>
      <c r="EU348" s="19" t="str">
        <f t="shared" si="502"/>
        <v/>
      </c>
      <c r="EV348" s="47" t="s">
        <v>0</v>
      </c>
      <c r="EW348" s="180" t="str">
        <f t="shared" si="467"/>
        <v/>
      </c>
      <c r="EX348" s="47" t="s">
        <v>0</v>
      </c>
    </row>
    <row r="349" spans="1:154" x14ac:dyDescent="0.25">
      <c r="A349" t="s">
        <v>0</v>
      </c>
      <c r="B349" s="52" t="str">
        <f>IF(csv!F339="","",csv!T339)</f>
        <v/>
      </c>
      <c r="C349" s="31" t="s">
        <v>0</v>
      </c>
      <c r="D349" s="31" t="str">
        <f>IF(csv!F339="","",csv!F339)</f>
        <v/>
      </c>
      <c r="E349" s="31" t="str">
        <f>IF(csv!E339="","",csv!E339)</f>
        <v/>
      </c>
      <c r="F349" s="31" t="s">
        <v>0</v>
      </c>
      <c r="G349" s="73" t="str">
        <f>IF(csv!M339="","",csv!M339)</f>
        <v/>
      </c>
      <c r="H349" s="73" t="str">
        <f>IF(csv!N339="","",csv!N339)</f>
        <v/>
      </c>
      <c r="I349" s="31" t="s">
        <v>0</v>
      </c>
      <c r="J349" s="31" t="str">
        <f>IF(csv!P339="","",csv!P339)</f>
        <v/>
      </c>
      <c r="K349" s="31" t="str">
        <f>IF(csv!Q339="","",csv!Q339)</f>
        <v/>
      </c>
      <c r="L349" s="31" t="s">
        <v>0</v>
      </c>
      <c r="M349" s="66" t="str">
        <f>IF(csv!R339="","",csv!R339)</f>
        <v/>
      </c>
      <c r="N349" s="47" t="s">
        <v>0</v>
      </c>
      <c r="O349" s="246" t="str">
        <f t="shared" si="468"/>
        <v/>
      </c>
      <c r="P349" s="47"/>
      <c r="Q349" s="52" t="str">
        <f t="shared" si="469"/>
        <v/>
      </c>
      <c r="R349" s="73" t="str">
        <f>IF(Q349="","",IF(COUNTIF(Q$12:Q348,Q349)=0,R348+1,R348))</f>
        <v/>
      </c>
      <c r="S349" s="73" t="str">
        <f t="shared" si="470"/>
        <v/>
      </c>
      <c r="T349" s="73" t="str">
        <f t="shared" si="434"/>
        <v/>
      </c>
      <c r="U349" s="66" t="str">
        <f t="shared" si="435"/>
        <v/>
      </c>
      <c r="V349" s="47" t="s">
        <v>0</v>
      </c>
      <c r="W349" s="222" t="str">
        <f t="shared" si="436"/>
        <v/>
      </c>
      <c r="X349" s="223" t="str">
        <f t="shared" si="437"/>
        <v/>
      </c>
      <c r="Y349" s="47" t="s">
        <v>0</v>
      </c>
      <c r="Z349" s="52" t="str">
        <f t="shared" si="471"/>
        <v/>
      </c>
      <c r="AA349" s="73" t="str">
        <f t="shared" si="438"/>
        <v/>
      </c>
      <c r="AB349" s="31" t="str">
        <f t="shared" si="472"/>
        <v/>
      </c>
      <c r="AC349" s="66" t="str">
        <f>IF(AB349="","",MAX(AC$12:AC348)+1)</f>
        <v/>
      </c>
      <c r="AD349" s="47" t="s">
        <v>0</v>
      </c>
      <c r="AE349" s="125"/>
      <c r="AF349" s="47" t="s">
        <v>0</v>
      </c>
      <c r="AG349" s="19" t="str">
        <f t="shared" si="473"/>
        <v/>
      </c>
      <c r="AH349" s="47" t="s">
        <v>0</v>
      </c>
      <c r="AI349" s="143" t="str">
        <f t="shared" si="474"/>
        <v/>
      </c>
      <c r="AJ349" s="47"/>
      <c r="AK349" s="52" t="str">
        <f t="shared" si="475"/>
        <v/>
      </c>
      <c r="AL349" s="31" t="str">
        <f t="shared" si="476"/>
        <v/>
      </c>
      <c r="AM349" s="73" t="str">
        <f t="shared" si="477"/>
        <v/>
      </c>
      <c r="AN349" s="73" t="str">
        <f t="shared" si="478"/>
        <v/>
      </c>
      <c r="AO349" s="31" t="str">
        <f t="shared" si="439"/>
        <v/>
      </c>
      <c r="AP349" s="66" t="str">
        <f t="shared" si="440"/>
        <v/>
      </c>
      <c r="AQ349" s="47" t="s">
        <v>0</v>
      </c>
      <c r="AR349" s="82" t="str">
        <f t="shared" si="479"/>
        <v/>
      </c>
      <c r="AS349" s="47" t="s">
        <v>0</v>
      </c>
      <c r="AT349" s="19" t="str">
        <f t="shared" si="480"/>
        <v/>
      </c>
      <c r="AU349" s="47" t="s">
        <v>0</v>
      </c>
      <c r="AV349" s="103"/>
      <c r="AW349" s="105"/>
      <c r="AX349" s="47" t="s">
        <v>0</v>
      </c>
      <c r="AY349" s="259" t="str">
        <f t="shared" si="503"/>
        <v/>
      </c>
      <c r="AZ349" s="47" t="s">
        <v>0</v>
      </c>
      <c r="BA349" s="52" t="str">
        <f t="shared" si="433"/>
        <v/>
      </c>
      <c r="BB349" s="73" t="str">
        <f>IF(AV349&amp;AW349="","",MAX(BB$12:BB348)+1)</f>
        <v/>
      </c>
      <c r="BC349" s="272" t="str">
        <f t="shared" si="441"/>
        <v/>
      </c>
      <c r="BD349" s="53" t="str">
        <f>IF(AND(AM349="NEMA",AN349="NEMA",OR(AV349&amp;AW349="",BC349="NEMA")),MAX(BD$12:BD348)+1,"")</f>
        <v/>
      </c>
      <c r="BE349" s="47" t="s">
        <v>0</v>
      </c>
      <c r="BF349" s="52" t="str">
        <f t="shared" si="481"/>
        <v/>
      </c>
      <c r="BG349" s="66" t="str">
        <f t="shared" si="482"/>
        <v/>
      </c>
      <c r="BH349" s="47" t="s">
        <v>0</v>
      </c>
      <c r="BI349" s="52" t="str">
        <f t="shared" si="442"/>
        <v/>
      </c>
      <c r="BJ349" s="31" t="str">
        <f t="shared" si="443"/>
        <v/>
      </c>
      <c r="BK349" s="73" t="str">
        <f t="shared" si="444"/>
        <v/>
      </c>
      <c r="BL349" s="31" t="str" cm="1">
        <f t="array" ref="BL349">IF(BK349="",""&amp;BJ349,IF(BK349="NEMA",BJ349,INDEX(regKlub_naziv,MATCH(INDEX(regKlub_alias_klubId,BK349),regKlub_id,0))))</f>
        <v/>
      </c>
      <c r="BM349" s="31" t="str" cm="1">
        <f t="array" ref="BM349">IFERROR(""&amp;INDEX(regNatjecatelj_klub,DV349),"")</f>
        <v/>
      </c>
      <c r="BN349" s="88" t="str">
        <f t="shared" si="483"/>
        <v/>
      </c>
      <c r="BO349" s="66" t="str">
        <f t="shared" si="484"/>
        <v/>
      </c>
      <c r="BP349" s="47" t="s">
        <v>0</v>
      </c>
      <c r="BQ349" s="52" t="str">
        <f>IF(X349&lt;&gt;"NEMA","",IF(IFERROR(MATCH(W349,W$12:W348,0),0)&lt;&gt;0,"",W349))</f>
        <v/>
      </c>
      <c r="BR349" s="73" t="str">
        <f t="shared" si="485"/>
        <v/>
      </c>
      <c r="BS349" s="31" t="str">
        <f>IF(OR(BR349="",BR349&lt;&gt;"NEMA"),"",MAX(BS$12:BS348)+1)</f>
        <v/>
      </c>
      <c r="BT349" s="66" t="str">
        <f t="shared" si="486"/>
        <v/>
      </c>
      <c r="BU349" s="47" t="s">
        <v>0</v>
      </c>
      <c r="BV349" s="19" t="str">
        <f t="shared" si="487"/>
        <v/>
      </c>
      <c r="BW349" s="47" t="s">
        <v>0</v>
      </c>
      <c r="BX349" s="82" t="str">
        <f>IF(BK349&lt;&gt;"NEMA","",IF(IFERROR(MATCH(BJ349,BJ$12:BJ348,0),0)&lt;&gt;0,"",BJ349))</f>
        <v/>
      </c>
      <c r="BY349" s="47" t="s">
        <v>0</v>
      </c>
      <c r="BZ349" s="125"/>
      <c r="CA349" s="47" t="s">
        <v>0</v>
      </c>
      <c r="CB349" s="58" t="str">
        <f t="shared" si="488"/>
        <v/>
      </c>
      <c r="CC349" s="31" t="str">
        <f t="shared" si="489"/>
        <v/>
      </c>
      <c r="CD349" s="31" t="str">
        <f>IF(CC349="","",MAX(CD$12:CD348)+1)</f>
        <v/>
      </c>
      <c r="CE349" s="31" t="str">
        <f t="shared" si="445"/>
        <v/>
      </c>
      <c r="CF349" s="31" t="str">
        <f t="shared" si="490"/>
        <v/>
      </c>
      <c r="CG349" s="31" t="str">
        <f>IF(BZ349="","",MAX(CG$12:CG348)+1)</f>
        <v/>
      </c>
      <c r="CH349" s="31" t="str">
        <f t="shared" si="491"/>
        <v/>
      </c>
      <c r="CI349" s="66" t="str">
        <f t="shared" si="492"/>
        <v/>
      </c>
      <c r="CJ349" s="47" t="s">
        <v>0</v>
      </c>
      <c r="CK349" s="73" t="str">
        <f t="shared" si="446"/>
        <v/>
      </c>
      <c r="CL349" s="47"/>
      <c r="CM349" s="19" t="str">
        <f t="shared" si="493"/>
        <v/>
      </c>
      <c r="CN349" s="47" t="s">
        <v>0</v>
      </c>
      <c r="CO349" s="143" t="str">
        <f t="shared" si="494"/>
        <v/>
      </c>
      <c r="CP349" s="47" t="s">
        <v>0</v>
      </c>
      <c r="CQ349" s="58" t="str">
        <f t="shared" si="430"/>
        <v/>
      </c>
      <c r="CR349" s="73" t="str">
        <f t="shared" si="431"/>
        <v/>
      </c>
      <c r="CS349" s="229" t="str">
        <f t="shared" si="447"/>
        <v/>
      </c>
      <c r="CT349" s="230" t="str">
        <f t="shared" si="432"/>
        <v/>
      </c>
      <c r="CU349" s="163" t="str">
        <f t="shared" si="448"/>
        <v/>
      </c>
      <c r="CV349" s="47" t="s">
        <v>0</v>
      </c>
      <c r="CW349" s="222" t="str">
        <f t="shared" si="495"/>
        <v xml:space="preserve">
</v>
      </c>
      <c r="CX349" s="223" t="str">
        <f t="shared" si="496"/>
        <v/>
      </c>
      <c r="CY349" s="47" t="s">
        <v>0</v>
      </c>
      <c r="CZ349" s="47"/>
      <c r="DA349" s="47"/>
      <c r="DB349" s="47"/>
      <c r="DC349" s="47" t="s">
        <v>0</v>
      </c>
      <c r="DD349" s="53" t="str">
        <f t="shared" si="504"/>
        <v/>
      </c>
      <c r="DE349" t="s">
        <v>0</v>
      </c>
      <c r="DF349" s="128" t="str">
        <f t="shared" si="505"/>
        <v/>
      </c>
      <c r="DG349" t="s">
        <v>0</v>
      </c>
      <c r="DH349" s="52" t="str">
        <f t="shared" si="506"/>
        <v/>
      </c>
      <c r="DI349" s="66" t="str">
        <f t="shared" si="507"/>
        <v/>
      </c>
      <c r="DJ349" t="s">
        <v>0</v>
      </c>
      <c r="DK349" s="19" t="str">
        <f t="shared" si="508"/>
        <v/>
      </c>
      <c r="DL349" s="47" t="s">
        <v>0</v>
      </c>
      <c r="DM349" s="19" t="str">
        <f t="shared" si="509"/>
        <v/>
      </c>
      <c r="DN349" s="47" t="s">
        <v>0</v>
      </c>
      <c r="DO349" s="52" t="str">
        <f t="shared" si="449"/>
        <v/>
      </c>
      <c r="DP349" s="53" t="str">
        <f t="shared" si="450"/>
        <v/>
      </c>
      <c r="DQ349" s="47" t="s">
        <v>0</v>
      </c>
      <c r="DR349" s="52" t="str">
        <f t="shared" si="451"/>
        <v/>
      </c>
      <c r="DS349" s="53" t="str">
        <f t="shared" si="452"/>
        <v/>
      </c>
      <c r="DT349" s="47" t="s">
        <v>0</v>
      </c>
      <c r="DU349" s="52" t="str">
        <f t="shared" si="453"/>
        <v/>
      </c>
      <c r="DV349" s="53" t="str">
        <f t="shared" si="454"/>
        <v/>
      </c>
      <c r="DW349" s="47" t="s">
        <v>0</v>
      </c>
      <c r="DX349" s="58" t="str">
        <f t="shared" si="497"/>
        <v/>
      </c>
      <c r="DY349" s="53" t="str" cm="1">
        <f t="array" ref="DY349">IF(DX349&lt;&gt;"",INDEX(regNatjecatelj_id,DX349,0),IF(BD349&lt;&gt;"",BD349,""))</f>
        <v/>
      </c>
      <c r="DZ349" s="47" t="s">
        <v>0</v>
      </c>
      <c r="EA349" s="58" t="str">
        <f t="shared" si="455"/>
        <v/>
      </c>
      <c r="EB349" s="73" t="str">
        <f t="shared" si="456"/>
        <v/>
      </c>
      <c r="EC349" s="73" t="str">
        <f t="shared" si="457"/>
        <v/>
      </c>
      <c r="ED349" s="73" t="str">
        <f t="shared" si="458"/>
        <v/>
      </c>
      <c r="EE349" s="66" t="str">
        <f t="shared" si="459"/>
        <v/>
      </c>
      <c r="EF349" s="47" t="s">
        <v>0</v>
      </c>
      <c r="EG349" s="58" t="str">
        <f>IF(AL349="","",MAX(EG$12:EG348)+1)</f>
        <v/>
      </c>
      <c r="EH349" s="73" t="str">
        <f t="shared" si="460"/>
        <v/>
      </c>
      <c r="EI349" s="73" t="str">
        <f t="shared" si="498"/>
        <v/>
      </c>
      <c r="EJ349" s="73" t="str">
        <f t="shared" si="461"/>
        <v/>
      </c>
      <c r="EK349" s="73" t="str">
        <f t="shared" si="462"/>
        <v/>
      </c>
      <c r="EL349" s="73" t="str">
        <f t="shared" si="499"/>
        <v/>
      </c>
      <c r="EM349" s="73" t="str">
        <f t="shared" si="500"/>
        <v/>
      </c>
      <c r="EN349" s="73" t="str">
        <f t="shared" si="463"/>
        <v/>
      </c>
      <c r="EO349" s="73" t="str">
        <f t="shared" si="464"/>
        <v/>
      </c>
      <c r="EP349" s="73" t="str">
        <f t="shared" si="465"/>
        <v/>
      </c>
      <c r="EQ349" s="53" t="str">
        <f t="shared" si="466"/>
        <v/>
      </c>
      <c r="ER349" s="47" t="s">
        <v>0</v>
      </c>
      <c r="ES349" s="19" t="str">
        <f t="shared" si="501"/>
        <v/>
      </c>
      <c r="ET349" s="47" t="s">
        <v>0</v>
      </c>
      <c r="EU349" s="19" t="str">
        <f t="shared" si="502"/>
        <v/>
      </c>
      <c r="EV349" s="47" t="s">
        <v>0</v>
      </c>
      <c r="EW349" s="180" t="str">
        <f t="shared" si="467"/>
        <v/>
      </c>
      <c r="EX349" s="47" t="s">
        <v>0</v>
      </c>
    </row>
    <row r="350" spans="1:154" x14ac:dyDescent="0.25">
      <c r="A350" t="s">
        <v>0</v>
      </c>
      <c r="B350" s="52" t="str">
        <f>IF(csv!F340="","",csv!T340)</f>
        <v/>
      </c>
      <c r="C350" s="31" t="s">
        <v>0</v>
      </c>
      <c r="D350" s="31" t="str">
        <f>IF(csv!F340="","",csv!F340)</f>
        <v/>
      </c>
      <c r="E350" s="31" t="str">
        <f>IF(csv!E340="","",csv!E340)</f>
        <v/>
      </c>
      <c r="F350" s="31" t="s">
        <v>0</v>
      </c>
      <c r="G350" s="73" t="str">
        <f>IF(csv!M340="","",csv!M340)</f>
        <v/>
      </c>
      <c r="H350" s="73" t="str">
        <f>IF(csv!N340="","",csv!N340)</f>
        <v/>
      </c>
      <c r="I350" s="31" t="s">
        <v>0</v>
      </c>
      <c r="J350" s="31" t="str">
        <f>IF(csv!P340="","",csv!P340)</f>
        <v/>
      </c>
      <c r="K350" s="31" t="str">
        <f>IF(csv!Q340="","",csv!Q340)</f>
        <v/>
      </c>
      <c r="L350" s="31" t="s">
        <v>0</v>
      </c>
      <c r="M350" s="66" t="str">
        <f>IF(csv!R340="","",csv!R340)</f>
        <v/>
      </c>
      <c r="N350" s="47" t="s">
        <v>0</v>
      </c>
      <c r="O350" s="246" t="str">
        <f t="shared" si="468"/>
        <v/>
      </c>
      <c r="P350" s="47"/>
      <c r="Q350" s="52" t="str">
        <f t="shared" si="469"/>
        <v/>
      </c>
      <c r="R350" s="73" t="str">
        <f>IF(Q350="","",IF(COUNTIF(Q$12:Q349,Q350)=0,R349+1,R349))</f>
        <v/>
      </c>
      <c r="S350" s="73" t="str">
        <f t="shared" si="470"/>
        <v/>
      </c>
      <c r="T350" s="73" t="str">
        <f t="shared" si="434"/>
        <v/>
      </c>
      <c r="U350" s="66" t="str">
        <f t="shared" si="435"/>
        <v/>
      </c>
      <c r="V350" s="47" t="s">
        <v>0</v>
      </c>
      <c r="W350" s="222" t="str">
        <f t="shared" si="436"/>
        <v/>
      </c>
      <c r="X350" s="223" t="str">
        <f t="shared" si="437"/>
        <v/>
      </c>
      <c r="Y350" s="47" t="s">
        <v>0</v>
      </c>
      <c r="Z350" s="52" t="str">
        <f t="shared" si="471"/>
        <v/>
      </c>
      <c r="AA350" s="73" t="str">
        <f t="shared" si="438"/>
        <v/>
      </c>
      <c r="AB350" s="31" t="str">
        <f t="shared" si="472"/>
        <v/>
      </c>
      <c r="AC350" s="66" t="str">
        <f>IF(AB350="","",MAX(AC$12:AC349)+1)</f>
        <v/>
      </c>
      <c r="AD350" s="47" t="s">
        <v>0</v>
      </c>
      <c r="AE350" s="125"/>
      <c r="AF350" s="47" t="s">
        <v>0</v>
      </c>
      <c r="AG350" s="19" t="str">
        <f t="shared" si="473"/>
        <v/>
      </c>
      <c r="AH350" s="47" t="s">
        <v>0</v>
      </c>
      <c r="AI350" s="143" t="str">
        <f t="shared" si="474"/>
        <v/>
      </c>
      <c r="AJ350" s="47"/>
      <c r="AK350" s="52" t="str">
        <f t="shared" si="475"/>
        <v/>
      </c>
      <c r="AL350" s="31" t="str">
        <f t="shared" si="476"/>
        <v/>
      </c>
      <c r="AM350" s="73" t="str">
        <f t="shared" si="477"/>
        <v/>
      </c>
      <c r="AN350" s="73" t="str">
        <f t="shared" si="478"/>
        <v/>
      </c>
      <c r="AO350" s="31" t="str">
        <f t="shared" si="439"/>
        <v/>
      </c>
      <c r="AP350" s="66" t="str">
        <f t="shared" si="440"/>
        <v/>
      </c>
      <c r="AQ350" s="47" t="s">
        <v>0</v>
      </c>
      <c r="AR350" s="82" t="str">
        <f t="shared" si="479"/>
        <v/>
      </c>
      <c r="AS350" s="47" t="s">
        <v>0</v>
      </c>
      <c r="AT350" s="19" t="str">
        <f t="shared" si="480"/>
        <v/>
      </c>
      <c r="AU350" s="47" t="s">
        <v>0</v>
      </c>
      <c r="AV350" s="103"/>
      <c r="AW350" s="105"/>
      <c r="AX350" s="47" t="s">
        <v>0</v>
      </c>
      <c r="AY350" s="259" t="str">
        <f t="shared" si="503"/>
        <v/>
      </c>
      <c r="AZ350" s="47" t="s">
        <v>0</v>
      </c>
      <c r="BA350" s="52" t="str">
        <f t="shared" si="433"/>
        <v/>
      </c>
      <c r="BB350" s="73" t="str">
        <f>IF(AV350&amp;AW350="","",MAX(BB$12:BB349)+1)</f>
        <v/>
      </c>
      <c r="BC350" s="272" t="str">
        <f t="shared" si="441"/>
        <v/>
      </c>
      <c r="BD350" s="53" t="str">
        <f>IF(AND(AM350="NEMA",AN350="NEMA",OR(AV350&amp;AW350="",BC350="NEMA")),MAX(BD$12:BD349)+1,"")</f>
        <v/>
      </c>
      <c r="BE350" s="47" t="s">
        <v>0</v>
      </c>
      <c r="BF350" s="52" t="str">
        <f t="shared" si="481"/>
        <v/>
      </c>
      <c r="BG350" s="66" t="str">
        <f t="shared" si="482"/>
        <v/>
      </c>
      <c r="BH350" s="47" t="s">
        <v>0</v>
      </c>
      <c r="BI350" s="52" t="str">
        <f t="shared" si="442"/>
        <v/>
      </c>
      <c r="BJ350" s="31" t="str">
        <f t="shared" si="443"/>
        <v/>
      </c>
      <c r="BK350" s="73" t="str">
        <f t="shared" si="444"/>
        <v/>
      </c>
      <c r="BL350" s="31" t="str" cm="1">
        <f t="array" ref="BL350">IF(BK350="",""&amp;BJ350,IF(BK350="NEMA",BJ350,INDEX(regKlub_naziv,MATCH(INDEX(regKlub_alias_klubId,BK350),regKlub_id,0))))</f>
        <v/>
      </c>
      <c r="BM350" s="31" t="str" cm="1">
        <f t="array" ref="BM350">IFERROR(""&amp;INDEX(regNatjecatelj_klub,DV350),"")</f>
        <v/>
      </c>
      <c r="BN350" s="88" t="str">
        <f t="shared" si="483"/>
        <v/>
      </c>
      <c r="BO350" s="66" t="str">
        <f t="shared" si="484"/>
        <v/>
      </c>
      <c r="BP350" s="47" t="s">
        <v>0</v>
      </c>
      <c r="BQ350" s="52" t="str">
        <f>IF(X350&lt;&gt;"NEMA","",IF(IFERROR(MATCH(W350,W$12:W349,0),0)&lt;&gt;0,"",W350))</f>
        <v/>
      </c>
      <c r="BR350" s="73" t="str">
        <f t="shared" si="485"/>
        <v/>
      </c>
      <c r="BS350" s="31" t="str">
        <f>IF(OR(BR350="",BR350&lt;&gt;"NEMA"),"",MAX(BS$12:BS349)+1)</f>
        <v/>
      </c>
      <c r="BT350" s="66" t="str">
        <f t="shared" si="486"/>
        <v/>
      </c>
      <c r="BU350" s="47" t="s">
        <v>0</v>
      </c>
      <c r="BV350" s="19" t="str">
        <f t="shared" si="487"/>
        <v/>
      </c>
      <c r="BW350" s="47" t="s">
        <v>0</v>
      </c>
      <c r="BX350" s="82" t="str">
        <f>IF(BK350&lt;&gt;"NEMA","",IF(IFERROR(MATCH(BJ350,BJ$12:BJ349,0),0)&lt;&gt;0,"",BJ350))</f>
        <v/>
      </c>
      <c r="BY350" s="47" t="s">
        <v>0</v>
      </c>
      <c r="BZ350" s="125"/>
      <c r="CA350" s="47" t="s">
        <v>0</v>
      </c>
      <c r="CB350" s="58" t="str">
        <f t="shared" si="488"/>
        <v/>
      </c>
      <c r="CC350" s="31" t="str">
        <f t="shared" si="489"/>
        <v/>
      </c>
      <c r="CD350" s="31" t="str">
        <f>IF(CC350="","",MAX(CD$12:CD349)+1)</f>
        <v/>
      </c>
      <c r="CE350" s="31" t="str">
        <f t="shared" si="445"/>
        <v/>
      </c>
      <c r="CF350" s="31" t="str">
        <f t="shared" si="490"/>
        <v/>
      </c>
      <c r="CG350" s="31" t="str">
        <f>IF(BZ350="","",MAX(CG$12:CG349)+1)</f>
        <v/>
      </c>
      <c r="CH350" s="31" t="str">
        <f t="shared" si="491"/>
        <v/>
      </c>
      <c r="CI350" s="66" t="str">
        <f t="shared" si="492"/>
        <v/>
      </c>
      <c r="CJ350" s="47" t="s">
        <v>0</v>
      </c>
      <c r="CK350" s="73" t="str">
        <f t="shared" si="446"/>
        <v/>
      </c>
      <c r="CL350" s="47"/>
      <c r="CM350" s="19" t="str">
        <f t="shared" si="493"/>
        <v/>
      </c>
      <c r="CN350" s="47" t="s">
        <v>0</v>
      </c>
      <c r="CO350" s="143" t="str">
        <f t="shared" si="494"/>
        <v/>
      </c>
      <c r="CP350" s="47" t="s">
        <v>0</v>
      </c>
      <c r="CQ350" s="58" t="str">
        <f t="shared" si="430"/>
        <v/>
      </c>
      <c r="CR350" s="73" t="str">
        <f t="shared" si="431"/>
        <v/>
      </c>
      <c r="CS350" s="229" t="str">
        <f t="shared" si="447"/>
        <v/>
      </c>
      <c r="CT350" s="230" t="str">
        <f t="shared" si="432"/>
        <v/>
      </c>
      <c r="CU350" s="163" t="str">
        <f t="shared" si="448"/>
        <v/>
      </c>
      <c r="CV350" s="47" t="s">
        <v>0</v>
      </c>
      <c r="CW350" s="222" t="str">
        <f t="shared" si="495"/>
        <v xml:space="preserve">
</v>
      </c>
      <c r="CX350" s="223" t="str">
        <f t="shared" si="496"/>
        <v/>
      </c>
      <c r="CY350" s="47" t="s">
        <v>0</v>
      </c>
      <c r="CZ350" s="47"/>
      <c r="DA350" s="47"/>
      <c r="DB350" s="47"/>
      <c r="DC350" s="47" t="s">
        <v>0</v>
      </c>
      <c r="DD350" s="53" t="str">
        <f t="shared" si="504"/>
        <v/>
      </c>
      <c r="DE350" t="s">
        <v>0</v>
      </c>
      <c r="DF350" s="128" t="str">
        <f t="shared" si="505"/>
        <v/>
      </c>
      <c r="DG350" t="s">
        <v>0</v>
      </c>
      <c r="DH350" s="52" t="str">
        <f t="shared" si="506"/>
        <v/>
      </c>
      <c r="DI350" s="66" t="str">
        <f t="shared" si="507"/>
        <v/>
      </c>
      <c r="DJ350" t="s">
        <v>0</v>
      </c>
      <c r="DK350" s="19" t="str">
        <f t="shared" si="508"/>
        <v/>
      </c>
      <c r="DL350" s="47" t="s">
        <v>0</v>
      </c>
      <c r="DM350" s="19" t="str">
        <f t="shared" si="509"/>
        <v/>
      </c>
      <c r="DN350" s="47" t="s">
        <v>0</v>
      </c>
      <c r="DO350" s="52" t="str">
        <f t="shared" si="449"/>
        <v/>
      </c>
      <c r="DP350" s="53" t="str">
        <f t="shared" si="450"/>
        <v/>
      </c>
      <c r="DQ350" s="47" t="s">
        <v>0</v>
      </c>
      <c r="DR350" s="52" t="str">
        <f t="shared" si="451"/>
        <v/>
      </c>
      <c r="DS350" s="53" t="str">
        <f t="shared" si="452"/>
        <v/>
      </c>
      <c r="DT350" s="47" t="s">
        <v>0</v>
      </c>
      <c r="DU350" s="52" t="str">
        <f t="shared" si="453"/>
        <v/>
      </c>
      <c r="DV350" s="53" t="str">
        <f t="shared" si="454"/>
        <v/>
      </c>
      <c r="DW350" s="47" t="s">
        <v>0</v>
      </c>
      <c r="DX350" s="58" t="str">
        <f t="shared" si="497"/>
        <v/>
      </c>
      <c r="DY350" s="53" t="str" cm="1">
        <f t="array" ref="DY350">IF(DX350&lt;&gt;"",INDEX(regNatjecatelj_id,DX350,0),IF(BD350&lt;&gt;"",BD350,""))</f>
        <v/>
      </c>
      <c r="DZ350" s="47" t="s">
        <v>0</v>
      </c>
      <c r="EA350" s="58" t="str">
        <f t="shared" si="455"/>
        <v/>
      </c>
      <c r="EB350" s="73" t="str">
        <f t="shared" si="456"/>
        <v/>
      </c>
      <c r="EC350" s="73" t="str">
        <f t="shared" si="457"/>
        <v/>
      </c>
      <c r="ED350" s="73" t="str">
        <f t="shared" si="458"/>
        <v/>
      </c>
      <c r="EE350" s="66" t="str">
        <f t="shared" si="459"/>
        <v/>
      </c>
      <c r="EF350" s="47" t="s">
        <v>0</v>
      </c>
      <c r="EG350" s="58" t="str">
        <f>IF(AL350="","",MAX(EG$12:EG349)+1)</f>
        <v/>
      </c>
      <c r="EH350" s="73" t="str">
        <f t="shared" si="460"/>
        <v/>
      </c>
      <c r="EI350" s="73" t="str">
        <f t="shared" si="498"/>
        <v/>
      </c>
      <c r="EJ350" s="73" t="str">
        <f t="shared" si="461"/>
        <v/>
      </c>
      <c r="EK350" s="73" t="str">
        <f t="shared" si="462"/>
        <v/>
      </c>
      <c r="EL350" s="73" t="str">
        <f t="shared" si="499"/>
        <v/>
      </c>
      <c r="EM350" s="73" t="str">
        <f t="shared" si="500"/>
        <v/>
      </c>
      <c r="EN350" s="73" t="str">
        <f t="shared" si="463"/>
        <v/>
      </c>
      <c r="EO350" s="73" t="str">
        <f t="shared" si="464"/>
        <v/>
      </c>
      <c r="EP350" s="73" t="str">
        <f t="shared" si="465"/>
        <v/>
      </c>
      <c r="EQ350" s="53" t="str">
        <f t="shared" si="466"/>
        <v/>
      </c>
      <c r="ER350" s="47" t="s">
        <v>0</v>
      </c>
      <c r="ES350" s="19" t="str">
        <f t="shared" si="501"/>
        <v/>
      </c>
      <c r="ET350" s="47" t="s">
        <v>0</v>
      </c>
      <c r="EU350" s="19" t="str">
        <f t="shared" si="502"/>
        <v/>
      </c>
      <c r="EV350" s="47" t="s">
        <v>0</v>
      </c>
      <c r="EW350" s="180" t="str">
        <f t="shared" si="467"/>
        <v/>
      </c>
      <c r="EX350" s="47" t="s">
        <v>0</v>
      </c>
    </row>
    <row r="351" spans="1:154" x14ac:dyDescent="0.25">
      <c r="A351" t="s">
        <v>0</v>
      </c>
      <c r="B351" s="52" t="str">
        <f>IF(csv!F341="","",csv!T341)</f>
        <v/>
      </c>
      <c r="C351" s="31" t="s">
        <v>0</v>
      </c>
      <c r="D351" s="31" t="str">
        <f>IF(csv!F341="","",csv!F341)</f>
        <v/>
      </c>
      <c r="E351" s="31" t="str">
        <f>IF(csv!E341="","",csv!E341)</f>
        <v/>
      </c>
      <c r="F351" s="31" t="s">
        <v>0</v>
      </c>
      <c r="G351" s="73" t="str">
        <f>IF(csv!M341="","",csv!M341)</f>
        <v/>
      </c>
      <c r="H351" s="73" t="str">
        <f>IF(csv!N341="","",csv!N341)</f>
        <v/>
      </c>
      <c r="I351" s="31" t="s">
        <v>0</v>
      </c>
      <c r="J351" s="31" t="str">
        <f>IF(csv!P341="","",csv!P341)</f>
        <v/>
      </c>
      <c r="K351" s="31" t="str">
        <f>IF(csv!Q341="","",csv!Q341)</f>
        <v/>
      </c>
      <c r="L351" s="31" t="s">
        <v>0</v>
      </c>
      <c r="M351" s="66" t="str">
        <f>IF(csv!R341="","",csv!R341)</f>
        <v/>
      </c>
      <c r="N351" s="47" t="s">
        <v>0</v>
      </c>
      <c r="O351" s="246" t="str">
        <f t="shared" si="468"/>
        <v/>
      </c>
      <c r="P351" s="47"/>
      <c r="Q351" s="52" t="str">
        <f t="shared" si="469"/>
        <v/>
      </c>
      <c r="R351" s="73" t="str">
        <f>IF(Q351="","",IF(COUNTIF(Q$12:Q350,Q351)=0,R350+1,R350))</f>
        <v/>
      </c>
      <c r="S351" s="73" t="str">
        <f t="shared" si="470"/>
        <v/>
      </c>
      <c r="T351" s="73" t="str">
        <f t="shared" si="434"/>
        <v/>
      </c>
      <c r="U351" s="66" t="str">
        <f t="shared" si="435"/>
        <v/>
      </c>
      <c r="V351" s="47" t="s">
        <v>0</v>
      </c>
      <c r="W351" s="222" t="str">
        <f t="shared" si="436"/>
        <v/>
      </c>
      <c r="X351" s="223" t="str">
        <f t="shared" si="437"/>
        <v/>
      </c>
      <c r="Y351" s="47" t="s">
        <v>0</v>
      </c>
      <c r="Z351" s="52" t="str">
        <f t="shared" si="471"/>
        <v/>
      </c>
      <c r="AA351" s="73" t="str">
        <f t="shared" si="438"/>
        <v/>
      </c>
      <c r="AB351" s="31" t="str">
        <f t="shared" si="472"/>
        <v/>
      </c>
      <c r="AC351" s="66" t="str">
        <f>IF(AB351="","",MAX(AC$12:AC350)+1)</f>
        <v/>
      </c>
      <c r="AD351" s="47" t="s">
        <v>0</v>
      </c>
      <c r="AE351" s="125"/>
      <c r="AF351" s="47" t="s">
        <v>0</v>
      </c>
      <c r="AG351" s="19" t="str">
        <f t="shared" si="473"/>
        <v/>
      </c>
      <c r="AH351" s="47" t="s">
        <v>0</v>
      </c>
      <c r="AI351" s="143" t="str">
        <f t="shared" si="474"/>
        <v/>
      </c>
      <c r="AJ351" s="47"/>
      <c r="AK351" s="52" t="str">
        <f t="shared" si="475"/>
        <v/>
      </c>
      <c r="AL351" s="31" t="str">
        <f t="shared" si="476"/>
        <v/>
      </c>
      <c r="AM351" s="73" t="str">
        <f t="shared" si="477"/>
        <v/>
      </c>
      <c r="AN351" s="73" t="str">
        <f t="shared" si="478"/>
        <v/>
      </c>
      <c r="AO351" s="31" t="str">
        <f t="shared" si="439"/>
        <v/>
      </c>
      <c r="AP351" s="66" t="str">
        <f t="shared" si="440"/>
        <v/>
      </c>
      <c r="AQ351" s="47" t="s">
        <v>0</v>
      </c>
      <c r="AR351" s="82" t="str">
        <f t="shared" si="479"/>
        <v/>
      </c>
      <c r="AS351" s="47" t="s">
        <v>0</v>
      </c>
      <c r="AT351" s="19" t="str">
        <f t="shared" si="480"/>
        <v/>
      </c>
      <c r="AU351" s="47" t="s">
        <v>0</v>
      </c>
      <c r="AV351" s="103"/>
      <c r="AW351" s="105"/>
      <c r="AX351" s="47" t="s">
        <v>0</v>
      </c>
      <c r="AY351" s="259" t="str">
        <f t="shared" si="503"/>
        <v/>
      </c>
      <c r="AZ351" s="47" t="s">
        <v>0</v>
      </c>
      <c r="BA351" s="52" t="str">
        <f t="shared" si="433"/>
        <v/>
      </c>
      <c r="BB351" s="73" t="str">
        <f>IF(AV351&amp;AW351="","",MAX(BB$12:BB350)+1)</f>
        <v/>
      </c>
      <c r="BC351" s="272" t="str">
        <f t="shared" si="441"/>
        <v/>
      </c>
      <c r="BD351" s="53" t="str">
        <f>IF(AND(AM351="NEMA",AN351="NEMA",OR(AV351&amp;AW351="",BC351="NEMA")),MAX(BD$12:BD350)+1,"")</f>
        <v/>
      </c>
      <c r="BE351" s="47" t="s">
        <v>0</v>
      </c>
      <c r="BF351" s="52" t="str">
        <f t="shared" si="481"/>
        <v/>
      </c>
      <c r="BG351" s="66" t="str">
        <f t="shared" si="482"/>
        <v/>
      </c>
      <c r="BH351" s="47" t="s">
        <v>0</v>
      </c>
      <c r="BI351" s="52" t="str">
        <f t="shared" si="442"/>
        <v/>
      </c>
      <c r="BJ351" s="31" t="str">
        <f t="shared" si="443"/>
        <v/>
      </c>
      <c r="BK351" s="73" t="str">
        <f t="shared" si="444"/>
        <v/>
      </c>
      <c r="BL351" s="31" t="str" cm="1">
        <f t="array" ref="BL351">IF(BK351="",""&amp;BJ351,IF(BK351="NEMA",BJ351,INDEX(regKlub_naziv,MATCH(INDEX(regKlub_alias_klubId,BK351),regKlub_id,0))))</f>
        <v/>
      </c>
      <c r="BM351" s="31" t="str" cm="1">
        <f t="array" ref="BM351">IFERROR(""&amp;INDEX(regNatjecatelj_klub,DV351),"")</f>
        <v/>
      </c>
      <c r="BN351" s="88" t="str">
        <f t="shared" si="483"/>
        <v/>
      </c>
      <c r="BO351" s="66" t="str">
        <f t="shared" si="484"/>
        <v/>
      </c>
      <c r="BP351" s="47" t="s">
        <v>0</v>
      </c>
      <c r="BQ351" s="52" t="str">
        <f>IF(X351&lt;&gt;"NEMA","",IF(IFERROR(MATCH(W351,W$12:W350,0),0)&lt;&gt;0,"",W351))</f>
        <v/>
      </c>
      <c r="BR351" s="73" t="str">
        <f t="shared" si="485"/>
        <v/>
      </c>
      <c r="BS351" s="31" t="str">
        <f>IF(OR(BR351="",BR351&lt;&gt;"NEMA"),"",MAX(BS$12:BS350)+1)</f>
        <v/>
      </c>
      <c r="BT351" s="66" t="str">
        <f t="shared" si="486"/>
        <v/>
      </c>
      <c r="BU351" s="47" t="s">
        <v>0</v>
      </c>
      <c r="BV351" s="19" t="str">
        <f t="shared" si="487"/>
        <v/>
      </c>
      <c r="BW351" s="47" t="s">
        <v>0</v>
      </c>
      <c r="BX351" s="82" t="str">
        <f>IF(BK351&lt;&gt;"NEMA","",IF(IFERROR(MATCH(BJ351,BJ$12:BJ350,0),0)&lt;&gt;0,"",BJ351))</f>
        <v/>
      </c>
      <c r="BY351" s="47" t="s">
        <v>0</v>
      </c>
      <c r="BZ351" s="125"/>
      <c r="CA351" s="47" t="s">
        <v>0</v>
      </c>
      <c r="CB351" s="58" t="str">
        <f t="shared" si="488"/>
        <v/>
      </c>
      <c r="CC351" s="31" t="str">
        <f t="shared" si="489"/>
        <v/>
      </c>
      <c r="CD351" s="31" t="str">
        <f>IF(CC351="","",MAX(CD$12:CD350)+1)</f>
        <v/>
      </c>
      <c r="CE351" s="31" t="str">
        <f t="shared" si="445"/>
        <v/>
      </c>
      <c r="CF351" s="31" t="str">
        <f t="shared" si="490"/>
        <v/>
      </c>
      <c r="CG351" s="31" t="str">
        <f>IF(BZ351="","",MAX(CG$12:CG350)+1)</f>
        <v/>
      </c>
      <c r="CH351" s="31" t="str">
        <f t="shared" si="491"/>
        <v/>
      </c>
      <c r="CI351" s="66" t="str">
        <f t="shared" si="492"/>
        <v/>
      </c>
      <c r="CJ351" s="47" t="s">
        <v>0</v>
      </c>
      <c r="CK351" s="73" t="str">
        <f t="shared" si="446"/>
        <v/>
      </c>
      <c r="CL351" s="47"/>
      <c r="CM351" s="19" t="str">
        <f t="shared" si="493"/>
        <v/>
      </c>
      <c r="CN351" s="47" t="s">
        <v>0</v>
      </c>
      <c r="CO351" s="143" t="str">
        <f t="shared" si="494"/>
        <v/>
      </c>
      <c r="CP351" s="47" t="s">
        <v>0</v>
      </c>
      <c r="CQ351" s="58" t="str">
        <f t="shared" si="430"/>
        <v/>
      </c>
      <c r="CR351" s="73" t="str">
        <f t="shared" si="431"/>
        <v/>
      </c>
      <c r="CS351" s="229" t="str">
        <f t="shared" si="447"/>
        <v/>
      </c>
      <c r="CT351" s="230" t="str">
        <f t="shared" si="432"/>
        <v/>
      </c>
      <c r="CU351" s="163" t="str">
        <f t="shared" si="448"/>
        <v/>
      </c>
      <c r="CV351" s="47" t="s">
        <v>0</v>
      </c>
      <c r="CW351" s="222" t="str">
        <f t="shared" si="495"/>
        <v xml:space="preserve">
</v>
      </c>
      <c r="CX351" s="223" t="str">
        <f t="shared" si="496"/>
        <v/>
      </c>
      <c r="CY351" s="47" t="s">
        <v>0</v>
      </c>
      <c r="CZ351" s="47"/>
      <c r="DA351" s="47"/>
      <c r="DB351" s="47"/>
      <c r="DC351" s="47" t="s">
        <v>0</v>
      </c>
      <c r="DD351" s="53" t="str">
        <f t="shared" si="504"/>
        <v/>
      </c>
      <c r="DE351" t="s">
        <v>0</v>
      </c>
      <c r="DF351" s="128" t="str">
        <f t="shared" si="505"/>
        <v/>
      </c>
      <c r="DG351" t="s">
        <v>0</v>
      </c>
      <c r="DH351" s="52" t="str">
        <f t="shared" si="506"/>
        <v/>
      </c>
      <c r="DI351" s="66" t="str">
        <f t="shared" si="507"/>
        <v/>
      </c>
      <c r="DJ351" t="s">
        <v>0</v>
      </c>
      <c r="DK351" s="19" t="str">
        <f t="shared" si="508"/>
        <v/>
      </c>
      <c r="DL351" s="47" t="s">
        <v>0</v>
      </c>
      <c r="DM351" s="19" t="str">
        <f t="shared" si="509"/>
        <v/>
      </c>
      <c r="DN351" s="47" t="s">
        <v>0</v>
      </c>
      <c r="DO351" s="52" t="str">
        <f t="shared" si="449"/>
        <v/>
      </c>
      <c r="DP351" s="53" t="str">
        <f t="shared" si="450"/>
        <v/>
      </c>
      <c r="DQ351" s="47" t="s">
        <v>0</v>
      </c>
      <c r="DR351" s="52" t="str">
        <f t="shared" si="451"/>
        <v/>
      </c>
      <c r="DS351" s="53" t="str">
        <f t="shared" si="452"/>
        <v/>
      </c>
      <c r="DT351" s="47" t="s">
        <v>0</v>
      </c>
      <c r="DU351" s="52" t="str">
        <f t="shared" si="453"/>
        <v/>
      </c>
      <c r="DV351" s="53" t="str">
        <f t="shared" si="454"/>
        <v/>
      </c>
      <c r="DW351" s="47" t="s">
        <v>0</v>
      </c>
      <c r="DX351" s="58" t="str">
        <f t="shared" si="497"/>
        <v/>
      </c>
      <c r="DY351" s="53" t="str" cm="1">
        <f t="array" ref="DY351">IF(DX351&lt;&gt;"",INDEX(regNatjecatelj_id,DX351,0),IF(BD351&lt;&gt;"",BD351,""))</f>
        <v/>
      </c>
      <c r="DZ351" s="47" t="s">
        <v>0</v>
      </c>
      <c r="EA351" s="58" t="str">
        <f t="shared" si="455"/>
        <v/>
      </c>
      <c r="EB351" s="73" t="str">
        <f t="shared" si="456"/>
        <v/>
      </c>
      <c r="EC351" s="73" t="str">
        <f t="shared" si="457"/>
        <v/>
      </c>
      <c r="ED351" s="73" t="str">
        <f t="shared" si="458"/>
        <v/>
      </c>
      <c r="EE351" s="66" t="str">
        <f t="shared" si="459"/>
        <v/>
      </c>
      <c r="EF351" s="47" t="s">
        <v>0</v>
      </c>
      <c r="EG351" s="58" t="str">
        <f>IF(AL351="","",MAX(EG$12:EG350)+1)</f>
        <v/>
      </c>
      <c r="EH351" s="73" t="str">
        <f t="shared" si="460"/>
        <v/>
      </c>
      <c r="EI351" s="73" t="str">
        <f t="shared" si="498"/>
        <v/>
      </c>
      <c r="EJ351" s="73" t="str">
        <f t="shared" si="461"/>
        <v/>
      </c>
      <c r="EK351" s="73" t="str">
        <f t="shared" si="462"/>
        <v/>
      </c>
      <c r="EL351" s="73" t="str">
        <f t="shared" si="499"/>
        <v/>
      </c>
      <c r="EM351" s="73" t="str">
        <f t="shared" si="500"/>
        <v/>
      </c>
      <c r="EN351" s="73" t="str">
        <f t="shared" si="463"/>
        <v/>
      </c>
      <c r="EO351" s="73" t="str">
        <f t="shared" si="464"/>
        <v/>
      </c>
      <c r="EP351" s="73" t="str">
        <f t="shared" si="465"/>
        <v/>
      </c>
      <c r="EQ351" s="53" t="str">
        <f t="shared" si="466"/>
        <v/>
      </c>
      <c r="ER351" s="47" t="s">
        <v>0</v>
      </c>
      <c r="ES351" s="19" t="str">
        <f t="shared" si="501"/>
        <v/>
      </c>
      <c r="ET351" s="47" t="s">
        <v>0</v>
      </c>
      <c r="EU351" s="19" t="str">
        <f t="shared" si="502"/>
        <v/>
      </c>
      <c r="EV351" s="47" t="s">
        <v>0</v>
      </c>
      <c r="EW351" s="180" t="str">
        <f t="shared" si="467"/>
        <v/>
      </c>
      <c r="EX351" s="47" t="s">
        <v>0</v>
      </c>
    </row>
    <row r="352" spans="1:154" x14ac:dyDescent="0.25">
      <c r="A352" t="s">
        <v>0</v>
      </c>
      <c r="B352" s="52" t="str">
        <f>IF(csv!F342="","",csv!T342)</f>
        <v/>
      </c>
      <c r="C352" s="31" t="s">
        <v>0</v>
      </c>
      <c r="D352" s="31" t="str">
        <f>IF(csv!F342="","",csv!F342)</f>
        <v/>
      </c>
      <c r="E352" s="31" t="str">
        <f>IF(csv!E342="","",csv!E342)</f>
        <v/>
      </c>
      <c r="F352" s="31" t="s">
        <v>0</v>
      </c>
      <c r="G352" s="73" t="str">
        <f>IF(csv!M342="","",csv!M342)</f>
        <v/>
      </c>
      <c r="H352" s="73" t="str">
        <f>IF(csv!N342="","",csv!N342)</f>
        <v/>
      </c>
      <c r="I352" s="31" t="s">
        <v>0</v>
      </c>
      <c r="J352" s="31" t="str">
        <f>IF(csv!P342="","",csv!P342)</f>
        <v/>
      </c>
      <c r="K352" s="31" t="str">
        <f>IF(csv!Q342="","",csv!Q342)</f>
        <v/>
      </c>
      <c r="L352" s="31" t="s">
        <v>0</v>
      </c>
      <c r="M352" s="66" t="str">
        <f>IF(csv!R342="","",csv!R342)</f>
        <v/>
      </c>
      <c r="N352" s="47" t="s">
        <v>0</v>
      </c>
      <c r="O352" s="246" t="str">
        <f t="shared" si="468"/>
        <v/>
      </c>
      <c r="P352" s="47"/>
      <c r="Q352" s="52" t="str">
        <f t="shared" si="469"/>
        <v/>
      </c>
      <c r="R352" s="73" t="str">
        <f>IF(Q352="","",IF(COUNTIF(Q$12:Q351,Q352)=0,R351+1,R351))</f>
        <v/>
      </c>
      <c r="S352" s="73" t="str">
        <f t="shared" si="470"/>
        <v/>
      </c>
      <c r="T352" s="73" t="str">
        <f t="shared" si="434"/>
        <v/>
      </c>
      <c r="U352" s="66" t="str">
        <f t="shared" si="435"/>
        <v/>
      </c>
      <c r="V352" s="47" t="s">
        <v>0</v>
      </c>
      <c r="W352" s="222" t="str">
        <f t="shared" si="436"/>
        <v/>
      </c>
      <c r="X352" s="223" t="str">
        <f t="shared" si="437"/>
        <v/>
      </c>
      <c r="Y352" s="47" t="s">
        <v>0</v>
      </c>
      <c r="Z352" s="52" t="str">
        <f t="shared" si="471"/>
        <v/>
      </c>
      <c r="AA352" s="73" t="str">
        <f t="shared" si="438"/>
        <v/>
      </c>
      <c r="AB352" s="31" t="str">
        <f t="shared" si="472"/>
        <v/>
      </c>
      <c r="AC352" s="66" t="str">
        <f>IF(AB352="","",MAX(AC$12:AC351)+1)</f>
        <v/>
      </c>
      <c r="AD352" s="47" t="s">
        <v>0</v>
      </c>
      <c r="AE352" s="125"/>
      <c r="AF352" s="47" t="s">
        <v>0</v>
      </c>
      <c r="AG352" s="19" t="str">
        <f t="shared" si="473"/>
        <v/>
      </c>
      <c r="AH352" s="47" t="s">
        <v>0</v>
      </c>
      <c r="AI352" s="143" t="str">
        <f t="shared" si="474"/>
        <v/>
      </c>
      <c r="AJ352" s="47"/>
      <c r="AK352" s="52" t="str">
        <f t="shared" si="475"/>
        <v/>
      </c>
      <c r="AL352" s="31" t="str">
        <f t="shared" si="476"/>
        <v/>
      </c>
      <c r="AM352" s="73" t="str">
        <f t="shared" si="477"/>
        <v/>
      </c>
      <c r="AN352" s="73" t="str">
        <f t="shared" si="478"/>
        <v/>
      </c>
      <c r="AO352" s="31" t="str">
        <f t="shared" si="439"/>
        <v/>
      </c>
      <c r="AP352" s="66" t="str">
        <f t="shared" si="440"/>
        <v/>
      </c>
      <c r="AQ352" s="47" t="s">
        <v>0</v>
      </c>
      <c r="AR352" s="82" t="str">
        <f t="shared" si="479"/>
        <v/>
      </c>
      <c r="AS352" s="47" t="s">
        <v>0</v>
      </c>
      <c r="AT352" s="19" t="str">
        <f t="shared" si="480"/>
        <v/>
      </c>
      <c r="AU352" s="47" t="s">
        <v>0</v>
      </c>
      <c r="AV352" s="103"/>
      <c r="AW352" s="105"/>
      <c r="AX352" s="47" t="s">
        <v>0</v>
      </c>
      <c r="AY352" s="259" t="str">
        <f t="shared" si="503"/>
        <v/>
      </c>
      <c r="AZ352" s="47" t="s">
        <v>0</v>
      </c>
      <c r="BA352" s="52" t="str">
        <f t="shared" si="433"/>
        <v/>
      </c>
      <c r="BB352" s="73" t="str">
        <f>IF(AV352&amp;AW352="","",MAX(BB$12:BB351)+1)</f>
        <v/>
      </c>
      <c r="BC352" s="272" t="str">
        <f t="shared" si="441"/>
        <v/>
      </c>
      <c r="BD352" s="53" t="str">
        <f>IF(AND(AM352="NEMA",AN352="NEMA",OR(AV352&amp;AW352="",BC352="NEMA")),MAX(BD$12:BD351)+1,"")</f>
        <v/>
      </c>
      <c r="BE352" s="47" t="s">
        <v>0</v>
      </c>
      <c r="BF352" s="52" t="str">
        <f t="shared" si="481"/>
        <v/>
      </c>
      <c r="BG352" s="66" t="str">
        <f t="shared" si="482"/>
        <v/>
      </c>
      <c r="BH352" s="47" t="s">
        <v>0</v>
      </c>
      <c r="BI352" s="52" t="str">
        <f t="shared" si="442"/>
        <v/>
      </c>
      <c r="BJ352" s="31" t="str">
        <f t="shared" si="443"/>
        <v/>
      </c>
      <c r="BK352" s="73" t="str">
        <f t="shared" si="444"/>
        <v/>
      </c>
      <c r="BL352" s="31" t="str" cm="1">
        <f t="array" ref="BL352">IF(BK352="",""&amp;BJ352,IF(BK352="NEMA",BJ352,INDEX(regKlub_naziv,MATCH(INDEX(regKlub_alias_klubId,BK352),regKlub_id,0))))</f>
        <v/>
      </c>
      <c r="BM352" s="31" t="str" cm="1">
        <f t="array" ref="BM352">IFERROR(""&amp;INDEX(regNatjecatelj_klub,DV352),"")</f>
        <v/>
      </c>
      <c r="BN352" s="88" t="str">
        <f t="shared" si="483"/>
        <v/>
      </c>
      <c r="BO352" s="66" t="str">
        <f t="shared" si="484"/>
        <v/>
      </c>
      <c r="BP352" s="47" t="s">
        <v>0</v>
      </c>
      <c r="BQ352" s="52" t="str">
        <f>IF(X352&lt;&gt;"NEMA","",IF(IFERROR(MATCH(W352,W$12:W351,0),0)&lt;&gt;0,"",W352))</f>
        <v/>
      </c>
      <c r="BR352" s="73" t="str">
        <f t="shared" si="485"/>
        <v/>
      </c>
      <c r="BS352" s="31" t="str">
        <f>IF(OR(BR352="",BR352&lt;&gt;"NEMA"),"",MAX(BS$12:BS351)+1)</f>
        <v/>
      </c>
      <c r="BT352" s="66" t="str">
        <f t="shared" si="486"/>
        <v/>
      </c>
      <c r="BU352" s="47" t="s">
        <v>0</v>
      </c>
      <c r="BV352" s="19" t="str">
        <f t="shared" si="487"/>
        <v/>
      </c>
      <c r="BW352" s="47" t="s">
        <v>0</v>
      </c>
      <c r="BX352" s="82" t="str">
        <f>IF(BK352&lt;&gt;"NEMA","",IF(IFERROR(MATCH(BJ352,BJ$12:BJ351,0),0)&lt;&gt;0,"",BJ352))</f>
        <v/>
      </c>
      <c r="BY352" s="47" t="s">
        <v>0</v>
      </c>
      <c r="BZ352" s="125"/>
      <c r="CA352" s="47" t="s">
        <v>0</v>
      </c>
      <c r="CB352" s="58" t="str">
        <f t="shared" si="488"/>
        <v/>
      </c>
      <c r="CC352" s="31" t="str">
        <f t="shared" si="489"/>
        <v/>
      </c>
      <c r="CD352" s="31" t="str">
        <f>IF(CC352="","",MAX(CD$12:CD351)+1)</f>
        <v/>
      </c>
      <c r="CE352" s="31" t="str">
        <f t="shared" si="445"/>
        <v/>
      </c>
      <c r="CF352" s="31" t="str">
        <f t="shared" si="490"/>
        <v/>
      </c>
      <c r="CG352" s="31" t="str">
        <f>IF(BZ352="","",MAX(CG$12:CG351)+1)</f>
        <v/>
      </c>
      <c r="CH352" s="31" t="str">
        <f t="shared" si="491"/>
        <v/>
      </c>
      <c r="CI352" s="66" t="str">
        <f t="shared" si="492"/>
        <v/>
      </c>
      <c r="CJ352" s="47" t="s">
        <v>0</v>
      </c>
      <c r="CK352" s="73" t="str">
        <f t="shared" si="446"/>
        <v/>
      </c>
      <c r="CL352" s="47"/>
      <c r="CM352" s="19" t="str">
        <f t="shared" si="493"/>
        <v/>
      </c>
      <c r="CN352" s="47" t="s">
        <v>0</v>
      </c>
      <c r="CO352" s="143" t="str">
        <f t="shared" si="494"/>
        <v/>
      </c>
      <c r="CP352" s="47" t="s">
        <v>0</v>
      </c>
      <c r="CQ352" s="58" t="str">
        <f t="shared" si="430"/>
        <v/>
      </c>
      <c r="CR352" s="73" t="str">
        <f t="shared" si="431"/>
        <v/>
      </c>
      <c r="CS352" s="229" t="str">
        <f t="shared" si="447"/>
        <v/>
      </c>
      <c r="CT352" s="230" t="str">
        <f t="shared" si="432"/>
        <v/>
      </c>
      <c r="CU352" s="163" t="str">
        <f t="shared" si="448"/>
        <v/>
      </c>
      <c r="CV352" s="47" t="s">
        <v>0</v>
      </c>
      <c r="CW352" s="222" t="str">
        <f t="shared" si="495"/>
        <v xml:space="preserve">
</v>
      </c>
      <c r="CX352" s="223" t="str">
        <f t="shared" si="496"/>
        <v/>
      </c>
      <c r="CY352" s="47" t="s">
        <v>0</v>
      </c>
      <c r="CZ352" s="47"/>
      <c r="DA352" s="47"/>
      <c r="DB352" s="47"/>
      <c r="DC352" s="47" t="s">
        <v>0</v>
      </c>
      <c r="DD352" s="53" t="str">
        <f t="shared" si="504"/>
        <v/>
      </c>
      <c r="DE352" t="s">
        <v>0</v>
      </c>
      <c r="DF352" s="128" t="str">
        <f t="shared" si="505"/>
        <v/>
      </c>
      <c r="DG352" t="s">
        <v>0</v>
      </c>
      <c r="DH352" s="52" t="str">
        <f t="shared" si="506"/>
        <v/>
      </c>
      <c r="DI352" s="66" t="str">
        <f t="shared" si="507"/>
        <v/>
      </c>
      <c r="DJ352" t="s">
        <v>0</v>
      </c>
      <c r="DK352" s="19" t="str">
        <f t="shared" si="508"/>
        <v/>
      </c>
      <c r="DL352" s="47" t="s">
        <v>0</v>
      </c>
      <c r="DM352" s="19" t="str">
        <f t="shared" si="509"/>
        <v/>
      </c>
      <c r="DN352" s="47" t="s">
        <v>0</v>
      </c>
      <c r="DO352" s="52" t="str">
        <f t="shared" si="449"/>
        <v/>
      </c>
      <c r="DP352" s="53" t="str">
        <f t="shared" si="450"/>
        <v/>
      </c>
      <c r="DQ352" s="47" t="s">
        <v>0</v>
      </c>
      <c r="DR352" s="52" t="str">
        <f t="shared" si="451"/>
        <v/>
      </c>
      <c r="DS352" s="53" t="str">
        <f t="shared" si="452"/>
        <v/>
      </c>
      <c r="DT352" s="47" t="s">
        <v>0</v>
      </c>
      <c r="DU352" s="52" t="str">
        <f t="shared" si="453"/>
        <v/>
      </c>
      <c r="DV352" s="53" t="str">
        <f t="shared" si="454"/>
        <v/>
      </c>
      <c r="DW352" s="47" t="s">
        <v>0</v>
      </c>
      <c r="DX352" s="58" t="str">
        <f t="shared" si="497"/>
        <v/>
      </c>
      <c r="DY352" s="53" t="str" cm="1">
        <f t="array" ref="DY352">IF(DX352&lt;&gt;"",INDEX(regNatjecatelj_id,DX352,0),IF(BD352&lt;&gt;"",BD352,""))</f>
        <v/>
      </c>
      <c r="DZ352" s="47" t="s">
        <v>0</v>
      </c>
      <c r="EA352" s="58" t="str">
        <f t="shared" si="455"/>
        <v/>
      </c>
      <c r="EB352" s="73" t="str">
        <f t="shared" si="456"/>
        <v/>
      </c>
      <c r="EC352" s="73" t="str">
        <f t="shared" si="457"/>
        <v/>
      </c>
      <c r="ED352" s="73" t="str">
        <f t="shared" si="458"/>
        <v/>
      </c>
      <c r="EE352" s="66" t="str">
        <f t="shared" si="459"/>
        <v/>
      </c>
      <c r="EF352" s="47" t="s">
        <v>0</v>
      </c>
      <c r="EG352" s="58" t="str">
        <f>IF(AL352="","",MAX(EG$12:EG351)+1)</f>
        <v/>
      </c>
      <c r="EH352" s="73" t="str">
        <f t="shared" si="460"/>
        <v/>
      </c>
      <c r="EI352" s="73" t="str">
        <f t="shared" si="498"/>
        <v/>
      </c>
      <c r="EJ352" s="73" t="str">
        <f t="shared" si="461"/>
        <v/>
      </c>
      <c r="EK352" s="73" t="str">
        <f t="shared" si="462"/>
        <v/>
      </c>
      <c r="EL352" s="73" t="str">
        <f t="shared" si="499"/>
        <v/>
      </c>
      <c r="EM352" s="73" t="str">
        <f t="shared" si="500"/>
        <v/>
      </c>
      <c r="EN352" s="73" t="str">
        <f t="shared" si="463"/>
        <v/>
      </c>
      <c r="EO352" s="73" t="str">
        <f t="shared" si="464"/>
        <v/>
      </c>
      <c r="EP352" s="73" t="str">
        <f t="shared" si="465"/>
        <v/>
      </c>
      <c r="EQ352" s="53" t="str">
        <f t="shared" si="466"/>
        <v/>
      </c>
      <c r="ER352" s="47" t="s">
        <v>0</v>
      </c>
      <c r="ES352" s="19" t="str">
        <f t="shared" si="501"/>
        <v/>
      </c>
      <c r="ET352" s="47" t="s">
        <v>0</v>
      </c>
      <c r="EU352" s="19" t="str">
        <f t="shared" si="502"/>
        <v/>
      </c>
      <c r="EV352" s="47" t="s">
        <v>0</v>
      </c>
      <c r="EW352" s="180" t="str">
        <f t="shared" si="467"/>
        <v/>
      </c>
      <c r="EX352" s="47" t="s">
        <v>0</v>
      </c>
    </row>
    <row r="353" spans="1:154" x14ac:dyDescent="0.25">
      <c r="A353" t="s">
        <v>0</v>
      </c>
      <c r="B353" s="52" t="str">
        <f>IF(csv!F343="","",csv!T343)</f>
        <v/>
      </c>
      <c r="C353" s="31" t="s">
        <v>0</v>
      </c>
      <c r="D353" s="31" t="str">
        <f>IF(csv!F343="","",csv!F343)</f>
        <v/>
      </c>
      <c r="E353" s="31" t="str">
        <f>IF(csv!E343="","",csv!E343)</f>
        <v/>
      </c>
      <c r="F353" s="31" t="s">
        <v>0</v>
      </c>
      <c r="G353" s="73" t="str">
        <f>IF(csv!M343="","",csv!M343)</f>
        <v/>
      </c>
      <c r="H353" s="73" t="str">
        <f>IF(csv!N343="","",csv!N343)</f>
        <v/>
      </c>
      <c r="I353" s="31" t="s">
        <v>0</v>
      </c>
      <c r="J353" s="31" t="str">
        <f>IF(csv!P343="","",csv!P343)</f>
        <v/>
      </c>
      <c r="K353" s="31" t="str">
        <f>IF(csv!Q343="","",csv!Q343)</f>
        <v/>
      </c>
      <c r="L353" s="31" t="s">
        <v>0</v>
      </c>
      <c r="M353" s="66" t="str">
        <f>IF(csv!R343="","",csv!R343)</f>
        <v/>
      </c>
      <c r="N353" s="47" t="s">
        <v>0</v>
      </c>
      <c r="O353" s="246" t="str">
        <f t="shared" si="468"/>
        <v/>
      </c>
      <c r="P353" s="47"/>
      <c r="Q353" s="52" t="str">
        <f t="shared" si="469"/>
        <v/>
      </c>
      <c r="R353" s="73" t="str">
        <f>IF(Q353="","",IF(COUNTIF(Q$12:Q352,Q353)=0,R352+1,R352))</f>
        <v/>
      </c>
      <c r="S353" s="73" t="str">
        <f t="shared" si="470"/>
        <v/>
      </c>
      <c r="T353" s="73" t="str">
        <f t="shared" si="434"/>
        <v/>
      </c>
      <c r="U353" s="66" t="str">
        <f t="shared" si="435"/>
        <v/>
      </c>
      <c r="V353" s="47" t="s">
        <v>0</v>
      </c>
      <c r="W353" s="222" t="str">
        <f t="shared" si="436"/>
        <v/>
      </c>
      <c r="X353" s="223" t="str">
        <f t="shared" si="437"/>
        <v/>
      </c>
      <c r="Y353" s="47" t="s">
        <v>0</v>
      </c>
      <c r="Z353" s="52" t="str">
        <f t="shared" si="471"/>
        <v/>
      </c>
      <c r="AA353" s="73" t="str">
        <f t="shared" si="438"/>
        <v/>
      </c>
      <c r="AB353" s="31" t="str">
        <f t="shared" si="472"/>
        <v/>
      </c>
      <c r="AC353" s="66" t="str">
        <f>IF(AB353="","",MAX(AC$12:AC352)+1)</f>
        <v/>
      </c>
      <c r="AD353" s="47" t="s">
        <v>0</v>
      </c>
      <c r="AE353" s="125"/>
      <c r="AF353" s="47" t="s">
        <v>0</v>
      </c>
      <c r="AG353" s="19" t="str">
        <f t="shared" si="473"/>
        <v/>
      </c>
      <c r="AH353" s="47" t="s">
        <v>0</v>
      </c>
      <c r="AI353" s="143" t="str">
        <f t="shared" si="474"/>
        <v/>
      </c>
      <c r="AJ353" s="47"/>
      <c r="AK353" s="52" t="str">
        <f t="shared" si="475"/>
        <v/>
      </c>
      <c r="AL353" s="31" t="str">
        <f t="shared" si="476"/>
        <v/>
      </c>
      <c r="AM353" s="73" t="str">
        <f t="shared" si="477"/>
        <v/>
      </c>
      <c r="AN353" s="73" t="str">
        <f t="shared" si="478"/>
        <v/>
      </c>
      <c r="AO353" s="31" t="str">
        <f t="shared" si="439"/>
        <v/>
      </c>
      <c r="AP353" s="66" t="str">
        <f t="shared" si="440"/>
        <v/>
      </c>
      <c r="AQ353" s="47" t="s">
        <v>0</v>
      </c>
      <c r="AR353" s="82" t="str">
        <f t="shared" si="479"/>
        <v/>
      </c>
      <c r="AS353" s="47" t="s">
        <v>0</v>
      </c>
      <c r="AT353" s="19" t="str">
        <f t="shared" si="480"/>
        <v/>
      </c>
      <c r="AU353" s="47" t="s">
        <v>0</v>
      </c>
      <c r="AV353" s="103"/>
      <c r="AW353" s="105"/>
      <c r="AX353" s="47" t="s">
        <v>0</v>
      </c>
      <c r="AY353" s="259" t="str">
        <f t="shared" si="503"/>
        <v/>
      </c>
      <c r="AZ353" s="47" t="s">
        <v>0</v>
      </c>
      <c r="BA353" s="52" t="str">
        <f t="shared" si="433"/>
        <v/>
      </c>
      <c r="BB353" s="73" t="str">
        <f>IF(AV353&amp;AW353="","",MAX(BB$12:BB352)+1)</f>
        <v/>
      </c>
      <c r="BC353" s="272" t="str">
        <f t="shared" si="441"/>
        <v/>
      </c>
      <c r="BD353" s="53" t="str">
        <f>IF(AND(AM353="NEMA",AN353="NEMA",OR(AV353&amp;AW353="",BC353="NEMA")),MAX(BD$12:BD352)+1,"")</f>
        <v/>
      </c>
      <c r="BE353" s="47" t="s">
        <v>0</v>
      </c>
      <c r="BF353" s="52" t="str">
        <f t="shared" si="481"/>
        <v/>
      </c>
      <c r="BG353" s="66" t="str">
        <f t="shared" si="482"/>
        <v/>
      </c>
      <c r="BH353" s="47" t="s">
        <v>0</v>
      </c>
      <c r="BI353" s="52" t="str">
        <f t="shared" si="442"/>
        <v/>
      </c>
      <c r="BJ353" s="31" t="str">
        <f t="shared" si="443"/>
        <v/>
      </c>
      <c r="BK353" s="73" t="str">
        <f t="shared" si="444"/>
        <v/>
      </c>
      <c r="BL353" s="31" t="str" cm="1">
        <f t="array" ref="BL353">IF(BK353="",""&amp;BJ353,IF(BK353="NEMA",BJ353,INDEX(regKlub_naziv,MATCH(INDEX(regKlub_alias_klubId,BK353),regKlub_id,0))))</f>
        <v/>
      </c>
      <c r="BM353" s="31" t="str" cm="1">
        <f t="array" ref="BM353">IFERROR(""&amp;INDEX(regNatjecatelj_klub,DV353),"")</f>
        <v/>
      </c>
      <c r="BN353" s="88" t="str">
        <f t="shared" si="483"/>
        <v/>
      </c>
      <c r="BO353" s="66" t="str">
        <f t="shared" si="484"/>
        <v/>
      </c>
      <c r="BP353" s="47" t="s">
        <v>0</v>
      </c>
      <c r="BQ353" s="52" t="str">
        <f>IF(X353&lt;&gt;"NEMA","",IF(IFERROR(MATCH(W353,W$12:W352,0),0)&lt;&gt;0,"",W353))</f>
        <v/>
      </c>
      <c r="BR353" s="73" t="str">
        <f t="shared" si="485"/>
        <v/>
      </c>
      <c r="BS353" s="31" t="str">
        <f>IF(OR(BR353="",BR353&lt;&gt;"NEMA"),"",MAX(BS$12:BS352)+1)</f>
        <v/>
      </c>
      <c r="BT353" s="66" t="str">
        <f t="shared" si="486"/>
        <v/>
      </c>
      <c r="BU353" s="47" t="s">
        <v>0</v>
      </c>
      <c r="BV353" s="19" t="str">
        <f t="shared" si="487"/>
        <v/>
      </c>
      <c r="BW353" s="47" t="s">
        <v>0</v>
      </c>
      <c r="BX353" s="82" t="str">
        <f>IF(BK353&lt;&gt;"NEMA","",IF(IFERROR(MATCH(BJ353,BJ$12:BJ352,0),0)&lt;&gt;0,"",BJ353))</f>
        <v/>
      </c>
      <c r="BY353" s="47" t="s">
        <v>0</v>
      </c>
      <c r="BZ353" s="125"/>
      <c r="CA353" s="47" t="s">
        <v>0</v>
      </c>
      <c r="CB353" s="58" t="str">
        <f t="shared" si="488"/>
        <v/>
      </c>
      <c r="CC353" s="31" t="str">
        <f t="shared" si="489"/>
        <v/>
      </c>
      <c r="CD353" s="31" t="str">
        <f>IF(CC353="","",MAX(CD$12:CD352)+1)</f>
        <v/>
      </c>
      <c r="CE353" s="31" t="str">
        <f t="shared" si="445"/>
        <v/>
      </c>
      <c r="CF353" s="31" t="str">
        <f t="shared" si="490"/>
        <v/>
      </c>
      <c r="CG353" s="31" t="str">
        <f>IF(BZ353="","",MAX(CG$12:CG352)+1)</f>
        <v/>
      </c>
      <c r="CH353" s="31" t="str">
        <f t="shared" si="491"/>
        <v/>
      </c>
      <c r="CI353" s="66" t="str">
        <f t="shared" si="492"/>
        <v/>
      </c>
      <c r="CJ353" s="47" t="s">
        <v>0</v>
      </c>
      <c r="CK353" s="73" t="str">
        <f t="shared" si="446"/>
        <v/>
      </c>
      <c r="CL353" s="47"/>
      <c r="CM353" s="19" t="str">
        <f t="shared" si="493"/>
        <v/>
      </c>
      <c r="CN353" s="47" t="s">
        <v>0</v>
      </c>
      <c r="CO353" s="143" t="str">
        <f t="shared" si="494"/>
        <v/>
      </c>
      <c r="CP353" s="47" t="s">
        <v>0</v>
      </c>
      <c r="CQ353" s="58" t="str">
        <f t="shared" si="430"/>
        <v/>
      </c>
      <c r="CR353" s="73" t="str">
        <f t="shared" si="431"/>
        <v/>
      </c>
      <c r="CS353" s="229" t="str">
        <f t="shared" si="447"/>
        <v/>
      </c>
      <c r="CT353" s="230" t="str">
        <f t="shared" si="432"/>
        <v/>
      </c>
      <c r="CU353" s="163" t="str">
        <f t="shared" si="448"/>
        <v/>
      </c>
      <c r="CV353" s="47" t="s">
        <v>0</v>
      </c>
      <c r="CW353" s="222" t="str">
        <f t="shared" si="495"/>
        <v xml:space="preserve">
</v>
      </c>
      <c r="CX353" s="223" t="str">
        <f t="shared" si="496"/>
        <v/>
      </c>
      <c r="CY353" s="47" t="s">
        <v>0</v>
      </c>
      <c r="CZ353" s="47"/>
      <c r="DA353" s="47"/>
      <c r="DB353" s="47"/>
      <c r="DC353" s="47" t="s">
        <v>0</v>
      </c>
      <c r="DD353" s="53" t="str">
        <f t="shared" si="504"/>
        <v/>
      </c>
      <c r="DE353" t="s">
        <v>0</v>
      </c>
      <c r="DF353" s="128" t="str">
        <f t="shared" si="505"/>
        <v/>
      </c>
      <c r="DG353" t="s">
        <v>0</v>
      </c>
      <c r="DH353" s="52" t="str">
        <f t="shared" si="506"/>
        <v/>
      </c>
      <c r="DI353" s="66" t="str">
        <f t="shared" si="507"/>
        <v/>
      </c>
      <c r="DJ353" t="s">
        <v>0</v>
      </c>
      <c r="DK353" s="19" t="str">
        <f t="shared" si="508"/>
        <v/>
      </c>
      <c r="DL353" s="47" t="s">
        <v>0</v>
      </c>
      <c r="DM353" s="19" t="str">
        <f t="shared" si="509"/>
        <v/>
      </c>
      <c r="DN353" s="47" t="s">
        <v>0</v>
      </c>
      <c r="DO353" s="52" t="str">
        <f t="shared" si="449"/>
        <v/>
      </c>
      <c r="DP353" s="53" t="str">
        <f t="shared" si="450"/>
        <v/>
      </c>
      <c r="DQ353" s="47" t="s">
        <v>0</v>
      </c>
      <c r="DR353" s="52" t="str">
        <f t="shared" si="451"/>
        <v/>
      </c>
      <c r="DS353" s="53" t="str">
        <f t="shared" si="452"/>
        <v/>
      </c>
      <c r="DT353" s="47" t="s">
        <v>0</v>
      </c>
      <c r="DU353" s="52" t="str">
        <f t="shared" si="453"/>
        <v/>
      </c>
      <c r="DV353" s="53" t="str">
        <f t="shared" si="454"/>
        <v/>
      </c>
      <c r="DW353" s="47" t="s">
        <v>0</v>
      </c>
      <c r="DX353" s="58" t="str">
        <f t="shared" si="497"/>
        <v/>
      </c>
      <c r="DY353" s="53" t="str" cm="1">
        <f t="array" ref="DY353">IF(DX353&lt;&gt;"",INDEX(regNatjecatelj_id,DX353,0),IF(BD353&lt;&gt;"",BD353,""))</f>
        <v/>
      </c>
      <c r="DZ353" s="47" t="s">
        <v>0</v>
      </c>
      <c r="EA353" s="58" t="str">
        <f t="shared" si="455"/>
        <v/>
      </c>
      <c r="EB353" s="73" t="str">
        <f t="shared" si="456"/>
        <v/>
      </c>
      <c r="EC353" s="73" t="str">
        <f t="shared" si="457"/>
        <v/>
      </c>
      <c r="ED353" s="73" t="str">
        <f t="shared" si="458"/>
        <v/>
      </c>
      <c r="EE353" s="66" t="str">
        <f t="shared" si="459"/>
        <v/>
      </c>
      <c r="EF353" s="47" t="s">
        <v>0</v>
      </c>
      <c r="EG353" s="58" t="str">
        <f>IF(AL353="","",MAX(EG$12:EG352)+1)</f>
        <v/>
      </c>
      <c r="EH353" s="73" t="str">
        <f t="shared" si="460"/>
        <v/>
      </c>
      <c r="EI353" s="73" t="str">
        <f t="shared" si="498"/>
        <v/>
      </c>
      <c r="EJ353" s="73" t="str">
        <f t="shared" si="461"/>
        <v/>
      </c>
      <c r="EK353" s="73" t="str">
        <f t="shared" si="462"/>
        <v/>
      </c>
      <c r="EL353" s="73" t="str">
        <f t="shared" si="499"/>
        <v/>
      </c>
      <c r="EM353" s="73" t="str">
        <f t="shared" si="500"/>
        <v/>
      </c>
      <c r="EN353" s="73" t="str">
        <f t="shared" si="463"/>
        <v/>
      </c>
      <c r="EO353" s="73" t="str">
        <f t="shared" si="464"/>
        <v/>
      </c>
      <c r="EP353" s="73" t="str">
        <f t="shared" si="465"/>
        <v/>
      </c>
      <c r="EQ353" s="53" t="str">
        <f t="shared" si="466"/>
        <v/>
      </c>
      <c r="ER353" s="47" t="s">
        <v>0</v>
      </c>
      <c r="ES353" s="19" t="str">
        <f t="shared" si="501"/>
        <v/>
      </c>
      <c r="ET353" s="47" t="s">
        <v>0</v>
      </c>
      <c r="EU353" s="19" t="str">
        <f t="shared" si="502"/>
        <v/>
      </c>
      <c r="EV353" s="47" t="s">
        <v>0</v>
      </c>
      <c r="EW353" s="180" t="str">
        <f t="shared" si="467"/>
        <v/>
      </c>
      <c r="EX353" s="47" t="s">
        <v>0</v>
      </c>
    </row>
    <row r="354" spans="1:154" x14ac:dyDescent="0.25">
      <c r="A354" t="s">
        <v>0</v>
      </c>
      <c r="B354" s="52" t="str">
        <f>IF(csv!F344="","",csv!T344)</f>
        <v/>
      </c>
      <c r="C354" s="31" t="s">
        <v>0</v>
      </c>
      <c r="D354" s="31" t="str">
        <f>IF(csv!F344="","",csv!F344)</f>
        <v/>
      </c>
      <c r="E354" s="31" t="str">
        <f>IF(csv!E344="","",csv!E344)</f>
        <v/>
      </c>
      <c r="F354" s="31" t="s">
        <v>0</v>
      </c>
      <c r="G354" s="73" t="str">
        <f>IF(csv!M344="","",csv!M344)</f>
        <v/>
      </c>
      <c r="H354" s="73" t="str">
        <f>IF(csv!N344="","",csv!N344)</f>
        <v/>
      </c>
      <c r="I354" s="31" t="s">
        <v>0</v>
      </c>
      <c r="J354" s="31" t="str">
        <f>IF(csv!P344="","",csv!P344)</f>
        <v/>
      </c>
      <c r="K354" s="31" t="str">
        <f>IF(csv!Q344="","",csv!Q344)</f>
        <v/>
      </c>
      <c r="L354" s="31" t="s">
        <v>0</v>
      </c>
      <c r="M354" s="66" t="str">
        <f>IF(csv!R344="","",csv!R344)</f>
        <v/>
      </c>
      <c r="N354" s="47" t="s">
        <v>0</v>
      </c>
      <c r="O354" s="246" t="str">
        <f t="shared" si="468"/>
        <v/>
      </c>
      <c r="P354" s="47"/>
      <c r="Q354" s="52" t="str">
        <f t="shared" si="469"/>
        <v/>
      </c>
      <c r="R354" s="73" t="str">
        <f>IF(Q354="","",IF(COUNTIF(Q$12:Q353,Q354)=0,R353+1,R353))</f>
        <v/>
      </c>
      <c r="S354" s="73" t="str">
        <f t="shared" si="470"/>
        <v/>
      </c>
      <c r="T354" s="73" t="str">
        <f t="shared" si="434"/>
        <v/>
      </c>
      <c r="U354" s="66" t="str">
        <f t="shared" si="435"/>
        <v/>
      </c>
      <c r="V354" s="47" t="s">
        <v>0</v>
      </c>
      <c r="W354" s="222" t="str">
        <f t="shared" si="436"/>
        <v/>
      </c>
      <c r="X354" s="223" t="str">
        <f t="shared" si="437"/>
        <v/>
      </c>
      <c r="Y354" s="47" t="s">
        <v>0</v>
      </c>
      <c r="Z354" s="52" t="str">
        <f t="shared" si="471"/>
        <v/>
      </c>
      <c r="AA354" s="73" t="str">
        <f t="shared" si="438"/>
        <v/>
      </c>
      <c r="AB354" s="31" t="str">
        <f t="shared" si="472"/>
        <v/>
      </c>
      <c r="AC354" s="66" t="str">
        <f>IF(AB354="","",MAX(AC$12:AC353)+1)</f>
        <v/>
      </c>
      <c r="AD354" s="47" t="s">
        <v>0</v>
      </c>
      <c r="AE354" s="125"/>
      <c r="AF354" s="47" t="s">
        <v>0</v>
      </c>
      <c r="AG354" s="19" t="str">
        <f t="shared" si="473"/>
        <v/>
      </c>
      <c r="AH354" s="47" t="s">
        <v>0</v>
      </c>
      <c r="AI354" s="143" t="str">
        <f t="shared" si="474"/>
        <v/>
      </c>
      <c r="AJ354" s="47"/>
      <c r="AK354" s="52" t="str">
        <f t="shared" si="475"/>
        <v/>
      </c>
      <c r="AL354" s="31" t="str">
        <f t="shared" si="476"/>
        <v/>
      </c>
      <c r="AM354" s="73" t="str">
        <f t="shared" si="477"/>
        <v/>
      </c>
      <c r="AN354" s="73" t="str">
        <f t="shared" si="478"/>
        <v/>
      </c>
      <c r="AO354" s="31" t="str">
        <f t="shared" si="439"/>
        <v/>
      </c>
      <c r="AP354" s="66" t="str">
        <f t="shared" si="440"/>
        <v/>
      </c>
      <c r="AQ354" s="47" t="s">
        <v>0</v>
      </c>
      <c r="AR354" s="82" t="str">
        <f t="shared" si="479"/>
        <v/>
      </c>
      <c r="AS354" s="47" t="s">
        <v>0</v>
      </c>
      <c r="AT354" s="19" t="str">
        <f t="shared" si="480"/>
        <v/>
      </c>
      <c r="AU354" s="47" t="s">
        <v>0</v>
      </c>
      <c r="AV354" s="103"/>
      <c r="AW354" s="105"/>
      <c r="AX354" s="47" t="s">
        <v>0</v>
      </c>
      <c r="AY354" s="259" t="str">
        <f t="shared" si="503"/>
        <v/>
      </c>
      <c r="AZ354" s="47" t="s">
        <v>0</v>
      </c>
      <c r="BA354" s="52" t="str">
        <f t="shared" si="433"/>
        <v/>
      </c>
      <c r="BB354" s="73" t="str">
        <f>IF(AV354&amp;AW354="","",MAX(BB$12:BB353)+1)</f>
        <v/>
      </c>
      <c r="BC354" s="272" t="str">
        <f t="shared" si="441"/>
        <v/>
      </c>
      <c r="BD354" s="53" t="str">
        <f>IF(AND(AM354="NEMA",AN354="NEMA",OR(AV354&amp;AW354="",BC354="NEMA")),MAX(BD$12:BD353)+1,"")</f>
        <v/>
      </c>
      <c r="BE354" s="47" t="s">
        <v>0</v>
      </c>
      <c r="BF354" s="52" t="str">
        <f t="shared" si="481"/>
        <v/>
      </c>
      <c r="BG354" s="66" t="str">
        <f t="shared" si="482"/>
        <v/>
      </c>
      <c r="BH354" s="47" t="s">
        <v>0</v>
      </c>
      <c r="BI354" s="52" t="str">
        <f t="shared" si="442"/>
        <v/>
      </c>
      <c r="BJ354" s="31" t="str">
        <f t="shared" si="443"/>
        <v/>
      </c>
      <c r="BK354" s="73" t="str">
        <f t="shared" si="444"/>
        <v/>
      </c>
      <c r="BL354" s="31" t="str" cm="1">
        <f t="array" ref="BL354">IF(BK354="",""&amp;BJ354,IF(BK354="NEMA",BJ354,INDEX(regKlub_naziv,MATCH(INDEX(regKlub_alias_klubId,BK354),regKlub_id,0))))</f>
        <v/>
      </c>
      <c r="BM354" s="31" t="str" cm="1">
        <f t="array" ref="BM354">IFERROR(""&amp;INDEX(regNatjecatelj_klub,DV354),"")</f>
        <v/>
      </c>
      <c r="BN354" s="88" t="str">
        <f t="shared" si="483"/>
        <v/>
      </c>
      <c r="BO354" s="66" t="str">
        <f t="shared" si="484"/>
        <v/>
      </c>
      <c r="BP354" s="47" t="s">
        <v>0</v>
      </c>
      <c r="BQ354" s="52" t="str">
        <f>IF(X354&lt;&gt;"NEMA","",IF(IFERROR(MATCH(W354,W$12:W353,0),0)&lt;&gt;0,"",W354))</f>
        <v/>
      </c>
      <c r="BR354" s="73" t="str">
        <f t="shared" si="485"/>
        <v/>
      </c>
      <c r="BS354" s="31" t="str">
        <f>IF(OR(BR354="",BR354&lt;&gt;"NEMA"),"",MAX(BS$12:BS353)+1)</f>
        <v/>
      </c>
      <c r="BT354" s="66" t="str">
        <f t="shared" si="486"/>
        <v/>
      </c>
      <c r="BU354" s="47" t="s">
        <v>0</v>
      </c>
      <c r="BV354" s="19" t="str">
        <f t="shared" si="487"/>
        <v/>
      </c>
      <c r="BW354" s="47" t="s">
        <v>0</v>
      </c>
      <c r="BX354" s="82" t="str">
        <f>IF(BK354&lt;&gt;"NEMA","",IF(IFERROR(MATCH(BJ354,BJ$12:BJ353,0),0)&lt;&gt;0,"",BJ354))</f>
        <v/>
      </c>
      <c r="BY354" s="47" t="s">
        <v>0</v>
      </c>
      <c r="BZ354" s="125"/>
      <c r="CA354" s="47" t="s">
        <v>0</v>
      </c>
      <c r="CB354" s="58" t="str">
        <f t="shared" si="488"/>
        <v/>
      </c>
      <c r="CC354" s="31" t="str">
        <f t="shared" si="489"/>
        <v/>
      </c>
      <c r="CD354" s="31" t="str">
        <f>IF(CC354="","",MAX(CD$12:CD353)+1)</f>
        <v/>
      </c>
      <c r="CE354" s="31" t="str">
        <f t="shared" si="445"/>
        <v/>
      </c>
      <c r="CF354" s="31" t="str">
        <f t="shared" si="490"/>
        <v/>
      </c>
      <c r="CG354" s="31" t="str">
        <f>IF(BZ354="","",MAX(CG$12:CG353)+1)</f>
        <v/>
      </c>
      <c r="CH354" s="31" t="str">
        <f t="shared" si="491"/>
        <v/>
      </c>
      <c r="CI354" s="66" t="str">
        <f t="shared" si="492"/>
        <v/>
      </c>
      <c r="CJ354" s="47" t="s">
        <v>0</v>
      </c>
      <c r="CK354" s="73" t="str">
        <f t="shared" si="446"/>
        <v/>
      </c>
      <c r="CL354" s="47"/>
      <c r="CM354" s="19" t="str">
        <f t="shared" si="493"/>
        <v/>
      </c>
      <c r="CN354" s="47" t="s">
        <v>0</v>
      </c>
      <c r="CO354" s="143" t="str">
        <f t="shared" si="494"/>
        <v/>
      </c>
      <c r="CP354" s="47" t="s">
        <v>0</v>
      </c>
      <c r="CQ354" s="58" t="str">
        <f t="shared" si="430"/>
        <v/>
      </c>
      <c r="CR354" s="73" t="str">
        <f t="shared" si="431"/>
        <v/>
      </c>
      <c r="CS354" s="229" t="str">
        <f t="shared" si="447"/>
        <v/>
      </c>
      <c r="CT354" s="230" t="str">
        <f t="shared" si="432"/>
        <v/>
      </c>
      <c r="CU354" s="163" t="str">
        <f t="shared" si="448"/>
        <v/>
      </c>
      <c r="CV354" s="47" t="s">
        <v>0</v>
      </c>
      <c r="CW354" s="222" t="str">
        <f t="shared" si="495"/>
        <v xml:space="preserve">
</v>
      </c>
      <c r="CX354" s="223" t="str">
        <f t="shared" si="496"/>
        <v/>
      </c>
      <c r="CY354" s="47" t="s">
        <v>0</v>
      </c>
      <c r="CZ354" s="47"/>
      <c r="DA354" s="47"/>
      <c r="DB354" s="47"/>
      <c r="DC354" s="47" t="s">
        <v>0</v>
      </c>
      <c r="DD354" s="53" t="str">
        <f t="shared" si="504"/>
        <v/>
      </c>
      <c r="DE354" t="s">
        <v>0</v>
      </c>
      <c r="DF354" s="128" t="str">
        <f t="shared" si="505"/>
        <v/>
      </c>
      <c r="DG354" t="s">
        <v>0</v>
      </c>
      <c r="DH354" s="52" t="str">
        <f t="shared" si="506"/>
        <v/>
      </c>
      <c r="DI354" s="66" t="str">
        <f t="shared" si="507"/>
        <v/>
      </c>
      <c r="DJ354" t="s">
        <v>0</v>
      </c>
      <c r="DK354" s="19" t="str">
        <f t="shared" si="508"/>
        <v/>
      </c>
      <c r="DL354" s="47" t="s">
        <v>0</v>
      </c>
      <c r="DM354" s="19" t="str">
        <f t="shared" si="509"/>
        <v/>
      </c>
      <c r="DN354" s="47" t="s">
        <v>0</v>
      </c>
      <c r="DO354" s="52" t="str">
        <f t="shared" si="449"/>
        <v/>
      </c>
      <c r="DP354" s="53" t="str">
        <f t="shared" si="450"/>
        <v/>
      </c>
      <c r="DQ354" s="47" t="s">
        <v>0</v>
      </c>
      <c r="DR354" s="52" t="str">
        <f t="shared" si="451"/>
        <v/>
      </c>
      <c r="DS354" s="53" t="str">
        <f t="shared" si="452"/>
        <v/>
      </c>
      <c r="DT354" s="47" t="s">
        <v>0</v>
      </c>
      <c r="DU354" s="52" t="str">
        <f t="shared" si="453"/>
        <v/>
      </c>
      <c r="DV354" s="53" t="str">
        <f t="shared" si="454"/>
        <v/>
      </c>
      <c r="DW354" s="47" t="s">
        <v>0</v>
      </c>
      <c r="DX354" s="58" t="str">
        <f t="shared" si="497"/>
        <v/>
      </c>
      <c r="DY354" s="53" t="str" cm="1">
        <f t="array" ref="DY354">IF(DX354&lt;&gt;"",INDEX(regNatjecatelj_id,DX354,0),IF(BD354&lt;&gt;"",BD354,""))</f>
        <v/>
      </c>
      <c r="DZ354" s="47" t="s">
        <v>0</v>
      </c>
      <c r="EA354" s="58" t="str">
        <f t="shared" si="455"/>
        <v/>
      </c>
      <c r="EB354" s="73" t="str">
        <f t="shared" si="456"/>
        <v/>
      </c>
      <c r="EC354" s="73" t="str">
        <f t="shared" si="457"/>
        <v/>
      </c>
      <c r="ED354" s="73" t="str">
        <f t="shared" si="458"/>
        <v/>
      </c>
      <c r="EE354" s="66" t="str">
        <f t="shared" si="459"/>
        <v/>
      </c>
      <c r="EF354" s="47" t="s">
        <v>0</v>
      </c>
      <c r="EG354" s="58" t="str">
        <f>IF(AL354="","",MAX(EG$12:EG353)+1)</f>
        <v/>
      </c>
      <c r="EH354" s="73" t="str">
        <f t="shared" si="460"/>
        <v/>
      </c>
      <c r="EI354" s="73" t="str">
        <f t="shared" si="498"/>
        <v/>
      </c>
      <c r="EJ354" s="73" t="str">
        <f t="shared" si="461"/>
        <v/>
      </c>
      <c r="EK354" s="73" t="str">
        <f t="shared" si="462"/>
        <v/>
      </c>
      <c r="EL354" s="73" t="str">
        <f t="shared" si="499"/>
        <v/>
      </c>
      <c r="EM354" s="73" t="str">
        <f t="shared" si="500"/>
        <v/>
      </c>
      <c r="EN354" s="73" t="str">
        <f t="shared" si="463"/>
        <v/>
      </c>
      <c r="EO354" s="73" t="str">
        <f t="shared" si="464"/>
        <v/>
      </c>
      <c r="EP354" s="73" t="str">
        <f t="shared" si="465"/>
        <v/>
      </c>
      <c r="EQ354" s="53" t="str">
        <f t="shared" si="466"/>
        <v/>
      </c>
      <c r="ER354" s="47" t="s">
        <v>0</v>
      </c>
      <c r="ES354" s="19" t="str">
        <f t="shared" si="501"/>
        <v/>
      </c>
      <c r="ET354" s="47" t="s">
        <v>0</v>
      </c>
      <c r="EU354" s="19" t="str">
        <f t="shared" si="502"/>
        <v/>
      </c>
      <c r="EV354" s="47" t="s">
        <v>0</v>
      </c>
      <c r="EW354" s="180" t="str">
        <f t="shared" si="467"/>
        <v/>
      </c>
      <c r="EX354" s="47" t="s">
        <v>0</v>
      </c>
    </row>
    <row r="355" spans="1:154" x14ac:dyDescent="0.25">
      <c r="A355" t="s">
        <v>0</v>
      </c>
      <c r="B355" s="52" t="str">
        <f>IF(csv!F345="","",csv!T345)</f>
        <v/>
      </c>
      <c r="C355" s="31" t="s">
        <v>0</v>
      </c>
      <c r="D355" s="31" t="str">
        <f>IF(csv!F345="","",csv!F345)</f>
        <v/>
      </c>
      <c r="E355" s="31" t="str">
        <f>IF(csv!E345="","",csv!E345)</f>
        <v/>
      </c>
      <c r="F355" s="31" t="s">
        <v>0</v>
      </c>
      <c r="G355" s="73" t="str">
        <f>IF(csv!M345="","",csv!M345)</f>
        <v/>
      </c>
      <c r="H355" s="73" t="str">
        <f>IF(csv!N345="","",csv!N345)</f>
        <v/>
      </c>
      <c r="I355" s="31" t="s">
        <v>0</v>
      </c>
      <c r="J355" s="31" t="str">
        <f>IF(csv!P345="","",csv!P345)</f>
        <v/>
      </c>
      <c r="K355" s="31" t="str">
        <f>IF(csv!Q345="","",csv!Q345)</f>
        <v/>
      </c>
      <c r="L355" s="31" t="s">
        <v>0</v>
      </c>
      <c r="M355" s="66" t="str">
        <f>IF(csv!R345="","",csv!R345)</f>
        <v/>
      </c>
      <c r="N355" s="47" t="s">
        <v>0</v>
      </c>
      <c r="O355" s="246" t="str">
        <f t="shared" si="468"/>
        <v/>
      </c>
      <c r="P355" s="47"/>
      <c r="Q355" s="52" t="str">
        <f t="shared" si="469"/>
        <v/>
      </c>
      <c r="R355" s="73" t="str">
        <f>IF(Q355="","",IF(COUNTIF(Q$12:Q354,Q355)=0,R354+1,R354))</f>
        <v/>
      </c>
      <c r="S355" s="73" t="str">
        <f t="shared" si="470"/>
        <v/>
      </c>
      <c r="T355" s="73" t="str">
        <f t="shared" si="434"/>
        <v/>
      </c>
      <c r="U355" s="66" t="str">
        <f t="shared" si="435"/>
        <v/>
      </c>
      <c r="V355" s="47" t="s">
        <v>0</v>
      </c>
      <c r="W355" s="222" t="str">
        <f t="shared" si="436"/>
        <v/>
      </c>
      <c r="X355" s="223" t="str">
        <f t="shared" si="437"/>
        <v/>
      </c>
      <c r="Y355" s="47" t="s">
        <v>0</v>
      </c>
      <c r="Z355" s="52" t="str">
        <f t="shared" si="471"/>
        <v/>
      </c>
      <c r="AA355" s="73" t="str">
        <f t="shared" si="438"/>
        <v/>
      </c>
      <c r="AB355" s="31" t="str">
        <f t="shared" si="472"/>
        <v/>
      </c>
      <c r="AC355" s="66" t="str">
        <f>IF(AB355="","",MAX(AC$12:AC354)+1)</f>
        <v/>
      </c>
      <c r="AD355" s="47" t="s">
        <v>0</v>
      </c>
      <c r="AE355" s="125"/>
      <c r="AF355" s="47" t="s">
        <v>0</v>
      </c>
      <c r="AG355" s="19" t="str">
        <f t="shared" si="473"/>
        <v/>
      </c>
      <c r="AH355" s="47" t="s">
        <v>0</v>
      </c>
      <c r="AI355" s="143" t="str">
        <f t="shared" si="474"/>
        <v/>
      </c>
      <c r="AJ355" s="47"/>
      <c r="AK355" s="52" t="str">
        <f t="shared" si="475"/>
        <v/>
      </c>
      <c r="AL355" s="31" t="str">
        <f t="shared" si="476"/>
        <v/>
      </c>
      <c r="AM355" s="73" t="str">
        <f t="shared" si="477"/>
        <v/>
      </c>
      <c r="AN355" s="73" t="str">
        <f t="shared" si="478"/>
        <v/>
      </c>
      <c r="AO355" s="31" t="str">
        <f t="shared" si="439"/>
        <v/>
      </c>
      <c r="AP355" s="66" t="str">
        <f t="shared" si="440"/>
        <v/>
      </c>
      <c r="AQ355" s="47" t="s">
        <v>0</v>
      </c>
      <c r="AR355" s="82" t="str">
        <f t="shared" si="479"/>
        <v/>
      </c>
      <c r="AS355" s="47" t="s">
        <v>0</v>
      </c>
      <c r="AT355" s="19" t="str">
        <f t="shared" si="480"/>
        <v/>
      </c>
      <c r="AU355" s="47" t="s">
        <v>0</v>
      </c>
      <c r="AV355" s="103"/>
      <c r="AW355" s="105"/>
      <c r="AX355" s="47" t="s">
        <v>0</v>
      </c>
      <c r="AY355" s="259" t="str">
        <f t="shared" si="503"/>
        <v/>
      </c>
      <c r="AZ355" s="47" t="s">
        <v>0</v>
      </c>
      <c r="BA355" s="52" t="str">
        <f t="shared" si="433"/>
        <v/>
      </c>
      <c r="BB355" s="73" t="str">
        <f>IF(AV355&amp;AW355="","",MAX(BB$12:BB354)+1)</f>
        <v/>
      </c>
      <c r="BC355" s="272" t="str">
        <f t="shared" si="441"/>
        <v/>
      </c>
      <c r="BD355" s="53" t="str">
        <f>IF(AND(AM355="NEMA",AN355="NEMA",OR(AV355&amp;AW355="",BC355="NEMA")),MAX(BD$12:BD354)+1,"")</f>
        <v/>
      </c>
      <c r="BE355" s="47" t="s">
        <v>0</v>
      </c>
      <c r="BF355" s="52" t="str">
        <f t="shared" si="481"/>
        <v/>
      </c>
      <c r="BG355" s="66" t="str">
        <f t="shared" si="482"/>
        <v/>
      </c>
      <c r="BH355" s="47" t="s">
        <v>0</v>
      </c>
      <c r="BI355" s="52" t="str">
        <f t="shared" si="442"/>
        <v/>
      </c>
      <c r="BJ355" s="31" t="str">
        <f t="shared" si="443"/>
        <v/>
      </c>
      <c r="BK355" s="73" t="str">
        <f t="shared" si="444"/>
        <v/>
      </c>
      <c r="BL355" s="31" t="str" cm="1">
        <f t="array" ref="BL355">IF(BK355="",""&amp;BJ355,IF(BK355="NEMA",BJ355,INDEX(regKlub_naziv,MATCH(INDEX(regKlub_alias_klubId,BK355),regKlub_id,0))))</f>
        <v/>
      </c>
      <c r="BM355" s="31" t="str" cm="1">
        <f t="array" ref="BM355">IFERROR(""&amp;INDEX(regNatjecatelj_klub,DV355),"")</f>
        <v/>
      </c>
      <c r="BN355" s="88" t="str">
        <f t="shared" si="483"/>
        <v/>
      </c>
      <c r="BO355" s="66" t="str">
        <f t="shared" si="484"/>
        <v/>
      </c>
      <c r="BP355" s="47" t="s">
        <v>0</v>
      </c>
      <c r="BQ355" s="52" t="str">
        <f>IF(X355&lt;&gt;"NEMA","",IF(IFERROR(MATCH(W355,W$12:W354,0),0)&lt;&gt;0,"",W355))</f>
        <v/>
      </c>
      <c r="BR355" s="73" t="str">
        <f t="shared" si="485"/>
        <v/>
      </c>
      <c r="BS355" s="31" t="str">
        <f>IF(OR(BR355="",BR355&lt;&gt;"NEMA"),"",MAX(BS$12:BS354)+1)</f>
        <v/>
      </c>
      <c r="BT355" s="66" t="str">
        <f t="shared" si="486"/>
        <v/>
      </c>
      <c r="BU355" s="47" t="s">
        <v>0</v>
      </c>
      <c r="BV355" s="19" t="str">
        <f t="shared" si="487"/>
        <v/>
      </c>
      <c r="BW355" s="47" t="s">
        <v>0</v>
      </c>
      <c r="BX355" s="82" t="str">
        <f>IF(BK355&lt;&gt;"NEMA","",IF(IFERROR(MATCH(BJ355,BJ$12:BJ354,0),0)&lt;&gt;0,"",BJ355))</f>
        <v/>
      </c>
      <c r="BY355" s="47" t="s">
        <v>0</v>
      </c>
      <c r="BZ355" s="125"/>
      <c r="CA355" s="47" t="s">
        <v>0</v>
      </c>
      <c r="CB355" s="58" t="str">
        <f t="shared" si="488"/>
        <v/>
      </c>
      <c r="CC355" s="31" t="str">
        <f t="shared" si="489"/>
        <v/>
      </c>
      <c r="CD355" s="31" t="str">
        <f>IF(CC355="","",MAX(CD$12:CD354)+1)</f>
        <v/>
      </c>
      <c r="CE355" s="31" t="str">
        <f t="shared" si="445"/>
        <v/>
      </c>
      <c r="CF355" s="31" t="str">
        <f t="shared" si="490"/>
        <v/>
      </c>
      <c r="CG355" s="31" t="str">
        <f>IF(BZ355="","",MAX(CG$12:CG354)+1)</f>
        <v/>
      </c>
      <c r="CH355" s="31" t="str">
        <f t="shared" si="491"/>
        <v/>
      </c>
      <c r="CI355" s="66" t="str">
        <f t="shared" si="492"/>
        <v/>
      </c>
      <c r="CJ355" s="47" t="s">
        <v>0</v>
      </c>
      <c r="CK355" s="73" t="str">
        <f t="shared" si="446"/>
        <v/>
      </c>
      <c r="CL355" s="47"/>
      <c r="CM355" s="19" t="str">
        <f t="shared" si="493"/>
        <v/>
      </c>
      <c r="CN355" s="47" t="s">
        <v>0</v>
      </c>
      <c r="CO355" s="143" t="str">
        <f t="shared" si="494"/>
        <v/>
      </c>
      <c r="CP355" s="47" t="s">
        <v>0</v>
      </c>
      <c r="CQ355" s="58" t="str">
        <f t="shared" si="430"/>
        <v/>
      </c>
      <c r="CR355" s="73" t="str">
        <f t="shared" si="431"/>
        <v/>
      </c>
      <c r="CS355" s="229" t="str">
        <f t="shared" si="447"/>
        <v/>
      </c>
      <c r="CT355" s="230" t="str">
        <f t="shared" si="432"/>
        <v/>
      </c>
      <c r="CU355" s="163" t="str">
        <f t="shared" si="448"/>
        <v/>
      </c>
      <c r="CV355" s="47" t="s">
        <v>0</v>
      </c>
      <c r="CW355" s="222" t="str">
        <f t="shared" si="495"/>
        <v xml:space="preserve">
</v>
      </c>
      <c r="CX355" s="223" t="str">
        <f t="shared" si="496"/>
        <v/>
      </c>
      <c r="CY355" s="47" t="s">
        <v>0</v>
      </c>
      <c r="CZ355" s="47"/>
      <c r="DA355" s="47"/>
      <c r="DB355" s="47"/>
      <c r="DC355" s="47" t="s">
        <v>0</v>
      </c>
      <c r="DD355" s="53" t="str">
        <f t="shared" si="504"/>
        <v/>
      </c>
      <c r="DE355" t="s">
        <v>0</v>
      </c>
      <c r="DF355" s="128" t="str">
        <f t="shared" si="505"/>
        <v/>
      </c>
      <c r="DG355" t="s">
        <v>0</v>
      </c>
      <c r="DH355" s="52" t="str">
        <f t="shared" si="506"/>
        <v/>
      </c>
      <c r="DI355" s="66" t="str">
        <f t="shared" si="507"/>
        <v/>
      </c>
      <c r="DJ355" t="s">
        <v>0</v>
      </c>
      <c r="DK355" s="19" t="str">
        <f t="shared" si="508"/>
        <v/>
      </c>
      <c r="DL355" s="47" t="s">
        <v>0</v>
      </c>
      <c r="DM355" s="19" t="str">
        <f t="shared" si="509"/>
        <v/>
      </c>
      <c r="DN355" s="47" t="s">
        <v>0</v>
      </c>
      <c r="DO355" s="52" t="str">
        <f t="shared" si="449"/>
        <v/>
      </c>
      <c r="DP355" s="53" t="str">
        <f t="shared" si="450"/>
        <v/>
      </c>
      <c r="DQ355" s="47" t="s">
        <v>0</v>
      </c>
      <c r="DR355" s="52" t="str">
        <f t="shared" si="451"/>
        <v/>
      </c>
      <c r="DS355" s="53" t="str">
        <f t="shared" si="452"/>
        <v/>
      </c>
      <c r="DT355" s="47" t="s">
        <v>0</v>
      </c>
      <c r="DU355" s="52" t="str">
        <f t="shared" si="453"/>
        <v/>
      </c>
      <c r="DV355" s="53" t="str">
        <f t="shared" si="454"/>
        <v/>
      </c>
      <c r="DW355" s="47" t="s">
        <v>0</v>
      </c>
      <c r="DX355" s="58" t="str">
        <f t="shared" si="497"/>
        <v/>
      </c>
      <c r="DY355" s="53" t="str" cm="1">
        <f t="array" ref="DY355">IF(DX355&lt;&gt;"",INDEX(regNatjecatelj_id,DX355,0),IF(BD355&lt;&gt;"",BD355,""))</f>
        <v/>
      </c>
      <c r="DZ355" s="47" t="s">
        <v>0</v>
      </c>
      <c r="EA355" s="58" t="str">
        <f t="shared" si="455"/>
        <v/>
      </c>
      <c r="EB355" s="73" t="str">
        <f t="shared" si="456"/>
        <v/>
      </c>
      <c r="EC355" s="73" t="str">
        <f t="shared" si="457"/>
        <v/>
      </c>
      <c r="ED355" s="73" t="str">
        <f t="shared" si="458"/>
        <v/>
      </c>
      <c r="EE355" s="66" t="str">
        <f t="shared" si="459"/>
        <v/>
      </c>
      <c r="EF355" s="47" t="s">
        <v>0</v>
      </c>
      <c r="EG355" s="58" t="str">
        <f>IF(AL355="","",MAX(EG$12:EG354)+1)</f>
        <v/>
      </c>
      <c r="EH355" s="73" t="str">
        <f t="shared" si="460"/>
        <v/>
      </c>
      <c r="EI355" s="73" t="str">
        <f t="shared" si="498"/>
        <v/>
      </c>
      <c r="EJ355" s="73" t="str">
        <f t="shared" si="461"/>
        <v/>
      </c>
      <c r="EK355" s="73" t="str">
        <f t="shared" si="462"/>
        <v/>
      </c>
      <c r="EL355" s="73" t="str">
        <f t="shared" si="499"/>
        <v/>
      </c>
      <c r="EM355" s="73" t="str">
        <f t="shared" si="500"/>
        <v/>
      </c>
      <c r="EN355" s="73" t="str">
        <f t="shared" si="463"/>
        <v/>
      </c>
      <c r="EO355" s="73" t="str">
        <f t="shared" si="464"/>
        <v/>
      </c>
      <c r="EP355" s="73" t="str">
        <f t="shared" si="465"/>
        <v/>
      </c>
      <c r="EQ355" s="53" t="str">
        <f t="shared" si="466"/>
        <v/>
      </c>
      <c r="ER355" s="47" t="s">
        <v>0</v>
      </c>
      <c r="ES355" s="19" t="str">
        <f t="shared" si="501"/>
        <v/>
      </c>
      <c r="ET355" s="47" t="s">
        <v>0</v>
      </c>
      <c r="EU355" s="19" t="str">
        <f t="shared" si="502"/>
        <v/>
      </c>
      <c r="EV355" s="47" t="s">
        <v>0</v>
      </c>
      <c r="EW355" s="180" t="str">
        <f t="shared" si="467"/>
        <v/>
      </c>
      <c r="EX355" s="47" t="s">
        <v>0</v>
      </c>
    </row>
    <row r="356" spans="1:154" x14ac:dyDescent="0.25">
      <c r="A356" t="s">
        <v>0</v>
      </c>
      <c r="B356" s="52" t="str">
        <f>IF(csv!F346="","",csv!T346)</f>
        <v/>
      </c>
      <c r="C356" s="31" t="s">
        <v>0</v>
      </c>
      <c r="D356" s="31" t="str">
        <f>IF(csv!F346="","",csv!F346)</f>
        <v/>
      </c>
      <c r="E356" s="31" t="str">
        <f>IF(csv!E346="","",csv!E346)</f>
        <v/>
      </c>
      <c r="F356" s="31" t="s">
        <v>0</v>
      </c>
      <c r="G356" s="73" t="str">
        <f>IF(csv!M346="","",csv!M346)</f>
        <v/>
      </c>
      <c r="H356" s="73" t="str">
        <f>IF(csv!N346="","",csv!N346)</f>
        <v/>
      </c>
      <c r="I356" s="31" t="s">
        <v>0</v>
      </c>
      <c r="J356" s="31" t="str">
        <f>IF(csv!P346="","",csv!P346)</f>
        <v/>
      </c>
      <c r="K356" s="31" t="str">
        <f>IF(csv!Q346="","",csv!Q346)</f>
        <v/>
      </c>
      <c r="L356" s="31" t="s">
        <v>0</v>
      </c>
      <c r="M356" s="66" t="str">
        <f>IF(csv!R346="","",csv!R346)</f>
        <v/>
      </c>
      <c r="N356" s="47" t="s">
        <v>0</v>
      </c>
      <c r="O356" s="246" t="str">
        <f t="shared" si="468"/>
        <v/>
      </c>
      <c r="P356" s="47"/>
      <c r="Q356" s="52" t="str">
        <f t="shared" si="469"/>
        <v/>
      </c>
      <c r="R356" s="73" t="str">
        <f>IF(Q356="","",IF(COUNTIF(Q$12:Q355,Q356)=0,R355+1,R355))</f>
        <v/>
      </c>
      <c r="S356" s="73" t="str">
        <f t="shared" si="470"/>
        <v/>
      </c>
      <c r="T356" s="73" t="str">
        <f t="shared" si="434"/>
        <v/>
      </c>
      <c r="U356" s="66" t="str">
        <f t="shared" si="435"/>
        <v/>
      </c>
      <c r="V356" s="47" t="s">
        <v>0</v>
      </c>
      <c r="W356" s="222" t="str">
        <f t="shared" si="436"/>
        <v/>
      </c>
      <c r="X356" s="223" t="str">
        <f t="shared" si="437"/>
        <v/>
      </c>
      <c r="Y356" s="47" t="s">
        <v>0</v>
      </c>
      <c r="Z356" s="52" t="str">
        <f t="shared" si="471"/>
        <v/>
      </c>
      <c r="AA356" s="73" t="str">
        <f t="shared" si="438"/>
        <v/>
      </c>
      <c r="AB356" s="31" t="str">
        <f t="shared" si="472"/>
        <v/>
      </c>
      <c r="AC356" s="66" t="str">
        <f>IF(AB356="","",MAX(AC$12:AC355)+1)</f>
        <v/>
      </c>
      <c r="AD356" s="47" t="s">
        <v>0</v>
      </c>
      <c r="AE356" s="125"/>
      <c r="AF356" s="47" t="s">
        <v>0</v>
      </c>
      <c r="AG356" s="19" t="str">
        <f t="shared" si="473"/>
        <v/>
      </c>
      <c r="AH356" s="47" t="s">
        <v>0</v>
      </c>
      <c r="AI356" s="143" t="str">
        <f t="shared" si="474"/>
        <v/>
      </c>
      <c r="AJ356" s="47"/>
      <c r="AK356" s="52" t="str">
        <f t="shared" si="475"/>
        <v/>
      </c>
      <c r="AL356" s="31" t="str">
        <f t="shared" si="476"/>
        <v/>
      </c>
      <c r="AM356" s="73" t="str">
        <f t="shared" si="477"/>
        <v/>
      </c>
      <c r="AN356" s="73" t="str">
        <f t="shared" si="478"/>
        <v/>
      </c>
      <c r="AO356" s="31" t="str">
        <f t="shared" si="439"/>
        <v/>
      </c>
      <c r="AP356" s="66" t="str">
        <f t="shared" si="440"/>
        <v/>
      </c>
      <c r="AQ356" s="47" t="s">
        <v>0</v>
      </c>
      <c r="AR356" s="82" t="str">
        <f t="shared" si="479"/>
        <v/>
      </c>
      <c r="AS356" s="47" t="s">
        <v>0</v>
      </c>
      <c r="AT356" s="19" t="str">
        <f t="shared" si="480"/>
        <v/>
      </c>
      <c r="AU356" s="47" t="s">
        <v>0</v>
      </c>
      <c r="AV356" s="103"/>
      <c r="AW356" s="105"/>
      <c r="AX356" s="47" t="s">
        <v>0</v>
      </c>
      <c r="AY356" s="259" t="str">
        <f t="shared" si="503"/>
        <v/>
      </c>
      <c r="AZ356" s="47" t="s">
        <v>0</v>
      </c>
      <c r="BA356" s="52" t="str">
        <f t="shared" si="433"/>
        <v/>
      </c>
      <c r="BB356" s="73" t="str">
        <f>IF(AV356&amp;AW356="","",MAX(BB$12:BB355)+1)</f>
        <v/>
      </c>
      <c r="BC356" s="272" t="str">
        <f t="shared" si="441"/>
        <v/>
      </c>
      <c r="BD356" s="53" t="str">
        <f>IF(AND(AM356="NEMA",AN356="NEMA",OR(AV356&amp;AW356="",BC356="NEMA")),MAX(BD$12:BD355)+1,"")</f>
        <v/>
      </c>
      <c r="BE356" s="47" t="s">
        <v>0</v>
      </c>
      <c r="BF356" s="52" t="str">
        <f t="shared" si="481"/>
        <v/>
      </c>
      <c r="BG356" s="66" t="str">
        <f t="shared" si="482"/>
        <v/>
      </c>
      <c r="BH356" s="47" t="s">
        <v>0</v>
      </c>
      <c r="BI356" s="52" t="str">
        <f t="shared" si="442"/>
        <v/>
      </c>
      <c r="BJ356" s="31" t="str">
        <f t="shared" si="443"/>
        <v/>
      </c>
      <c r="BK356" s="73" t="str">
        <f t="shared" si="444"/>
        <v/>
      </c>
      <c r="BL356" s="31" t="str" cm="1">
        <f t="array" ref="BL356">IF(BK356="",""&amp;BJ356,IF(BK356="NEMA",BJ356,INDEX(regKlub_naziv,MATCH(INDEX(regKlub_alias_klubId,BK356),regKlub_id,0))))</f>
        <v/>
      </c>
      <c r="BM356" s="31" t="str" cm="1">
        <f t="array" ref="BM356">IFERROR(""&amp;INDEX(regNatjecatelj_klub,DV356),"")</f>
        <v/>
      </c>
      <c r="BN356" s="88" t="str">
        <f t="shared" si="483"/>
        <v/>
      </c>
      <c r="BO356" s="66" t="str">
        <f t="shared" si="484"/>
        <v/>
      </c>
      <c r="BP356" s="47" t="s">
        <v>0</v>
      </c>
      <c r="BQ356" s="52" t="str">
        <f>IF(X356&lt;&gt;"NEMA","",IF(IFERROR(MATCH(W356,W$12:W355,0),0)&lt;&gt;0,"",W356))</f>
        <v/>
      </c>
      <c r="BR356" s="73" t="str">
        <f t="shared" si="485"/>
        <v/>
      </c>
      <c r="BS356" s="31" t="str">
        <f>IF(OR(BR356="",BR356&lt;&gt;"NEMA"),"",MAX(BS$12:BS355)+1)</f>
        <v/>
      </c>
      <c r="BT356" s="66" t="str">
        <f t="shared" si="486"/>
        <v/>
      </c>
      <c r="BU356" s="47" t="s">
        <v>0</v>
      </c>
      <c r="BV356" s="19" t="str">
        <f t="shared" si="487"/>
        <v/>
      </c>
      <c r="BW356" s="47" t="s">
        <v>0</v>
      </c>
      <c r="BX356" s="82" t="str">
        <f>IF(BK356&lt;&gt;"NEMA","",IF(IFERROR(MATCH(BJ356,BJ$12:BJ355,0),0)&lt;&gt;0,"",BJ356))</f>
        <v/>
      </c>
      <c r="BY356" s="47" t="s">
        <v>0</v>
      </c>
      <c r="BZ356" s="125"/>
      <c r="CA356" s="47" t="s">
        <v>0</v>
      </c>
      <c r="CB356" s="58" t="str">
        <f t="shared" si="488"/>
        <v/>
      </c>
      <c r="CC356" s="31" t="str">
        <f t="shared" si="489"/>
        <v/>
      </c>
      <c r="CD356" s="31" t="str">
        <f>IF(CC356="","",MAX(CD$12:CD355)+1)</f>
        <v/>
      </c>
      <c r="CE356" s="31" t="str">
        <f t="shared" si="445"/>
        <v/>
      </c>
      <c r="CF356" s="31" t="str">
        <f t="shared" si="490"/>
        <v/>
      </c>
      <c r="CG356" s="31" t="str">
        <f>IF(BZ356="","",MAX(CG$12:CG355)+1)</f>
        <v/>
      </c>
      <c r="CH356" s="31" t="str">
        <f t="shared" si="491"/>
        <v/>
      </c>
      <c r="CI356" s="66" t="str">
        <f t="shared" si="492"/>
        <v/>
      </c>
      <c r="CJ356" s="47" t="s">
        <v>0</v>
      </c>
      <c r="CK356" s="73" t="str">
        <f t="shared" si="446"/>
        <v/>
      </c>
      <c r="CL356" s="47"/>
      <c r="CM356" s="19" t="str">
        <f t="shared" si="493"/>
        <v/>
      </c>
      <c r="CN356" s="47" t="s">
        <v>0</v>
      </c>
      <c r="CO356" s="143" t="str">
        <f t="shared" si="494"/>
        <v/>
      </c>
      <c r="CP356" s="47" t="s">
        <v>0</v>
      </c>
      <c r="CQ356" s="58" t="str">
        <f t="shared" si="430"/>
        <v/>
      </c>
      <c r="CR356" s="73" t="str">
        <f t="shared" si="431"/>
        <v/>
      </c>
      <c r="CS356" s="229" t="str">
        <f t="shared" si="447"/>
        <v/>
      </c>
      <c r="CT356" s="230" t="str">
        <f t="shared" si="432"/>
        <v/>
      </c>
      <c r="CU356" s="163" t="str">
        <f t="shared" si="448"/>
        <v/>
      </c>
      <c r="CV356" s="47" t="s">
        <v>0</v>
      </c>
      <c r="CW356" s="222" t="str">
        <f t="shared" si="495"/>
        <v xml:space="preserve">
</v>
      </c>
      <c r="CX356" s="223" t="str">
        <f t="shared" si="496"/>
        <v/>
      </c>
      <c r="CY356" s="47" t="s">
        <v>0</v>
      </c>
      <c r="CZ356" s="47"/>
      <c r="DA356" s="47"/>
      <c r="DB356" s="47"/>
      <c r="DC356" s="47" t="s">
        <v>0</v>
      </c>
      <c r="DD356" s="53" t="str">
        <f t="shared" si="504"/>
        <v/>
      </c>
      <c r="DE356" t="s">
        <v>0</v>
      </c>
      <c r="DF356" s="128" t="str">
        <f t="shared" si="505"/>
        <v/>
      </c>
      <c r="DG356" t="s">
        <v>0</v>
      </c>
      <c r="DH356" s="52" t="str">
        <f t="shared" si="506"/>
        <v/>
      </c>
      <c r="DI356" s="66" t="str">
        <f t="shared" si="507"/>
        <v/>
      </c>
      <c r="DJ356" t="s">
        <v>0</v>
      </c>
      <c r="DK356" s="19" t="str">
        <f t="shared" si="508"/>
        <v/>
      </c>
      <c r="DL356" s="47" t="s">
        <v>0</v>
      </c>
      <c r="DM356" s="19" t="str">
        <f t="shared" si="509"/>
        <v/>
      </c>
      <c r="DN356" s="47" t="s">
        <v>0</v>
      </c>
      <c r="DO356" s="52" t="str">
        <f t="shared" si="449"/>
        <v/>
      </c>
      <c r="DP356" s="53" t="str">
        <f t="shared" si="450"/>
        <v/>
      </c>
      <c r="DQ356" s="47" t="s">
        <v>0</v>
      </c>
      <c r="DR356" s="52" t="str">
        <f t="shared" si="451"/>
        <v/>
      </c>
      <c r="DS356" s="53" t="str">
        <f t="shared" si="452"/>
        <v/>
      </c>
      <c r="DT356" s="47" t="s">
        <v>0</v>
      </c>
      <c r="DU356" s="52" t="str">
        <f t="shared" si="453"/>
        <v/>
      </c>
      <c r="DV356" s="53" t="str">
        <f t="shared" si="454"/>
        <v/>
      </c>
      <c r="DW356" s="47" t="s">
        <v>0</v>
      </c>
      <c r="DX356" s="58" t="str">
        <f t="shared" si="497"/>
        <v/>
      </c>
      <c r="DY356" s="53" t="str" cm="1">
        <f t="array" ref="DY356">IF(DX356&lt;&gt;"",INDEX(regNatjecatelj_id,DX356,0),IF(BD356&lt;&gt;"",BD356,""))</f>
        <v/>
      </c>
      <c r="DZ356" s="47" t="s">
        <v>0</v>
      </c>
      <c r="EA356" s="58" t="str">
        <f t="shared" si="455"/>
        <v/>
      </c>
      <c r="EB356" s="73" t="str">
        <f t="shared" si="456"/>
        <v/>
      </c>
      <c r="EC356" s="73" t="str">
        <f t="shared" si="457"/>
        <v/>
      </c>
      <c r="ED356" s="73" t="str">
        <f t="shared" si="458"/>
        <v/>
      </c>
      <c r="EE356" s="66" t="str">
        <f t="shared" si="459"/>
        <v/>
      </c>
      <c r="EF356" s="47" t="s">
        <v>0</v>
      </c>
      <c r="EG356" s="58" t="str">
        <f>IF(AL356="","",MAX(EG$12:EG355)+1)</f>
        <v/>
      </c>
      <c r="EH356" s="73" t="str">
        <f t="shared" si="460"/>
        <v/>
      </c>
      <c r="EI356" s="73" t="str">
        <f t="shared" si="498"/>
        <v/>
      </c>
      <c r="EJ356" s="73" t="str">
        <f t="shared" si="461"/>
        <v/>
      </c>
      <c r="EK356" s="73" t="str">
        <f t="shared" si="462"/>
        <v/>
      </c>
      <c r="EL356" s="73" t="str">
        <f t="shared" si="499"/>
        <v/>
      </c>
      <c r="EM356" s="73" t="str">
        <f t="shared" si="500"/>
        <v/>
      </c>
      <c r="EN356" s="73" t="str">
        <f t="shared" si="463"/>
        <v/>
      </c>
      <c r="EO356" s="73" t="str">
        <f t="shared" si="464"/>
        <v/>
      </c>
      <c r="EP356" s="73" t="str">
        <f t="shared" si="465"/>
        <v/>
      </c>
      <c r="EQ356" s="53" t="str">
        <f t="shared" si="466"/>
        <v/>
      </c>
      <c r="ER356" s="47" t="s">
        <v>0</v>
      </c>
      <c r="ES356" s="19" t="str">
        <f t="shared" si="501"/>
        <v/>
      </c>
      <c r="ET356" s="47" t="s">
        <v>0</v>
      </c>
      <c r="EU356" s="19" t="str">
        <f t="shared" si="502"/>
        <v/>
      </c>
      <c r="EV356" s="47" t="s">
        <v>0</v>
      </c>
      <c r="EW356" s="180" t="str">
        <f t="shared" si="467"/>
        <v/>
      </c>
      <c r="EX356" s="47" t="s">
        <v>0</v>
      </c>
    </row>
    <row r="357" spans="1:154" x14ac:dyDescent="0.25">
      <c r="A357" t="s">
        <v>0</v>
      </c>
      <c r="B357" s="52" t="str">
        <f>IF(csv!F347="","",csv!T347)</f>
        <v/>
      </c>
      <c r="C357" s="31" t="s">
        <v>0</v>
      </c>
      <c r="D357" s="31" t="str">
        <f>IF(csv!F347="","",csv!F347)</f>
        <v/>
      </c>
      <c r="E357" s="31" t="str">
        <f>IF(csv!E347="","",csv!E347)</f>
        <v/>
      </c>
      <c r="F357" s="31" t="s">
        <v>0</v>
      </c>
      <c r="G357" s="73" t="str">
        <f>IF(csv!M347="","",csv!M347)</f>
        <v/>
      </c>
      <c r="H357" s="73" t="str">
        <f>IF(csv!N347="","",csv!N347)</f>
        <v/>
      </c>
      <c r="I357" s="31" t="s">
        <v>0</v>
      </c>
      <c r="J357" s="31" t="str">
        <f>IF(csv!P347="","",csv!P347)</f>
        <v/>
      </c>
      <c r="K357" s="31" t="str">
        <f>IF(csv!Q347="","",csv!Q347)</f>
        <v/>
      </c>
      <c r="L357" s="31" t="s">
        <v>0</v>
      </c>
      <c r="M357" s="66" t="str">
        <f>IF(csv!R347="","",csv!R347)</f>
        <v/>
      </c>
      <c r="N357" s="47" t="s">
        <v>0</v>
      </c>
      <c r="O357" s="246" t="str">
        <f t="shared" si="468"/>
        <v/>
      </c>
      <c r="P357" s="47"/>
      <c r="Q357" s="52" t="str">
        <f t="shared" si="469"/>
        <v/>
      </c>
      <c r="R357" s="73" t="str">
        <f>IF(Q357="","",IF(COUNTIF(Q$12:Q356,Q357)=0,R356+1,R356))</f>
        <v/>
      </c>
      <c r="S357" s="73" t="str">
        <f t="shared" si="470"/>
        <v/>
      </c>
      <c r="T357" s="73" t="str">
        <f t="shared" si="434"/>
        <v/>
      </c>
      <c r="U357" s="66" t="str">
        <f t="shared" si="435"/>
        <v/>
      </c>
      <c r="V357" s="47" t="s">
        <v>0</v>
      </c>
      <c r="W357" s="222" t="str">
        <f t="shared" si="436"/>
        <v/>
      </c>
      <c r="X357" s="223" t="str">
        <f t="shared" si="437"/>
        <v/>
      </c>
      <c r="Y357" s="47" t="s">
        <v>0</v>
      </c>
      <c r="Z357" s="52" t="str">
        <f t="shared" si="471"/>
        <v/>
      </c>
      <c r="AA357" s="73" t="str">
        <f t="shared" si="438"/>
        <v/>
      </c>
      <c r="AB357" s="31" t="str">
        <f t="shared" si="472"/>
        <v/>
      </c>
      <c r="AC357" s="66" t="str">
        <f>IF(AB357="","",MAX(AC$12:AC356)+1)</f>
        <v/>
      </c>
      <c r="AD357" s="47" t="s">
        <v>0</v>
      </c>
      <c r="AE357" s="125"/>
      <c r="AF357" s="47" t="s">
        <v>0</v>
      </c>
      <c r="AG357" s="19" t="str">
        <f t="shared" si="473"/>
        <v/>
      </c>
      <c r="AH357" s="47" t="s">
        <v>0</v>
      </c>
      <c r="AI357" s="143" t="str">
        <f t="shared" si="474"/>
        <v/>
      </c>
      <c r="AJ357" s="47"/>
      <c r="AK357" s="52" t="str">
        <f t="shared" si="475"/>
        <v/>
      </c>
      <c r="AL357" s="31" t="str">
        <f t="shared" si="476"/>
        <v/>
      </c>
      <c r="AM357" s="73" t="str">
        <f t="shared" si="477"/>
        <v/>
      </c>
      <c r="AN357" s="73" t="str">
        <f t="shared" si="478"/>
        <v/>
      </c>
      <c r="AO357" s="31" t="str">
        <f t="shared" si="439"/>
        <v/>
      </c>
      <c r="AP357" s="66" t="str">
        <f t="shared" si="440"/>
        <v/>
      </c>
      <c r="AQ357" s="47" t="s">
        <v>0</v>
      </c>
      <c r="AR357" s="82" t="str">
        <f t="shared" si="479"/>
        <v/>
      </c>
      <c r="AS357" s="47" t="s">
        <v>0</v>
      </c>
      <c r="AT357" s="19" t="str">
        <f t="shared" si="480"/>
        <v/>
      </c>
      <c r="AU357" s="47" t="s">
        <v>0</v>
      </c>
      <c r="AV357" s="103"/>
      <c r="AW357" s="105"/>
      <c r="AX357" s="47" t="s">
        <v>0</v>
      </c>
      <c r="AY357" s="259" t="str">
        <f t="shared" si="503"/>
        <v/>
      </c>
      <c r="AZ357" s="47" t="s">
        <v>0</v>
      </c>
      <c r="BA357" s="52" t="str">
        <f t="shared" si="433"/>
        <v/>
      </c>
      <c r="BB357" s="73" t="str">
        <f>IF(AV357&amp;AW357="","",MAX(BB$12:BB356)+1)</f>
        <v/>
      </c>
      <c r="BC357" s="272" t="str">
        <f t="shared" si="441"/>
        <v/>
      </c>
      <c r="BD357" s="53" t="str">
        <f>IF(AND(AM357="NEMA",AN357="NEMA",OR(AV357&amp;AW357="",BC357="NEMA")),MAX(BD$12:BD356)+1,"")</f>
        <v/>
      </c>
      <c r="BE357" s="47" t="s">
        <v>0</v>
      </c>
      <c r="BF357" s="52" t="str">
        <f t="shared" si="481"/>
        <v/>
      </c>
      <c r="BG357" s="66" t="str">
        <f t="shared" si="482"/>
        <v/>
      </c>
      <c r="BH357" s="47" t="s">
        <v>0</v>
      </c>
      <c r="BI357" s="52" t="str">
        <f t="shared" si="442"/>
        <v/>
      </c>
      <c r="BJ357" s="31" t="str">
        <f t="shared" si="443"/>
        <v/>
      </c>
      <c r="BK357" s="73" t="str">
        <f t="shared" si="444"/>
        <v/>
      </c>
      <c r="BL357" s="31" t="str" cm="1">
        <f t="array" ref="BL357">IF(BK357="",""&amp;BJ357,IF(BK357="NEMA",BJ357,INDEX(regKlub_naziv,MATCH(INDEX(regKlub_alias_klubId,BK357),regKlub_id,0))))</f>
        <v/>
      </c>
      <c r="BM357" s="31" t="str" cm="1">
        <f t="array" ref="BM357">IFERROR(""&amp;INDEX(regNatjecatelj_klub,DV357),"")</f>
        <v/>
      </c>
      <c r="BN357" s="88" t="str">
        <f t="shared" si="483"/>
        <v/>
      </c>
      <c r="BO357" s="66" t="str">
        <f t="shared" si="484"/>
        <v/>
      </c>
      <c r="BP357" s="47" t="s">
        <v>0</v>
      </c>
      <c r="BQ357" s="52" t="str">
        <f>IF(X357&lt;&gt;"NEMA","",IF(IFERROR(MATCH(W357,W$12:W356,0),0)&lt;&gt;0,"",W357))</f>
        <v/>
      </c>
      <c r="BR357" s="73" t="str">
        <f t="shared" si="485"/>
        <v/>
      </c>
      <c r="BS357" s="31" t="str">
        <f>IF(OR(BR357="",BR357&lt;&gt;"NEMA"),"",MAX(BS$12:BS356)+1)</f>
        <v/>
      </c>
      <c r="BT357" s="66" t="str">
        <f t="shared" si="486"/>
        <v/>
      </c>
      <c r="BU357" s="47" t="s">
        <v>0</v>
      </c>
      <c r="BV357" s="19" t="str">
        <f t="shared" si="487"/>
        <v/>
      </c>
      <c r="BW357" s="47" t="s">
        <v>0</v>
      </c>
      <c r="BX357" s="82" t="str">
        <f>IF(BK357&lt;&gt;"NEMA","",IF(IFERROR(MATCH(BJ357,BJ$12:BJ356,0),0)&lt;&gt;0,"",BJ357))</f>
        <v/>
      </c>
      <c r="BY357" s="47" t="s">
        <v>0</v>
      </c>
      <c r="BZ357" s="125"/>
      <c r="CA357" s="47" t="s">
        <v>0</v>
      </c>
      <c r="CB357" s="58" t="str">
        <f t="shared" si="488"/>
        <v/>
      </c>
      <c r="CC357" s="31" t="str">
        <f t="shared" si="489"/>
        <v/>
      </c>
      <c r="CD357" s="31" t="str">
        <f>IF(CC357="","",MAX(CD$12:CD356)+1)</f>
        <v/>
      </c>
      <c r="CE357" s="31" t="str">
        <f t="shared" si="445"/>
        <v/>
      </c>
      <c r="CF357" s="31" t="str">
        <f t="shared" si="490"/>
        <v/>
      </c>
      <c r="CG357" s="31" t="str">
        <f>IF(BZ357="","",MAX(CG$12:CG356)+1)</f>
        <v/>
      </c>
      <c r="CH357" s="31" t="str">
        <f t="shared" si="491"/>
        <v/>
      </c>
      <c r="CI357" s="66" t="str">
        <f t="shared" si="492"/>
        <v/>
      </c>
      <c r="CJ357" s="47" t="s">
        <v>0</v>
      </c>
      <c r="CK357" s="73" t="str">
        <f t="shared" si="446"/>
        <v/>
      </c>
      <c r="CL357" s="47"/>
      <c r="CM357" s="19" t="str">
        <f t="shared" si="493"/>
        <v/>
      </c>
      <c r="CN357" s="47" t="s">
        <v>0</v>
      </c>
      <c r="CO357" s="143" t="str">
        <f t="shared" si="494"/>
        <v/>
      </c>
      <c r="CP357" s="47" t="s">
        <v>0</v>
      </c>
      <c r="CQ357" s="58" t="str">
        <f t="shared" si="430"/>
        <v/>
      </c>
      <c r="CR357" s="73" t="str">
        <f t="shared" si="431"/>
        <v/>
      </c>
      <c r="CS357" s="229" t="str">
        <f t="shared" si="447"/>
        <v/>
      </c>
      <c r="CT357" s="230" t="str">
        <f t="shared" si="432"/>
        <v/>
      </c>
      <c r="CU357" s="163" t="str">
        <f t="shared" si="448"/>
        <v/>
      </c>
      <c r="CV357" s="47" t="s">
        <v>0</v>
      </c>
      <c r="CW357" s="222" t="str">
        <f t="shared" si="495"/>
        <v xml:space="preserve">
</v>
      </c>
      <c r="CX357" s="223" t="str">
        <f t="shared" si="496"/>
        <v/>
      </c>
      <c r="CY357" s="47" t="s">
        <v>0</v>
      </c>
      <c r="CZ357" s="47"/>
      <c r="DA357" s="47"/>
      <c r="DB357" s="47"/>
      <c r="DC357" s="47" t="s">
        <v>0</v>
      </c>
      <c r="DD357" s="53" t="str">
        <f t="shared" si="504"/>
        <v/>
      </c>
      <c r="DE357" t="s">
        <v>0</v>
      </c>
      <c r="DF357" s="128" t="str">
        <f t="shared" si="505"/>
        <v/>
      </c>
      <c r="DG357" t="s">
        <v>0</v>
      </c>
      <c r="DH357" s="52" t="str">
        <f t="shared" si="506"/>
        <v/>
      </c>
      <c r="DI357" s="66" t="str">
        <f t="shared" si="507"/>
        <v/>
      </c>
      <c r="DJ357" t="s">
        <v>0</v>
      </c>
      <c r="DK357" s="19" t="str">
        <f t="shared" si="508"/>
        <v/>
      </c>
      <c r="DL357" s="47" t="s">
        <v>0</v>
      </c>
      <c r="DM357" s="19" t="str">
        <f t="shared" si="509"/>
        <v/>
      </c>
      <c r="DN357" s="47" t="s">
        <v>0</v>
      </c>
      <c r="DO357" s="52" t="str">
        <f t="shared" si="449"/>
        <v/>
      </c>
      <c r="DP357" s="53" t="str">
        <f t="shared" si="450"/>
        <v/>
      </c>
      <c r="DQ357" s="47" t="s">
        <v>0</v>
      </c>
      <c r="DR357" s="52" t="str">
        <f t="shared" si="451"/>
        <v/>
      </c>
      <c r="DS357" s="53" t="str">
        <f t="shared" si="452"/>
        <v/>
      </c>
      <c r="DT357" s="47" t="s">
        <v>0</v>
      </c>
      <c r="DU357" s="52" t="str">
        <f t="shared" si="453"/>
        <v/>
      </c>
      <c r="DV357" s="53" t="str">
        <f t="shared" si="454"/>
        <v/>
      </c>
      <c r="DW357" s="47" t="s">
        <v>0</v>
      </c>
      <c r="DX357" s="58" t="str">
        <f t="shared" si="497"/>
        <v/>
      </c>
      <c r="DY357" s="53" t="str" cm="1">
        <f t="array" ref="DY357">IF(DX357&lt;&gt;"",INDEX(regNatjecatelj_id,DX357,0),IF(BD357&lt;&gt;"",BD357,""))</f>
        <v/>
      </c>
      <c r="DZ357" s="47" t="s">
        <v>0</v>
      </c>
      <c r="EA357" s="58" t="str">
        <f t="shared" si="455"/>
        <v/>
      </c>
      <c r="EB357" s="73" t="str">
        <f t="shared" si="456"/>
        <v/>
      </c>
      <c r="EC357" s="73" t="str">
        <f t="shared" si="457"/>
        <v/>
      </c>
      <c r="ED357" s="73" t="str">
        <f t="shared" si="458"/>
        <v/>
      </c>
      <c r="EE357" s="66" t="str">
        <f t="shared" si="459"/>
        <v/>
      </c>
      <c r="EF357" s="47" t="s">
        <v>0</v>
      </c>
      <c r="EG357" s="58" t="str">
        <f>IF(AL357="","",MAX(EG$12:EG356)+1)</f>
        <v/>
      </c>
      <c r="EH357" s="73" t="str">
        <f t="shared" si="460"/>
        <v/>
      </c>
      <c r="EI357" s="73" t="str">
        <f t="shared" si="498"/>
        <v/>
      </c>
      <c r="EJ357" s="73" t="str">
        <f t="shared" si="461"/>
        <v/>
      </c>
      <c r="EK357" s="73" t="str">
        <f t="shared" si="462"/>
        <v/>
      </c>
      <c r="EL357" s="73" t="str">
        <f t="shared" si="499"/>
        <v/>
      </c>
      <c r="EM357" s="73" t="str">
        <f t="shared" si="500"/>
        <v/>
      </c>
      <c r="EN357" s="73" t="str">
        <f t="shared" si="463"/>
        <v/>
      </c>
      <c r="EO357" s="73" t="str">
        <f t="shared" si="464"/>
        <v/>
      </c>
      <c r="EP357" s="73" t="str">
        <f t="shared" si="465"/>
        <v/>
      </c>
      <c r="EQ357" s="53" t="str">
        <f t="shared" si="466"/>
        <v/>
      </c>
      <c r="ER357" s="47" t="s">
        <v>0</v>
      </c>
      <c r="ES357" s="19" t="str">
        <f t="shared" si="501"/>
        <v/>
      </c>
      <c r="ET357" s="47" t="s">
        <v>0</v>
      </c>
      <c r="EU357" s="19" t="str">
        <f t="shared" si="502"/>
        <v/>
      </c>
      <c r="EV357" s="47" t="s">
        <v>0</v>
      </c>
      <c r="EW357" s="180" t="str">
        <f t="shared" si="467"/>
        <v/>
      </c>
      <c r="EX357" s="47" t="s">
        <v>0</v>
      </c>
    </row>
    <row r="358" spans="1:154" x14ac:dyDescent="0.25">
      <c r="A358" t="s">
        <v>0</v>
      </c>
      <c r="B358" s="52" t="str">
        <f>IF(csv!F348="","",csv!T348)</f>
        <v/>
      </c>
      <c r="C358" s="31" t="s">
        <v>0</v>
      </c>
      <c r="D358" s="31" t="str">
        <f>IF(csv!F348="","",csv!F348)</f>
        <v/>
      </c>
      <c r="E358" s="31" t="str">
        <f>IF(csv!E348="","",csv!E348)</f>
        <v/>
      </c>
      <c r="F358" s="31" t="s">
        <v>0</v>
      </c>
      <c r="G358" s="73" t="str">
        <f>IF(csv!M348="","",csv!M348)</f>
        <v/>
      </c>
      <c r="H358" s="73" t="str">
        <f>IF(csv!N348="","",csv!N348)</f>
        <v/>
      </c>
      <c r="I358" s="31" t="s">
        <v>0</v>
      </c>
      <c r="J358" s="31" t="str">
        <f>IF(csv!P348="","",csv!P348)</f>
        <v/>
      </c>
      <c r="K358" s="31" t="str">
        <f>IF(csv!Q348="","",csv!Q348)</f>
        <v/>
      </c>
      <c r="L358" s="31" t="s">
        <v>0</v>
      </c>
      <c r="M358" s="66" t="str">
        <f>IF(csv!R348="","",csv!R348)</f>
        <v/>
      </c>
      <c r="N358" s="47" t="s">
        <v>0</v>
      </c>
      <c r="O358" s="246" t="str">
        <f t="shared" si="468"/>
        <v/>
      </c>
      <c r="P358" s="47"/>
      <c r="Q358" s="52" t="str">
        <f t="shared" si="469"/>
        <v/>
      </c>
      <c r="R358" s="73" t="str">
        <f>IF(Q358="","",IF(COUNTIF(Q$12:Q357,Q358)=0,R357+1,R357))</f>
        <v/>
      </c>
      <c r="S358" s="73" t="str">
        <f t="shared" si="470"/>
        <v/>
      </c>
      <c r="T358" s="73" t="str">
        <f t="shared" si="434"/>
        <v/>
      </c>
      <c r="U358" s="66" t="str">
        <f t="shared" si="435"/>
        <v/>
      </c>
      <c r="V358" s="47" t="s">
        <v>0</v>
      </c>
      <c r="W358" s="222" t="str">
        <f t="shared" si="436"/>
        <v/>
      </c>
      <c r="X358" s="223" t="str">
        <f t="shared" si="437"/>
        <v/>
      </c>
      <c r="Y358" s="47" t="s">
        <v>0</v>
      </c>
      <c r="Z358" s="52" t="str">
        <f t="shared" si="471"/>
        <v/>
      </c>
      <c r="AA358" s="73" t="str">
        <f t="shared" si="438"/>
        <v/>
      </c>
      <c r="AB358" s="31" t="str">
        <f t="shared" si="472"/>
        <v/>
      </c>
      <c r="AC358" s="66" t="str">
        <f>IF(AB358="","",MAX(AC$12:AC357)+1)</f>
        <v/>
      </c>
      <c r="AD358" s="47" t="s">
        <v>0</v>
      </c>
      <c r="AE358" s="125"/>
      <c r="AF358" s="47" t="s">
        <v>0</v>
      </c>
      <c r="AG358" s="19" t="str">
        <f t="shared" si="473"/>
        <v/>
      </c>
      <c r="AH358" s="47" t="s">
        <v>0</v>
      </c>
      <c r="AI358" s="143" t="str">
        <f t="shared" si="474"/>
        <v/>
      </c>
      <c r="AJ358" s="47"/>
      <c r="AK358" s="52" t="str">
        <f t="shared" si="475"/>
        <v/>
      </c>
      <c r="AL358" s="31" t="str">
        <f t="shared" si="476"/>
        <v/>
      </c>
      <c r="AM358" s="73" t="str">
        <f t="shared" si="477"/>
        <v/>
      </c>
      <c r="AN358" s="73" t="str">
        <f t="shared" si="478"/>
        <v/>
      </c>
      <c r="AO358" s="31" t="str">
        <f t="shared" si="439"/>
        <v/>
      </c>
      <c r="AP358" s="66" t="str">
        <f t="shared" si="440"/>
        <v/>
      </c>
      <c r="AQ358" s="47" t="s">
        <v>0</v>
      </c>
      <c r="AR358" s="82" t="str">
        <f t="shared" si="479"/>
        <v/>
      </c>
      <c r="AS358" s="47" t="s">
        <v>0</v>
      </c>
      <c r="AT358" s="19" t="str">
        <f t="shared" si="480"/>
        <v/>
      </c>
      <c r="AU358" s="47" t="s">
        <v>0</v>
      </c>
      <c r="AV358" s="103"/>
      <c r="AW358" s="105"/>
      <c r="AX358" s="47" t="s">
        <v>0</v>
      </c>
      <c r="AY358" s="259" t="str">
        <f t="shared" si="503"/>
        <v/>
      </c>
      <c r="AZ358" s="47" t="s">
        <v>0</v>
      </c>
      <c r="BA358" s="52" t="str">
        <f t="shared" si="433"/>
        <v/>
      </c>
      <c r="BB358" s="73" t="str">
        <f>IF(AV358&amp;AW358="","",MAX(BB$12:BB357)+1)</f>
        <v/>
      </c>
      <c r="BC358" s="272" t="str">
        <f t="shared" si="441"/>
        <v/>
      </c>
      <c r="BD358" s="53" t="str">
        <f>IF(AND(AM358="NEMA",AN358="NEMA",OR(AV358&amp;AW358="",BC358="NEMA")),MAX(BD$12:BD357)+1,"")</f>
        <v/>
      </c>
      <c r="BE358" s="47" t="s">
        <v>0</v>
      </c>
      <c r="BF358" s="52" t="str">
        <f t="shared" si="481"/>
        <v/>
      </c>
      <c r="BG358" s="66" t="str">
        <f t="shared" si="482"/>
        <v/>
      </c>
      <c r="BH358" s="47" t="s">
        <v>0</v>
      </c>
      <c r="BI358" s="52" t="str">
        <f t="shared" si="442"/>
        <v/>
      </c>
      <c r="BJ358" s="31" t="str">
        <f t="shared" si="443"/>
        <v/>
      </c>
      <c r="BK358" s="73" t="str">
        <f t="shared" si="444"/>
        <v/>
      </c>
      <c r="BL358" s="31" t="str" cm="1">
        <f t="array" ref="BL358">IF(BK358="",""&amp;BJ358,IF(BK358="NEMA",BJ358,INDEX(regKlub_naziv,MATCH(INDEX(regKlub_alias_klubId,BK358),regKlub_id,0))))</f>
        <v/>
      </c>
      <c r="BM358" s="31" t="str" cm="1">
        <f t="array" ref="BM358">IFERROR(""&amp;INDEX(regNatjecatelj_klub,DV358),"")</f>
        <v/>
      </c>
      <c r="BN358" s="88" t="str">
        <f t="shared" si="483"/>
        <v/>
      </c>
      <c r="BO358" s="66" t="str">
        <f t="shared" si="484"/>
        <v/>
      </c>
      <c r="BP358" s="47" t="s">
        <v>0</v>
      </c>
      <c r="BQ358" s="52" t="str">
        <f>IF(X358&lt;&gt;"NEMA","",IF(IFERROR(MATCH(W358,W$12:W357,0),0)&lt;&gt;0,"",W358))</f>
        <v/>
      </c>
      <c r="BR358" s="73" t="str">
        <f t="shared" si="485"/>
        <v/>
      </c>
      <c r="BS358" s="31" t="str">
        <f>IF(OR(BR358="",BR358&lt;&gt;"NEMA"),"",MAX(BS$12:BS357)+1)</f>
        <v/>
      </c>
      <c r="BT358" s="66" t="str">
        <f t="shared" si="486"/>
        <v/>
      </c>
      <c r="BU358" s="47" t="s">
        <v>0</v>
      </c>
      <c r="BV358" s="19" t="str">
        <f t="shared" si="487"/>
        <v/>
      </c>
      <c r="BW358" s="47" t="s">
        <v>0</v>
      </c>
      <c r="BX358" s="82" t="str">
        <f>IF(BK358&lt;&gt;"NEMA","",IF(IFERROR(MATCH(BJ358,BJ$12:BJ357,0),0)&lt;&gt;0,"",BJ358))</f>
        <v/>
      </c>
      <c r="BY358" s="47" t="s">
        <v>0</v>
      </c>
      <c r="BZ358" s="125"/>
      <c r="CA358" s="47" t="s">
        <v>0</v>
      </c>
      <c r="CB358" s="58" t="str">
        <f t="shared" si="488"/>
        <v/>
      </c>
      <c r="CC358" s="31" t="str">
        <f t="shared" si="489"/>
        <v/>
      </c>
      <c r="CD358" s="31" t="str">
        <f>IF(CC358="","",MAX(CD$12:CD357)+1)</f>
        <v/>
      </c>
      <c r="CE358" s="31" t="str">
        <f t="shared" si="445"/>
        <v/>
      </c>
      <c r="CF358" s="31" t="str">
        <f t="shared" si="490"/>
        <v/>
      </c>
      <c r="CG358" s="31" t="str">
        <f>IF(BZ358="","",MAX(CG$12:CG357)+1)</f>
        <v/>
      </c>
      <c r="CH358" s="31" t="str">
        <f t="shared" si="491"/>
        <v/>
      </c>
      <c r="CI358" s="66" t="str">
        <f t="shared" si="492"/>
        <v/>
      </c>
      <c r="CJ358" s="47" t="s">
        <v>0</v>
      </c>
      <c r="CK358" s="73" t="str">
        <f t="shared" si="446"/>
        <v/>
      </c>
      <c r="CL358" s="47"/>
      <c r="CM358" s="19" t="str">
        <f t="shared" si="493"/>
        <v/>
      </c>
      <c r="CN358" s="47" t="s">
        <v>0</v>
      </c>
      <c r="CO358" s="143" t="str">
        <f t="shared" si="494"/>
        <v/>
      </c>
      <c r="CP358" s="47" t="s">
        <v>0</v>
      </c>
      <c r="CQ358" s="58" t="str">
        <f t="shared" si="430"/>
        <v/>
      </c>
      <c r="CR358" s="73" t="str">
        <f t="shared" si="431"/>
        <v/>
      </c>
      <c r="CS358" s="229" t="str">
        <f t="shared" si="447"/>
        <v/>
      </c>
      <c r="CT358" s="230" t="str">
        <f t="shared" si="432"/>
        <v/>
      </c>
      <c r="CU358" s="163" t="str">
        <f t="shared" si="448"/>
        <v/>
      </c>
      <c r="CV358" s="47" t="s">
        <v>0</v>
      </c>
      <c r="CW358" s="222" t="str">
        <f t="shared" si="495"/>
        <v xml:space="preserve">
</v>
      </c>
      <c r="CX358" s="223" t="str">
        <f t="shared" si="496"/>
        <v/>
      </c>
      <c r="CY358" s="47" t="s">
        <v>0</v>
      </c>
      <c r="CZ358" s="47"/>
      <c r="DA358" s="47"/>
      <c r="DB358" s="47"/>
      <c r="DC358" s="47" t="s">
        <v>0</v>
      </c>
      <c r="DD358" s="53" t="str">
        <f t="shared" si="504"/>
        <v/>
      </c>
      <c r="DE358" t="s">
        <v>0</v>
      </c>
      <c r="DF358" s="128" t="str">
        <f t="shared" si="505"/>
        <v/>
      </c>
      <c r="DG358" t="s">
        <v>0</v>
      </c>
      <c r="DH358" s="52" t="str">
        <f t="shared" si="506"/>
        <v/>
      </c>
      <c r="DI358" s="66" t="str">
        <f t="shared" si="507"/>
        <v/>
      </c>
      <c r="DJ358" t="s">
        <v>0</v>
      </c>
      <c r="DK358" s="19" t="str">
        <f t="shared" si="508"/>
        <v/>
      </c>
      <c r="DL358" s="47" t="s">
        <v>0</v>
      </c>
      <c r="DM358" s="19" t="str">
        <f t="shared" si="509"/>
        <v/>
      </c>
      <c r="DN358" s="47" t="s">
        <v>0</v>
      </c>
      <c r="DO358" s="52" t="str">
        <f t="shared" si="449"/>
        <v/>
      </c>
      <c r="DP358" s="53" t="str">
        <f t="shared" si="450"/>
        <v/>
      </c>
      <c r="DQ358" s="47" t="s">
        <v>0</v>
      </c>
      <c r="DR358" s="52" t="str">
        <f t="shared" si="451"/>
        <v/>
      </c>
      <c r="DS358" s="53" t="str">
        <f t="shared" si="452"/>
        <v/>
      </c>
      <c r="DT358" s="47" t="s">
        <v>0</v>
      </c>
      <c r="DU358" s="52" t="str">
        <f t="shared" si="453"/>
        <v/>
      </c>
      <c r="DV358" s="53" t="str">
        <f t="shared" si="454"/>
        <v/>
      </c>
      <c r="DW358" s="47" t="s">
        <v>0</v>
      </c>
      <c r="DX358" s="58" t="str">
        <f t="shared" si="497"/>
        <v/>
      </c>
      <c r="DY358" s="53" t="str" cm="1">
        <f t="array" ref="DY358">IF(DX358&lt;&gt;"",INDEX(regNatjecatelj_id,DX358,0),IF(BD358&lt;&gt;"",BD358,""))</f>
        <v/>
      </c>
      <c r="DZ358" s="47" t="s">
        <v>0</v>
      </c>
      <c r="EA358" s="58" t="str">
        <f t="shared" si="455"/>
        <v/>
      </c>
      <c r="EB358" s="73" t="str">
        <f t="shared" si="456"/>
        <v/>
      </c>
      <c r="EC358" s="73" t="str">
        <f t="shared" si="457"/>
        <v/>
      </c>
      <c r="ED358" s="73" t="str">
        <f t="shared" si="458"/>
        <v/>
      </c>
      <c r="EE358" s="66" t="str">
        <f t="shared" si="459"/>
        <v/>
      </c>
      <c r="EF358" s="47" t="s">
        <v>0</v>
      </c>
      <c r="EG358" s="58" t="str">
        <f>IF(AL358="","",MAX(EG$12:EG357)+1)</f>
        <v/>
      </c>
      <c r="EH358" s="73" t="str">
        <f t="shared" si="460"/>
        <v/>
      </c>
      <c r="EI358" s="73" t="str">
        <f t="shared" si="498"/>
        <v/>
      </c>
      <c r="EJ358" s="73" t="str">
        <f t="shared" si="461"/>
        <v/>
      </c>
      <c r="EK358" s="73" t="str">
        <f t="shared" si="462"/>
        <v/>
      </c>
      <c r="EL358" s="73" t="str">
        <f t="shared" si="499"/>
        <v/>
      </c>
      <c r="EM358" s="73" t="str">
        <f t="shared" si="500"/>
        <v/>
      </c>
      <c r="EN358" s="73" t="str">
        <f t="shared" si="463"/>
        <v/>
      </c>
      <c r="EO358" s="73" t="str">
        <f t="shared" si="464"/>
        <v/>
      </c>
      <c r="EP358" s="73" t="str">
        <f t="shared" si="465"/>
        <v/>
      </c>
      <c r="EQ358" s="53" t="str">
        <f t="shared" si="466"/>
        <v/>
      </c>
      <c r="ER358" s="47" t="s">
        <v>0</v>
      </c>
      <c r="ES358" s="19" t="str">
        <f t="shared" si="501"/>
        <v/>
      </c>
      <c r="ET358" s="47" t="s">
        <v>0</v>
      </c>
      <c r="EU358" s="19" t="str">
        <f t="shared" si="502"/>
        <v/>
      </c>
      <c r="EV358" s="47" t="s">
        <v>0</v>
      </c>
      <c r="EW358" s="180" t="str">
        <f t="shared" si="467"/>
        <v/>
      </c>
      <c r="EX358" s="47" t="s">
        <v>0</v>
      </c>
    </row>
    <row r="359" spans="1:154" x14ac:dyDescent="0.25">
      <c r="A359" t="s">
        <v>0</v>
      </c>
      <c r="B359" s="52" t="str">
        <f>IF(csv!F349="","",csv!T349)</f>
        <v/>
      </c>
      <c r="C359" s="31" t="s">
        <v>0</v>
      </c>
      <c r="D359" s="31" t="str">
        <f>IF(csv!F349="","",csv!F349)</f>
        <v/>
      </c>
      <c r="E359" s="31" t="str">
        <f>IF(csv!E349="","",csv!E349)</f>
        <v/>
      </c>
      <c r="F359" s="31" t="s">
        <v>0</v>
      </c>
      <c r="G359" s="73" t="str">
        <f>IF(csv!M349="","",csv!M349)</f>
        <v/>
      </c>
      <c r="H359" s="73" t="str">
        <f>IF(csv!N349="","",csv!N349)</f>
        <v/>
      </c>
      <c r="I359" s="31" t="s">
        <v>0</v>
      </c>
      <c r="J359" s="31" t="str">
        <f>IF(csv!P349="","",csv!P349)</f>
        <v/>
      </c>
      <c r="K359" s="31" t="str">
        <f>IF(csv!Q349="","",csv!Q349)</f>
        <v/>
      </c>
      <c r="L359" s="31" t="s">
        <v>0</v>
      </c>
      <c r="M359" s="66" t="str">
        <f>IF(csv!R349="","",csv!R349)</f>
        <v/>
      </c>
      <c r="N359" s="47" t="s">
        <v>0</v>
      </c>
      <c r="O359" s="246" t="str">
        <f t="shared" si="468"/>
        <v/>
      </c>
      <c r="P359" s="47"/>
      <c r="Q359" s="52" t="str">
        <f t="shared" si="469"/>
        <v/>
      </c>
      <c r="R359" s="73" t="str">
        <f>IF(Q359="","",IF(COUNTIF(Q$12:Q358,Q359)=0,R358+1,R358))</f>
        <v/>
      </c>
      <c r="S359" s="73" t="str">
        <f t="shared" si="470"/>
        <v/>
      </c>
      <c r="T359" s="73" t="str">
        <f t="shared" si="434"/>
        <v/>
      </c>
      <c r="U359" s="66" t="str">
        <f t="shared" si="435"/>
        <v/>
      </c>
      <c r="V359" s="47" t="s">
        <v>0</v>
      </c>
      <c r="W359" s="222" t="str">
        <f t="shared" si="436"/>
        <v/>
      </c>
      <c r="X359" s="223" t="str">
        <f t="shared" si="437"/>
        <v/>
      </c>
      <c r="Y359" s="47" t="s">
        <v>0</v>
      </c>
      <c r="Z359" s="52" t="str">
        <f t="shared" si="471"/>
        <v/>
      </c>
      <c r="AA359" s="73" t="str">
        <f t="shared" si="438"/>
        <v/>
      </c>
      <c r="AB359" s="31" t="str">
        <f t="shared" si="472"/>
        <v/>
      </c>
      <c r="AC359" s="66" t="str">
        <f>IF(AB359="","",MAX(AC$12:AC358)+1)</f>
        <v/>
      </c>
      <c r="AD359" s="47" t="s">
        <v>0</v>
      </c>
      <c r="AE359" s="125"/>
      <c r="AF359" s="47" t="s">
        <v>0</v>
      </c>
      <c r="AG359" s="19" t="str">
        <f t="shared" si="473"/>
        <v/>
      </c>
      <c r="AH359" s="47" t="s">
        <v>0</v>
      </c>
      <c r="AI359" s="143" t="str">
        <f t="shared" si="474"/>
        <v/>
      </c>
      <c r="AJ359" s="47"/>
      <c r="AK359" s="52" t="str">
        <f t="shared" si="475"/>
        <v/>
      </c>
      <c r="AL359" s="31" t="str">
        <f t="shared" si="476"/>
        <v/>
      </c>
      <c r="AM359" s="73" t="str">
        <f t="shared" si="477"/>
        <v/>
      </c>
      <c r="AN359" s="73" t="str">
        <f t="shared" si="478"/>
        <v/>
      </c>
      <c r="AO359" s="31" t="str">
        <f t="shared" si="439"/>
        <v/>
      </c>
      <c r="AP359" s="66" t="str">
        <f t="shared" si="440"/>
        <v/>
      </c>
      <c r="AQ359" s="47" t="s">
        <v>0</v>
      </c>
      <c r="AR359" s="82" t="str">
        <f t="shared" si="479"/>
        <v/>
      </c>
      <c r="AS359" s="47" t="s">
        <v>0</v>
      </c>
      <c r="AT359" s="19" t="str">
        <f t="shared" si="480"/>
        <v/>
      </c>
      <c r="AU359" s="47" t="s">
        <v>0</v>
      </c>
      <c r="AV359" s="103"/>
      <c r="AW359" s="105"/>
      <c r="AX359" s="47" t="s">
        <v>0</v>
      </c>
      <c r="AY359" s="259" t="str">
        <f t="shared" si="503"/>
        <v/>
      </c>
      <c r="AZ359" s="47" t="s">
        <v>0</v>
      </c>
      <c r="BA359" s="52" t="str">
        <f t="shared" si="433"/>
        <v/>
      </c>
      <c r="BB359" s="73" t="str">
        <f>IF(AV359&amp;AW359="","",MAX(BB$12:BB358)+1)</f>
        <v/>
      </c>
      <c r="BC359" s="272" t="str">
        <f t="shared" si="441"/>
        <v/>
      </c>
      <c r="BD359" s="53" t="str">
        <f>IF(AND(AM359="NEMA",AN359="NEMA",OR(AV359&amp;AW359="",BC359="NEMA")),MAX(BD$12:BD358)+1,"")</f>
        <v/>
      </c>
      <c r="BE359" s="47" t="s">
        <v>0</v>
      </c>
      <c r="BF359" s="52" t="str">
        <f t="shared" si="481"/>
        <v/>
      </c>
      <c r="BG359" s="66" t="str">
        <f t="shared" si="482"/>
        <v/>
      </c>
      <c r="BH359" s="47" t="s">
        <v>0</v>
      </c>
      <c r="BI359" s="52" t="str">
        <f t="shared" si="442"/>
        <v/>
      </c>
      <c r="BJ359" s="31" t="str">
        <f t="shared" si="443"/>
        <v/>
      </c>
      <c r="BK359" s="73" t="str">
        <f t="shared" si="444"/>
        <v/>
      </c>
      <c r="BL359" s="31" t="str" cm="1">
        <f t="array" ref="BL359">IF(BK359="",""&amp;BJ359,IF(BK359="NEMA",BJ359,INDEX(regKlub_naziv,MATCH(INDEX(regKlub_alias_klubId,BK359),regKlub_id,0))))</f>
        <v/>
      </c>
      <c r="BM359" s="31" t="str" cm="1">
        <f t="array" ref="BM359">IFERROR(""&amp;INDEX(regNatjecatelj_klub,DV359),"")</f>
        <v/>
      </c>
      <c r="BN359" s="88" t="str">
        <f t="shared" si="483"/>
        <v/>
      </c>
      <c r="BO359" s="66" t="str">
        <f t="shared" si="484"/>
        <v/>
      </c>
      <c r="BP359" s="47" t="s">
        <v>0</v>
      </c>
      <c r="BQ359" s="52" t="str">
        <f>IF(X359&lt;&gt;"NEMA","",IF(IFERROR(MATCH(W359,W$12:W358,0),0)&lt;&gt;0,"",W359))</f>
        <v/>
      </c>
      <c r="BR359" s="73" t="str">
        <f t="shared" si="485"/>
        <v/>
      </c>
      <c r="BS359" s="31" t="str">
        <f>IF(OR(BR359="",BR359&lt;&gt;"NEMA"),"",MAX(BS$12:BS358)+1)</f>
        <v/>
      </c>
      <c r="BT359" s="66" t="str">
        <f t="shared" si="486"/>
        <v/>
      </c>
      <c r="BU359" s="47" t="s">
        <v>0</v>
      </c>
      <c r="BV359" s="19" t="str">
        <f t="shared" si="487"/>
        <v/>
      </c>
      <c r="BW359" s="47" t="s">
        <v>0</v>
      </c>
      <c r="BX359" s="82" t="str">
        <f>IF(BK359&lt;&gt;"NEMA","",IF(IFERROR(MATCH(BJ359,BJ$12:BJ358,0),0)&lt;&gt;0,"",BJ359))</f>
        <v/>
      </c>
      <c r="BY359" s="47" t="s">
        <v>0</v>
      </c>
      <c r="BZ359" s="125"/>
      <c r="CA359" s="47" t="s">
        <v>0</v>
      </c>
      <c r="CB359" s="58" t="str">
        <f t="shared" si="488"/>
        <v/>
      </c>
      <c r="CC359" s="31" t="str">
        <f t="shared" si="489"/>
        <v/>
      </c>
      <c r="CD359" s="31" t="str">
        <f>IF(CC359="","",MAX(CD$12:CD358)+1)</f>
        <v/>
      </c>
      <c r="CE359" s="31" t="str">
        <f t="shared" si="445"/>
        <v/>
      </c>
      <c r="CF359" s="31" t="str">
        <f t="shared" si="490"/>
        <v/>
      </c>
      <c r="CG359" s="31" t="str">
        <f>IF(BZ359="","",MAX(CG$12:CG358)+1)</f>
        <v/>
      </c>
      <c r="CH359" s="31" t="str">
        <f t="shared" si="491"/>
        <v/>
      </c>
      <c r="CI359" s="66" t="str">
        <f t="shared" si="492"/>
        <v/>
      </c>
      <c r="CJ359" s="47" t="s">
        <v>0</v>
      </c>
      <c r="CK359" s="73" t="str">
        <f t="shared" si="446"/>
        <v/>
      </c>
      <c r="CL359" s="47"/>
      <c r="CM359" s="19" t="str">
        <f t="shared" si="493"/>
        <v/>
      </c>
      <c r="CN359" s="47" t="s">
        <v>0</v>
      </c>
      <c r="CO359" s="143" t="str">
        <f t="shared" si="494"/>
        <v/>
      </c>
      <c r="CP359" s="47" t="s">
        <v>0</v>
      </c>
      <c r="CQ359" s="58" t="str">
        <f t="shared" ref="CQ359:CQ412" si="510">IF(G359="","",G359)</f>
        <v/>
      </c>
      <c r="CR359" s="73" t="str">
        <f t="shared" ref="CR359:CR412" si="511">IF(H359="","",H359)</f>
        <v/>
      </c>
      <c r="CS359" s="229" t="str">
        <f t="shared" si="447"/>
        <v/>
      </c>
      <c r="CT359" s="230" t="str">
        <f t="shared" si="432"/>
        <v/>
      </c>
      <c r="CU359" s="163" t="str">
        <f t="shared" si="448"/>
        <v/>
      </c>
      <c r="CV359" s="47" t="s">
        <v>0</v>
      </c>
      <c r="CW359" s="222" t="str">
        <f t="shared" si="495"/>
        <v xml:space="preserve">
</v>
      </c>
      <c r="CX359" s="223" t="str">
        <f t="shared" si="496"/>
        <v/>
      </c>
      <c r="CY359" s="47" t="s">
        <v>0</v>
      </c>
      <c r="CZ359" s="47"/>
      <c r="DA359" s="47"/>
      <c r="DB359" s="47"/>
      <c r="DC359" s="47" t="s">
        <v>0</v>
      </c>
      <c r="DD359" s="53" t="str">
        <f t="shared" si="504"/>
        <v/>
      </c>
      <c r="DE359" t="s">
        <v>0</v>
      </c>
      <c r="DF359" s="128" t="str">
        <f t="shared" si="505"/>
        <v/>
      </c>
      <c r="DG359" t="s">
        <v>0</v>
      </c>
      <c r="DH359" s="52" t="str">
        <f t="shared" si="506"/>
        <v/>
      </c>
      <c r="DI359" s="66" t="str">
        <f t="shared" si="507"/>
        <v/>
      </c>
      <c r="DJ359" t="s">
        <v>0</v>
      </c>
      <c r="DK359" s="19" t="str">
        <f t="shared" si="508"/>
        <v/>
      </c>
      <c r="DL359" s="47" t="s">
        <v>0</v>
      </c>
      <c r="DM359" s="19" t="str">
        <f t="shared" si="509"/>
        <v/>
      </c>
      <c r="DN359" s="47" t="s">
        <v>0</v>
      </c>
      <c r="DO359" s="52" t="str">
        <f t="shared" si="449"/>
        <v/>
      </c>
      <c r="DP359" s="53" t="str">
        <f t="shared" si="450"/>
        <v/>
      </c>
      <c r="DQ359" s="47" t="s">
        <v>0</v>
      </c>
      <c r="DR359" s="52" t="str">
        <f t="shared" si="451"/>
        <v/>
      </c>
      <c r="DS359" s="53" t="str">
        <f t="shared" si="452"/>
        <v/>
      </c>
      <c r="DT359" s="47" t="s">
        <v>0</v>
      </c>
      <c r="DU359" s="52" t="str">
        <f t="shared" si="453"/>
        <v/>
      </c>
      <c r="DV359" s="53" t="str">
        <f t="shared" si="454"/>
        <v/>
      </c>
      <c r="DW359" s="47" t="s">
        <v>0</v>
      </c>
      <c r="DX359" s="58" t="str">
        <f t="shared" si="497"/>
        <v/>
      </c>
      <c r="DY359" s="53" t="str" cm="1">
        <f t="array" ref="DY359">IF(DX359&lt;&gt;"",INDEX(regNatjecatelj_id,DX359,0),IF(BD359&lt;&gt;"",BD359,""))</f>
        <v/>
      </c>
      <c r="DZ359" s="47" t="s">
        <v>0</v>
      </c>
      <c r="EA359" s="58" t="str">
        <f t="shared" si="455"/>
        <v/>
      </c>
      <c r="EB359" s="73" t="str">
        <f t="shared" si="456"/>
        <v/>
      </c>
      <c r="EC359" s="73" t="str">
        <f t="shared" si="457"/>
        <v/>
      </c>
      <c r="ED359" s="73" t="str">
        <f t="shared" si="458"/>
        <v/>
      </c>
      <c r="EE359" s="66" t="str">
        <f t="shared" si="459"/>
        <v/>
      </c>
      <c r="EF359" s="47" t="s">
        <v>0</v>
      </c>
      <c r="EG359" s="58" t="str">
        <f>IF(AL359="","",MAX(EG$12:EG358)+1)</f>
        <v/>
      </c>
      <c r="EH359" s="73" t="str">
        <f t="shared" si="460"/>
        <v/>
      </c>
      <c r="EI359" s="73" t="str">
        <f t="shared" si="498"/>
        <v/>
      </c>
      <c r="EJ359" s="73" t="str">
        <f t="shared" si="461"/>
        <v/>
      </c>
      <c r="EK359" s="73" t="str">
        <f t="shared" si="462"/>
        <v/>
      </c>
      <c r="EL359" s="73" t="str">
        <f t="shared" si="499"/>
        <v/>
      </c>
      <c r="EM359" s="73" t="str">
        <f t="shared" si="500"/>
        <v/>
      </c>
      <c r="EN359" s="73" t="str">
        <f t="shared" si="463"/>
        <v/>
      </c>
      <c r="EO359" s="73" t="str">
        <f t="shared" si="464"/>
        <v/>
      </c>
      <c r="EP359" s="73" t="str">
        <f t="shared" si="465"/>
        <v/>
      </c>
      <c r="EQ359" s="53" t="str">
        <f t="shared" si="466"/>
        <v/>
      </c>
      <c r="ER359" s="47" t="s">
        <v>0</v>
      </c>
      <c r="ES359" s="19" t="str">
        <f t="shared" si="501"/>
        <v/>
      </c>
      <c r="ET359" s="47" t="s">
        <v>0</v>
      </c>
      <c r="EU359" s="19" t="str">
        <f t="shared" si="502"/>
        <v/>
      </c>
      <c r="EV359" s="47" t="s">
        <v>0</v>
      </c>
      <c r="EW359" s="180" t="str">
        <f t="shared" si="467"/>
        <v/>
      </c>
      <c r="EX359" s="47" t="s">
        <v>0</v>
      </c>
    </row>
    <row r="360" spans="1:154" x14ac:dyDescent="0.25">
      <c r="A360" t="s">
        <v>0</v>
      </c>
      <c r="B360" s="52" t="str">
        <f>IF(csv!F350="","",csv!T350)</f>
        <v/>
      </c>
      <c r="C360" s="31" t="s">
        <v>0</v>
      </c>
      <c r="D360" s="31" t="str">
        <f>IF(csv!F350="","",csv!F350)</f>
        <v/>
      </c>
      <c r="E360" s="31" t="str">
        <f>IF(csv!E350="","",csv!E350)</f>
        <v/>
      </c>
      <c r="F360" s="31" t="s">
        <v>0</v>
      </c>
      <c r="G360" s="73" t="str">
        <f>IF(csv!M350="","",csv!M350)</f>
        <v/>
      </c>
      <c r="H360" s="73" t="str">
        <f>IF(csv!N350="","",csv!N350)</f>
        <v/>
      </c>
      <c r="I360" s="31" t="s">
        <v>0</v>
      </c>
      <c r="J360" s="31" t="str">
        <f>IF(csv!P350="","",csv!P350)</f>
        <v/>
      </c>
      <c r="K360" s="31" t="str">
        <f>IF(csv!Q350="","",csv!Q350)</f>
        <v/>
      </c>
      <c r="L360" s="31" t="s">
        <v>0</v>
      </c>
      <c r="M360" s="66" t="str">
        <f>IF(csv!R350="","",csv!R350)</f>
        <v/>
      </c>
      <c r="N360" s="47" t="s">
        <v>0</v>
      </c>
      <c r="O360" s="246" t="str">
        <f t="shared" si="468"/>
        <v/>
      </c>
      <c r="P360" s="47"/>
      <c r="Q360" s="52" t="str">
        <f t="shared" si="469"/>
        <v/>
      </c>
      <c r="R360" s="73" t="str">
        <f>IF(Q360="","",IF(COUNTIF(Q$12:Q359,Q360)=0,R359+1,R359))</f>
        <v/>
      </c>
      <c r="S360" s="73" t="str">
        <f t="shared" si="470"/>
        <v/>
      </c>
      <c r="T360" s="73" t="str">
        <f t="shared" si="434"/>
        <v/>
      </c>
      <c r="U360" s="66" t="str">
        <f t="shared" si="435"/>
        <v/>
      </c>
      <c r="V360" s="47" t="s">
        <v>0</v>
      </c>
      <c r="W360" s="222" t="str">
        <f t="shared" si="436"/>
        <v/>
      </c>
      <c r="X360" s="223" t="str">
        <f t="shared" si="437"/>
        <v/>
      </c>
      <c r="Y360" s="47" t="s">
        <v>0</v>
      </c>
      <c r="Z360" s="52" t="str">
        <f t="shared" si="471"/>
        <v/>
      </c>
      <c r="AA360" s="73" t="str">
        <f t="shared" si="438"/>
        <v/>
      </c>
      <c r="AB360" s="31" t="str">
        <f t="shared" si="472"/>
        <v/>
      </c>
      <c r="AC360" s="66" t="str">
        <f>IF(AB360="","",MAX(AC$12:AC359)+1)</f>
        <v/>
      </c>
      <c r="AD360" s="47" t="s">
        <v>0</v>
      </c>
      <c r="AE360" s="125"/>
      <c r="AF360" s="47" t="s">
        <v>0</v>
      </c>
      <c r="AG360" s="19" t="str">
        <f t="shared" si="473"/>
        <v/>
      </c>
      <c r="AH360" s="47" t="s">
        <v>0</v>
      </c>
      <c r="AI360" s="143" t="str">
        <f t="shared" si="474"/>
        <v/>
      </c>
      <c r="AJ360" s="47"/>
      <c r="AK360" s="52" t="str">
        <f t="shared" si="475"/>
        <v/>
      </c>
      <c r="AL360" s="31" t="str">
        <f t="shared" si="476"/>
        <v/>
      </c>
      <c r="AM360" s="73" t="str">
        <f t="shared" si="477"/>
        <v/>
      </c>
      <c r="AN360" s="73" t="str">
        <f t="shared" si="478"/>
        <v/>
      </c>
      <c r="AO360" s="31" t="str">
        <f t="shared" si="439"/>
        <v/>
      </c>
      <c r="AP360" s="66" t="str">
        <f t="shared" si="440"/>
        <v/>
      </c>
      <c r="AQ360" s="47" t="s">
        <v>0</v>
      </c>
      <c r="AR360" s="82" t="str">
        <f t="shared" si="479"/>
        <v/>
      </c>
      <c r="AS360" s="47" t="s">
        <v>0</v>
      </c>
      <c r="AT360" s="19" t="str">
        <f t="shared" si="480"/>
        <v/>
      </c>
      <c r="AU360" s="47" t="s">
        <v>0</v>
      </c>
      <c r="AV360" s="103"/>
      <c r="AW360" s="105"/>
      <c r="AX360" s="47" t="s">
        <v>0</v>
      </c>
      <c r="AY360" s="259" t="str">
        <f t="shared" si="503"/>
        <v/>
      </c>
      <c r="AZ360" s="47" t="s">
        <v>0</v>
      </c>
      <c r="BA360" s="52" t="str">
        <f t="shared" si="433"/>
        <v/>
      </c>
      <c r="BB360" s="73" t="str">
        <f>IF(AV360&amp;AW360="","",MAX(BB$12:BB359)+1)</f>
        <v/>
      </c>
      <c r="BC360" s="272" t="str">
        <f t="shared" si="441"/>
        <v/>
      </c>
      <c r="BD360" s="53" t="str">
        <f>IF(AND(AM360="NEMA",AN360="NEMA",OR(AV360&amp;AW360="",BC360="NEMA")),MAX(BD$12:BD359)+1,"")</f>
        <v/>
      </c>
      <c r="BE360" s="47" t="s">
        <v>0</v>
      </c>
      <c r="BF360" s="52" t="str">
        <f t="shared" si="481"/>
        <v/>
      </c>
      <c r="BG360" s="66" t="str">
        <f t="shared" si="482"/>
        <v/>
      </c>
      <c r="BH360" s="47" t="s">
        <v>0</v>
      </c>
      <c r="BI360" s="52" t="str">
        <f t="shared" si="442"/>
        <v/>
      </c>
      <c r="BJ360" s="31" t="str">
        <f t="shared" si="443"/>
        <v/>
      </c>
      <c r="BK360" s="73" t="str">
        <f t="shared" si="444"/>
        <v/>
      </c>
      <c r="BL360" s="31" t="str" cm="1">
        <f t="array" ref="BL360">IF(BK360="",""&amp;BJ360,IF(BK360="NEMA",BJ360,INDEX(regKlub_naziv,MATCH(INDEX(regKlub_alias_klubId,BK360),regKlub_id,0))))</f>
        <v/>
      </c>
      <c r="BM360" s="31" t="str" cm="1">
        <f t="array" ref="BM360">IFERROR(""&amp;INDEX(regNatjecatelj_klub,DV360),"")</f>
        <v/>
      </c>
      <c r="BN360" s="88" t="str">
        <f t="shared" si="483"/>
        <v/>
      </c>
      <c r="BO360" s="66" t="str">
        <f t="shared" si="484"/>
        <v/>
      </c>
      <c r="BP360" s="47" t="s">
        <v>0</v>
      </c>
      <c r="BQ360" s="52" t="str">
        <f>IF(X360&lt;&gt;"NEMA","",IF(IFERROR(MATCH(W360,W$12:W359,0),0)&lt;&gt;0,"",W360))</f>
        <v/>
      </c>
      <c r="BR360" s="73" t="str">
        <f t="shared" si="485"/>
        <v/>
      </c>
      <c r="BS360" s="31" t="str">
        <f>IF(OR(BR360="",BR360&lt;&gt;"NEMA"),"",MAX(BS$12:BS359)+1)</f>
        <v/>
      </c>
      <c r="BT360" s="66" t="str">
        <f t="shared" si="486"/>
        <v/>
      </c>
      <c r="BU360" s="47" t="s">
        <v>0</v>
      </c>
      <c r="BV360" s="19" t="str">
        <f t="shared" si="487"/>
        <v/>
      </c>
      <c r="BW360" s="47" t="s">
        <v>0</v>
      </c>
      <c r="BX360" s="82" t="str">
        <f>IF(BK360&lt;&gt;"NEMA","",IF(IFERROR(MATCH(BJ360,BJ$12:BJ359,0),0)&lt;&gt;0,"",BJ360))</f>
        <v/>
      </c>
      <c r="BY360" s="47" t="s">
        <v>0</v>
      </c>
      <c r="BZ360" s="125"/>
      <c r="CA360" s="47" t="s">
        <v>0</v>
      </c>
      <c r="CB360" s="58" t="str">
        <f t="shared" si="488"/>
        <v/>
      </c>
      <c r="CC360" s="31" t="str">
        <f t="shared" si="489"/>
        <v/>
      </c>
      <c r="CD360" s="31" t="str">
        <f>IF(CC360="","",MAX(CD$12:CD359)+1)</f>
        <v/>
      </c>
      <c r="CE360" s="31" t="str">
        <f t="shared" si="445"/>
        <v/>
      </c>
      <c r="CF360" s="31" t="str">
        <f t="shared" si="490"/>
        <v/>
      </c>
      <c r="CG360" s="31" t="str">
        <f>IF(BZ360="","",MAX(CG$12:CG359)+1)</f>
        <v/>
      </c>
      <c r="CH360" s="31" t="str">
        <f t="shared" si="491"/>
        <v/>
      </c>
      <c r="CI360" s="66" t="str">
        <f t="shared" si="492"/>
        <v/>
      </c>
      <c r="CJ360" s="47" t="s">
        <v>0</v>
      </c>
      <c r="CK360" s="73" t="str">
        <f t="shared" si="446"/>
        <v/>
      </c>
      <c r="CL360" s="47"/>
      <c r="CM360" s="19" t="str">
        <f t="shared" si="493"/>
        <v/>
      </c>
      <c r="CN360" s="47" t="s">
        <v>0</v>
      </c>
      <c r="CO360" s="143" t="str">
        <f t="shared" si="494"/>
        <v/>
      </c>
      <c r="CP360" s="47" t="s">
        <v>0</v>
      </c>
      <c r="CQ360" s="58" t="str">
        <f t="shared" si="510"/>
        <v/>
      </c>
      <c r="CR360" s="73" t="str">
        <f t="shared" si="511"/>
        <v/>
      </c>
      <c r="CS360" s="229" t="str">
        <f t="shared" si="447"/>
        <v/>
      </c>
      <c r="CT360" s="230" t="str">
        <f t="shared" si="432"/>
        <v/>
      </c>
      <c r="CU360" s="163" t="str">
        <f t="shared" si="448"/>
        <v/>
      </c>
      <c r="CV360" s="47" t="s">
        <v>0</v>
      </c>
      <c r="CW360" s="222" t="str">
        <f t="shared" si="495"/>
        <v xml:space="preserve">
</v>
      </c>
      <c r="CX360" s="223" t="str">
        <f t="shared" si="496"/>
        <v/>
      </c>
      <c r="CY360" s="47" t="s">
        <v>0</v>
      </c>
      <c r="CZ360" s="47"/>
      <c r="DA360" s="47"/>
      <c r="DB360" s="47"/>
      <c r="DC360" s="47" t="s">
        <v>0</v>
      </c>
      <c r="DD360" s="53" t="str">
        <f t="shared" si="504"/>
        <v/>
      </c>
      <c r="DE360" t="s">
        <v>0</v>
      </c>
      <c r="DF360" s="128" t="str">
        <f t="shared" si="505"/>
        <v/>
      </c>
      <c r="DG360" t="s">
        <v>0</v>
      </c>
      <c r="DH360" s="52" t="str">
        <f t="shared" si="506"/>
        <v/>
      </c>
      <c r="DI360" s="66" t="str">
        <f t="shared" si="507"/>
        <v/>
      </c>
      <c r="DJ360" t="s">
        <v>0</v>
      </c>
      <c r="DK360" s="19" t="str">
        <f t="shared" si="508"/>
        <v/>
      </c>
      <c r="DL360" s="47" t="s">
        <v>0</v>
      </c>
      <c r="DM360" s="19" t="str">
        <f t="shared" si="509"/>
        <v/>
      </c>
      <c r="DN360" s="47" t="s">
        <v>0</v>
      </c>
      <c r="DO360" s="52" t="str">
        <f t="shared" si="449"/>
        <v/>
      </c>
      <c r="DP360" s="53" t="str">
        <f t="shared" si="450"/>
        <v/>
      </c>
      <c r="DQ360" s="47" t="s">
        <v>0</v>
      </c>
      <c r="DR360" s="52" t="str">
        <f t="shared" si="451"/>
        <v/>
      </c>
      <c r="DS360" s="53" t="str">
        <f t="shared" si="452"/>
        <v/>
      </c>
      <c r="DT360" s="47" t="s">
        <v>0</v>
      </c>
      <c r="DU360" s="52" t="str">
        <f t="shared" si="453"/>
        <v/>
      </c>
      <c r="DV360" s="53" t="str">
        <f t="shared" si="454"/>
        <v/>
      </c>
      <c r="DW360" s="47" t="s">
        <v>0</v>
      </c>
      <c r="DX360" s="58" t="str">
        <f t="shared" si="497"/>
        <v/>
      </c>
      <c r="DY360" s="53" t="str" cm="1">
        <f t="array" ref="DY360">IF(DX360&lt;&gt;"",INDEX(regNatjecatelj_id,DX360,0),IF(BD360&lt;&gt;"",BD360,""))</f>
        <v/>
      </c>
      <c r="DZ360" s="47" t="s">
        <v>0</v>
      </c>
      <c r="EA360" s="58" t="str">
        <f t="shared" si="455"/>
        <v/>
      </c>
      <c r="EB360" s="73" t="str">
        <f t="shared" si="456"/>
        <v/>
      </c>
      <c r="EC360" s="73" t="str">
        <f t="shared" si="457"/>
        <v/>
      </c>
      <c r="ED360" s="73" t="str">
        <f t="shared" si="458"/>
        <v/>
      </c>
      <c r="EE360" s="66" t="str">
        <f t="shared" si="459"/>
        <v/>
      </c>
      <c r="EF360" s="47" t="s">
        <v>0</v>
      </c>
      <c r="EG360" s="58" t="str">
        <f>IF(AL360="","",MAX(EG$12:EG359)+1)</f>
        <v/>
      </c>
      <c r="EH360" s="73" t="str">
        <f t="shared" si="460"/>
        <v/>
      </c>
      <c r="EI360" s="73" t="str">
        <f t="shared" si="498"/>
        <v/>
      </c>
      <c r="EJ360" s="73" t="str">
        <f t="shared" si="461"/>
        <v/>
      </c>
      <c r="EK360" s="73" t="str">
        <f t="shared" si="462"/>
        <v/>
      </c>
      <c r="EL360" s="73" t="str">
        <f t="shared" si="499"/>
        <v/>
      </c>
      <c r="EM360" s="73" t="str">
        <f t="shared" si="500"/>
        <v/>
      </c>
      <c r="EN360" s="73" t="str">
        <f t="shared" si="463"/>
        <v/>
      </c>
      <c r="EO360" s="73" t="str">
        <f t="shared" si="464"/>
        <v/>
      </c>
      <c r="EP360" s="73" t="str">
        <f t="shared" si="465"/>
        <v/>
      </c>
      <c r="EQ360" s="53" t="str">
        <f t="shared" si="466"/>
        <v/>
      </c>
      <c r="ER360" s="47" t="s">
        <v>0</v>
      </c>
      <c r="ES360" s="19" t="str">
        <f t="shared" si="501"/>
        <v/>
      </c>
      <c r="ET360" s="47" t="s">
        <v>0</v>
      </c>
      <c r="EU360" s="19" t="str">
        <f t="shared" si="502"/>
        <v/>
      </c>
      <c r="EV360" s="47" t="s">
        <v>0</v>
      </c>
      <c r="EW360" s="180" t="str">
        <f t="shared" si="467"/>
        <v/>
      </c>
      <c r="EX360" s="47" t="s">
        <v>0</v>
      </c>
    </row>
    <row r="361" spans="1:154" x14ac:dyDescent="0.25">
      <c r="A361" t="s">
        <v>0</v>
      </c>
      <c r="B361" s="52" t="str">
        <f>IF(csv!F351="","",csv!T351)</f>
        <v/>
      </c>
      <c r="C361" s="31" t="s">
        <v>0</v>
      </c>
      <c r="D361" s="31" t="str">
        <f>IF(csv!F351="","",csv!F351)</f>
        <v/>
      </c>
      <c r="E361" s="31" t="str">
        <f>IF(csv!E351="","",csv!E351)</f>
        <v/>
      </c>
      <c r="F361" s="31" t="s">
        <v>0</v>
      </c>
      <c r="G361" s="73" t="str">
        <f>IF(csv!M351="","",csv!M351)</f>
        <v/>
      </c>
      <c r="H361" s="73" t="str">
        <f>IF(csv!N351="","",csv!N351)</f>
        <v/>
      </c>
      <c r="I361" s="31" t="s">
        <v>0</v>
      </c>
      <c r="J361" s="31" t="str">
        <f>IF(csv!P351="","",csv!P351)</f>
        <v/>
      </c>
      <c r="K361" s="31" t="str">
        <f>IF(csv!Q351="","",csv!Q351)</f>
        <v/>
      </c>
      <c r="L361" s="31" t="s">
        <v>0</v>
      </c>
      <c r="M361" s="66" t="str">
        <f>IF(csv!R351="","",csv!R351)</f>
        <v/>
      </c>
      <c r="N361" s="47" t="s">
        <v>0</v>
      </c>
      <c r="O361" s="246" t="str">
        <f t="shared" si="468"/>
        <v/>
      </c>
      <c r="P361" s="47"/>
      <c r="Q361" s="52" t="str">
        <f t="shared" si="469"/>
        <v/>
      </c>
      <c r="R361" s="73" t="str">
        <f>IF(Q361="","",IF(COUNTIF(Q$12:Q360,Q361)=0,R360+1,R360))</f>
        <v/>
      </c>
      <c r="S361" s="73" t="str">
        <f t="shared" si="470"/>
        <v/>
      </c>
      <c r="T361" s="73" t="str">
        <f t="shared" si="434"/>
        <v/>
      </c>
      <c r="U361" s="66" t="str">
        <f t="shared" si="435"/>
        <v/>
      </c>
      <c r="V361" s="47" t="s">
        <v>0</v>
      </c>
      <c r="W361" s="222" t="str">
        <f t="shared" si="436"/>
        <v/>
      </c>
      <c r="X361" s="223" t="str">
        <f t="shared" si="437"/>
        <v/>
      </c>
      <c r="Y361" s="47" t="s">
        <v>0</v>
      </c>
      <c r="Z361" s="52" t="str">
        <f t="shared" si="471"/>
        <v/>
      </c>
      <c r="AA361" s="73" t="str">
        <f t="shared" si="438"/>
        <v/>
      </c>
      <c r="AB361" s="31" t="str">
        <f t="shared" si="472"/>
        <v/>
      </c>
      <c r="AC361" s="66" t="str">
        <f>IF(AB361="","",MAX(AC$12:AC360)+1)</f>
        <v/>
      </c>
      <c r="AD361" s="47" t="s">
        <v>0</v>
      </c>
      <c r="AE361" s="125"/>
      <c r="AF361" s="47" t="s">
        <v>0</v>
      </c>
      <c r="AG361" s="19" t="str">
        <f t="shared" si="473"/>
        <v/>
      </c>
      <c r="AH361" s="47" t="s">
        <v>0</v>
      </c>
      <c r="AI361" s="143" t="str">
        <f t="shared" si="474"/>
        <v/>
      </c>
      <c r="AJ361" s="47"/>
      <c r="AK361" s="52" t="str">
        <f t="shared" si="475"/>
        <v/>
      </c>
      <c r="AL361" s="31" t="str">
        <f t="shared" si="476"/>
        <v/>
      </c>
      <c r="AM361" s="73" t="str">
        <f t="shared" si="477"/>
        <v/>
      </c>
      <c r="AN361" s="73" t="str">
        <f t="shared" si="478"/>
        <v/>
      </c>
      <c r="AO361" s="31" t="str">
        <f t="shared" si="439"/>
        <v/>
      </c>
      <c r="AP361" s="66" t="str">
        <f t="shared" si="440"/>
        <v/>
      </c>
      <c r="AQ361" s="47" t="s">
        <v>0</v>
      </c>
      <c r="AR361" s="82" t="str">
        <f t="shared" si="479"/>
        <v/>
      </c>
      <c r="AS361" s="47" t="s">
        <v>0</v>
      </c>
      <c r="AT361" s="19" t="str">
        <f t="shared" si="480"/>
        <v/>
      </c>
      <c r="AU361" s="47" t="s">
        <v>0</v>
      </c>
      <c r="AV361" s="103"/>
      <c r="AW361" s="105"/>
      <c r="AX361" s="47" t="s">
        <v>0</v>
      </c>
      <c r="AY361" s="259" t="str">
        <f t="shared" si="503"/>
        <v/>
      </c>
      <c r="AZ361" s="47" t="s">
        <v>0</v>
      </c>
      <c r="BA361" s="52" t="str">
        <f t="shared" si="433"/>
        <v/>
      </c>
      <c r="BB361" s="73" t="str">
        <f>IF(AV361&amp;AW361="","",MAX(BB$12:BB360)+1)</f>
        <v/>
      </c>
      <c r="BC361" s="272" t="str">
        <f t="shared" si="441"/>
        <v/>
      </c>
      <c r="BD361" s="53" t="str">
        <f>IF(AND(AM361="NEMA",AN361="NEMA",OR(AV361&amp;AW361="",BC361="NEMA")),MAX(BD$12:BD360)+1,"")</f>
        <v/>
      </c>
      <c r="BE361" s="47" t="s">
        <v>0</v>
      </c>
      <c r="BF361" s="52" t="str">
        <f t="shared" si="481"/>
        <v/>
      </c>
      <c r="BG361" s="66" t="str">
        <f t="shared" si="482"/>
        <v/>
      </c>
      <c r="BH361" s="47" t="s">
        <v>0</v>
      </c>
      <c r="BI361" s="52" t="str">
        <f t="shared" si="442"/>
        <v/>
      </c>
      <c r="BJ361" s="31" t="str">
        <f t="shared" si="443"/>
        <v/>
      </c>
      <c r="BK361" s="73" t="str">
        <f t="shared" si="444"/>
        <v/>
      </c>
      <c r="BL361" s="31" t="str" cm="1">
        <f t="array" ref="BL361">IF(BK361="",""&amp;BJ361,IF(BK361="NEMA",BJ361,INDEX(regKlub_naziv,MATCH(INDEX(regKlub_alias_klubId,BK361),regKlub_id,0))))</f>
        <v/>
      </c>
      <c r="BM361" s="31" t="str" cm="1">
        <f t="array" ref="BM361">IFERROR(""&amp;INDEX(regNatjecatelj_klub,DV361),"")</f>
        <v/>
      </c>
      <c r="BN361" s="88" t="str">
        <f t="shared" si="483"/>
        <v/>
      </c>
      <c r="BO361" s="66" t="str">
        <f t="shared" si="484"/>
        <v/>
      </c>
      <c r="BP361" s="47" t="s">
        <v>0</v>
      </c>
      <c r="BQ361" s="52" t="str">
        <f>IF(X361&lt;&gt;"NEMA","",IF(IFERROR(MATCH(W361,W$12:W360,0),0)&lt;&gt;0,"",W361))</f>
        <v/>
      </c>
      <c r="BR361" s="73" t="str">
        <f t="shared" si="485"/>
        <v/>
      </c>
      <c r="BS361" s="31" t="str">
        <f>IF(OR(BR361="",BR361&lt;&gt;"NEMA"),"",MAX(BS$12:BS360)+1)</f>
        <v/>
      </c>
      <c r="BT361" s="66" t="str">
        <f t="shared" si="486"/>
        <v/>
      </c>
      <c r="BU361" s="47" t="s">
        <v>0</v>
      </c>
      <c r="BV361" s="19" t="str">
        <f t="shared" si="487"/>
        <v/>
      </c>
      <c r="BW361" s="47" t="s">
        <v>0</v>
      </c>
      <c r="BX361" s="82" t="str">
        <f>IF(BK361&lt;&gt;"NEMA","",IF(IFERROR(MATCH(BJ361,BJ$12:BJ360,0),0)&lt;&gt;0,"",BJ361))</f>
        <v/>
      </c>
      <c r="BY361" s="47" t="s">
        <v>0</v>
      </c>
      <c r="BZ361" s="125"/>
      <c r="CA361" s="47" t="s">
        <v>0</v>
      </c>
      <c r="CB361" s="58" t="str">
        <f t="shared" si="488"/>
        <v/>
      </c>
      <c r="CC361" s="31" t="str">
        <f t="shared" si="489"/>
        <v/>
      </c>
      <c r="CD361" s="31" t="str">
        <f>IF(CC361="","",MAX(CD$12:CD360)+1)</f>
        <v/>
      </c>
      <c r="CE361" s="31" t="str">
        <f t="shared" si="445"/>
        <v/>
      </c>
      <c r="CF361" s="31" t="str">
        <f t="shared" si="490"/>
        <v/>
      </c>
      <c r="CG361" s="31" t="str">
        <f>IF(BZ361="","",MAX(CG$12:CG360)+1)</f>
        <v/>
      </c>
      <c r="CH361" s="31" t="str">
        <f t="shared" si="491"/>
        <v/>
      </c>
      <c r="CI361" s="66" t="str">
        <f t="shared" si="492"/>
        <v/>
      </c>
      <c r="CJ361" s="47" t="s">
        <v>0</v>
      </c>
      <c r="CK361" s="73" t="str">
        <f t="shared" si="446"/>
        <v/>
      </c>
      <c r="CL361" s="47"/>
      <c r="CM361" s="19" t="str">
        <f t="shared" si="493"/>
        <v/>
      </c>
      <c r="CN361" s="47" t="s">
        <v>0</v>
      </c>
      <c r="CO361" s="143" t="str">
        <f t="shared" si="494"/>
        <v/>
      </c>
      <c r="CP361" s="47" t="s">
        <v>0</v>
      </c>
      <c r="CQ361" s="58" t="str">
        <f t="shared" si="510"/>
        <v/>
      </c>
      <c r="CR361" s="73" t="str">
        <f t="shared" si="511"/>
        <v/>
      </c>
      <c r="CS361" s="229" t="str">
        <f t="shared" si="447"/>
        <v/>
      </c>
      <c r="CT361" s="230" t="str">
        <f t="shared" si="432"/>
        <v/>
      </c>
      <c r="CU361" s="163" t="str">
        <f t="shared" si="448"/>
        <v/>
      </c>
      <c r="CV361" s="47" t="s">
        <v>0</v>
      </c>
      <c r="CW361" s="222" t="str">
        <f t="shared" si="495"/>
        <v xml:space="preserve">
</v>
      </c>
      <c r="CX361" s="223" t="str">
        <f t="shared" si="496"/>
        <v/>
      </c>
      <c r="CY361" s="47" t="s">
        <v>0</v>
      </c>
      <c r="CZ361" s="47"/>
      <c r="DA361" s="47"/>
      <c r="DB361" s="47"/>
      <c r="DC361" s="47" t="s">
        <v>0</v>
      </c>
      <c r="DD361" s="53" t="str">
        <f t="shared" si="504"/>
        <v/>
      </c>
      <c r="DE361" t="s">
        <v>0</v>
      </c>
      <c r="DF361" s="128" t="str">
        <f t="shared" si="505"/>
        <v/>
      </c>
      <c r="DG361" t="s">
        <v>0</v>
      </c>
      <c r="DH361" s="52" t="str">
        <f t="shared" si="506"/>
        <v/>
      </c>
      <c r="DI361" s="66" t="str">
        <f t="shared" si="507"/>
        <v/>
      </c>
      <c r="DJ361" t="s">
        <v>0</v>
      </c>
      <c r="DK361" s="19" t="str">
        <f t="shared" si="508"/>
        <v/>
      </c>
      <c r="DL361" s="47" t="s">
        <v>0</v>
      </c>
      <c r="DM361" s="19" t="str">
        <f t="shared" si="509"/>
        <v/>
      </c>
      <c r="DN361" s="47" t="s">
        <v>0</v>
      </c>
      <c r="DO361" s="52" t="str">
        <f t="shared" si="449"/>
        <v/>
      </c>
      <c r="DP361" s="53" t="str">
        <f t="shared" si="450"/>
        <v/>
      </c>
      <c r="DQ361" s="47" t="s">
        <v>0</v>
      </c>
      <c r="DR361" s="52" t="str">
        <f t="shared" si="451"/>
        <v/>
      </c>
      <c r="DS361" s="53" t="str">
        <f t="shared" si="452"/>
        <v/>
      </c>
      <c r="DT361" s="47" t="s">
        <v>0</v>
      </c>
      <c r="DU361" s="52" t="str">
        <f t="shared" si="453"/>
        <v/>
      </c>
      <c r="DV361" s="53" t="str">
        <f t="shared" si="454"/>
        <v/>
      </c>
      <c r="DW361" s="47" t="s">
        <v>0</v>
      </c>
      <c r="DX361" s="58" t="str">
        <f t="shared" si="497"/>
        <v/>
      </c>
      <c r="DY361" s="53" t="str" cm="1">
        <f t="array" ref="DY361">IF(DX361&lt;&gt;"",INDEX(regNatjecatelj_id,DX361,0),IF(BD361&lt;&gt;"",BD361,""))</f>
        <v/>
      </c>
      <c r="DZ361" s="47" t="s">
        <v>0</v>
      </c>
      <c r="EA361" s="58" t="str">
        <f t="shared" si="455"/>
        <v/>
      </c>
      <c r="EB361" s="73" t="str">
        <f t="shared" si="456"/>
        <v/>
      </c>
      <c r="EC361" s="73" t="str">
        <f t="shared" si="457"/>
        <v/>
      </c>
      <c r="ED361" s="73" t="str">
        <f t="shared" si="458"/>
        <v/>
      </c>
      <c r="EE361" s="66" t="str">
        <f t="shared" si="459"/>
        <v/>
      </c>
      <c r="EF361" s="47" t="s">
        <v>0</v>
      </c>
      <c r="EG361" s="58" t="str">
        <f>IF(AL361="","",MAX(EG$12:EG360)+1)</f>
        <v/>
      </c>
      <c r="EH361" s="73" t="str">
        <f t="shared" si="460"/>
        <v/>
      </c>
      <c r="EI361" s="73" t="str">
        <f t="shared" si="498"/>
        <v/>
      </c>
      <c r="EJ361" s="73" t="str">
        <f t="shared" si="461"/>
        <v/>
      </c>
      <c r="EK361" s="73" t="str">
        <f t="shared" si="462"/>
        <v/>
      </c>
      <c r="EL361" s="73" t="str">
        <f t="shared" si="499"/>
        <v/>
      </c>
      <c r="EM361" s="73" t="str">
        <f t="shared" si="500"/>
        <v/>
      </c>
      <c r="EN361" s="73" t="str">
        <f t="shared" si="463"/>
        <v/>
      </c>
      <c r="EO361" s="73" t="str">
        <f t="shared" si="464"/>
        <v/>
      </c>
      <c r="EP361" s="73" t="str">
        <f t="shared" si="465"/>
        <v/>
      </c>
      <c r="EQ361" s="53" t="str">
        <f t="shared" si="466"/>
        <v/>
      </c>
      <c r="ER361" s="47" t="s">
        <v>0</v>
      </c>
      <c r="ES361" s="19" t="str">
        <f t="shared" si="501"/>
        <v/>
      </c>
      <c r="ET361" s="47" t="s">
        <v>0</v>
      </c>
      <c r="EU361" s="19" t="str">
        <f t="shared" si="502"/>
        <v/>
      </c>
      <c r="EV361" s="47" t="s">
        <v>0</v>
      </c>
      <c r="EW361" s="180" t="str">
        <f t="shared" si="467"/>
        <v/>
      </c>
      <c r="EX361" s="47" t="s">
        <v>0</v>
      </c>
    </row>
    <row r="362" spans="1:154" x14ac:dyDescent="0.25">
      <c r="A362" t="s">
        <v>0</v>
      </c>
      <c r="B362" s="52" t="str">
        <f>IF(csv!F352="","",csv!T352)</f>
        <v/>
      </c>
      <c r="C362" s="31" t="s">
        <v>0</v>
      </c>
      <c r="D362" s="31" t="str">
        <f>IF(csv!F352="","",csv!F352)</f>
        <v/>
      </c>
      <c r="E362" s="31" t="str">
        <f>IF(csv!E352="","",csv!E352)</f>
        <v/>
      </c>
      <c r="F362" s="31" t="s">
        <v>0</v>
      </c>
      <c r="G362" s="73" t="str">
        <f>IF(csv!M352="","",csv!M352)</f>
        <v/>
      </c>
      <c r="H362" s="73" t="str">
        <f>IF(csv!N352="","",csv!N352)</f>
        <v/>
      </c>
      <c r="I362" s="31" t="s">
        <v>0</v>
      </c>
      <c r="J362" s="31" t="str">
        <f>IF(csv!P352="","",csv!P352)</f>
        <v/>
      </c>
      <c r="K362" s="31" t="str">
        <f>IF(csv!Q352="","",csv!Q352)</f>
        <v/>
      </c>
      <c r="L362" s="31" t="s">
        <v>0</v>
      </c>
      <c r="M362" s="66" t="str">
        <f>IF(csv!R352="","",csv!R352)</f>
        <v/>
      </c>
      <c r="N362" s="47" t="s">
        <v>0</v>
      </c>
      <c r="O362" s="246" t="str">
        <f t="shared" si="468"/>
        <v/>
      </c>
      <c r="P362" s="47"/>
      <c r="Q362" s="52" t="str">
        <f t="shared" si="469"/>
        <v/>
      </c>
      <c r="R362" s="73" t="str">
        <f>IF(Q362="","",IF(COUNTIF(Q$12:Q361,Q362)=0,R361+1,R361))</f>
        <v/>
      </c>
      <c r="S362" s="73" t="str">
        <f t="shared" si="470"/>
        <v/>
      </c>
      <c r="T362" s="73" t="str">
        <f t="shared" si="434"/>
        <v/>
      </c>
      <c r="U362" s="66" t="str">
        <f t="shared" si="435"/>
        <v/>
      </c>
      <c r="V362" s="47" t="s">
        <v>0</v>
      </c>
      <c r="W362" s="222" t="str">
        <f t="shared" si="436"/>
        <v/>
      </c>
      <c r="X362" s="223" t="str">
        <f t="shared" si="437"/>
        <v/>
      </c>
      <c r="Y362" s="47" t="s">
        <v>0</v>
      </c>
      <c r="Z362" s="52" t="str">
        <f t="shared" si="471"/>
        <v/>
      </c>
      <c r="AA362" s="73" t="str">
        <f t="shared" si="438"/>
        <v/>
      </c>
      <c r="AB362" s="31" t="str">
        <f t="shared" si="472"/>
        <v/>
      </c>
      <c r="AC362" s="66" t="str">
        <f>IF(AB362="","",MAX(AC$12:AC361)+1)</f>
        <v/>
      </c>
      <c r="AD362" s="47" t="s">
        <v>0</v>
      </c>
      <c r="AE362" s="125"/>
      <c r="AF362" s="47" t="s">
        <v>0</v>
      </c>
      <c r="AG362" s="19" t="str">
        <f t="shared" si="473"/>
        <v/>
      </c>
      <c r="AH362" s="47" t="s">
        <v>0</v>
      </c>
      <c r="AI362" s="143" t="str">
        <f t="shared" si="474"/>
        <v/>
      </c>
      <c r="AJ362" s="47"/>
      <c r="AK362" s="52" t="str">
        <f t="shared" si="475"/>
        <v/>
      </c>
      <c r="AL362" s="31" t="str">
        <f t="shared" si="476"/>
        <v/>
      </c>
      <c r="AM362" s="73" t="str">
        <f t="shared" si="477"/>
        <v/>
      </c>
      <c r="AN362" s="73" t="str">
        <f t="shared" si="478"/>
        <v/>
      </c>
      <c r="AO362" s="31" t="str">
        <f t="shared" si="439"/>
        <v/>
      </c>
      <c r="AP362" s="66" t="str">
        <f t="shared" si="440"/>
        <v/>
      </c>
      <c r="AQ362" s="47" t="s">
        <v>0</v>
      </c>
      <c r="AR362" s="82" t="str">
        <f t="shared" si="479"/>
        <v/>
      </c>
      <c r="AS362" s="47" t="s">
        <v>0</v>
      </c>
      <c r="AT362" s="19" t="str">
        <f t="shared" si="480"/>
        <v/>
      </c>
      <c r="AU362" s="47" t="s">
        <v>0</v>
      </c>
      <c r="AV362" s="103"/>
      <c r="AW362" s="105"/>
      <c r="AX362" s="47" t="s">
        <v>0</v>
      </c>
      <c r="AY362" s="259" t="str">
        <f t="shared" si="503"/>
        <v/>
      </c>
      <c r="AZ362" s="47" t="s">
        <v>0</v>
      </c>
      <c r="BA362" s="52" t="str">
        <f t="shared" si="433"/>
        <v/>
      </c>
      <c r="BB362" s="73" t="str">
        <f>IF(AV362&amp;AW362="","",MAX(BB$12:BB361)+1)</f>
        <v/>
      </c>
      <c r="BC362" s="272" t="str">
        <f t="shared" si="441"/>
        <v/>
      </c>
      <c r="BD362" s="53" t="str">
        <f>IF(AND(AM362="NEMA",AN362="NEMA",OR(AV362&amp;AW362="",BC362="NEMA")),MAX(BD$12:BD361)+1,"")</f>
        <v/>
      </c>
      <c r="BE362" s="47" t="s">
        <v>0</v>
      </c>
      <c r="BF362" s="52" t="str">
        <f t="shared" si="481"/>
        <v/>
      </c>
      <c r="BG362" s="66" t="str">
        <f t="shared" si="482"/>
        <v/>
      </c>
      <c r="BH362" s="47" t="s">
        <v>0</v>
      </c>
      <c r="BI362" s="52" t="str">
        <f t="shared" si="442"/>
        <v/>
      </c>
      <c r="BJ362" s="31" t="str">
        <f t="shared" si="443"/>
        <v/>
      </c>
      <c r="BK362" s="73" t="str">
        <f t="shared" si="444"/>
        <v/>
      </c>
      <c r="BL362" s="31" t="str" cm="1">
        <f t="array" ref="BL362">IF(BK362="",""&amp;BJ362,IF(BK362="NEMA",BJ362,INDEX(regKlub_naziv,MATCH(INDEX(regKlub_alias_klubId,BK362),regKlub_id,0))))</f>
        <v/>
      </c>
      <c r="BM362" s="31" t="str" cm="1">
        <f t="array" ref="BM362">IFERROR(""&amp;INDEX(regNatjecatelj_klub,DV362),"")</f>
        <v/>
      </c>
      <c r="BN362" s="88" t="str">
        <f t="shared" si="483"/>
        <v/>
      </c>
      <c r="BO362" s="66" t="str">
        <f t="shared" si="484"/>
        <v/>
      </c>
      <c r="BP362" s="47" t="s">
        <v>0</v>
      </c>
      <c r="BQ362" s="52" t="str">
        <f>IF(X362&lt;&gt;"NEMA","",IF(IFERROR(MATCH(W362,W$12:W361,0),0)&lt;&gt;0,"",W362))</f>
        <v/>
      </c>
      <c r="BR362" s="73" t="str">
        <f t="shared" si="485"/>
        <v/>
      </c>
      <c r="BS362" s="31" t="str">
        <f>IF(OR(BR362="",BR362&lt;&gt;"NEMA"),"",MAX(BS$12:BS361)+1)</f>
        <v/>
      </c>
      <c r="BT362" s="66" t="str">
        <f t="shared" si="486"/>
        <v/>
      </c>
      <c r="BU362" s="47" t="s">
        <v>0</v>
      </c>
      <c r="BV362" s="19" t="str">
        <f t="shared" si="487"/>
        <v/>
      </c>
      <c r="BW362" s="47" t="s">
        <v>0</v>
      </c>
      <c r="BX362" s="82" t="str">
        <f>IF(BK362&lt;&gt;"NEMA","",IF(IFERROR(MATCH(BJ362,BJ$12:BJ361,0),0)&lt;&gt;0,"",BJ362))</f>
        <v/>
      </c>
      <c r="BY362" s="47" t="s">
        <v>0</v>
      </c>
      <c r="BZ362" s="125"/>
      <c r="CA362" s="47" t="s">
        <v>0</v>
      </c>
      <c r="CB362" s="58" t="str">
        <f t="shared" si="488"/>
        <v/>
      </c>
      <c r="CC362" s="31" t="str">
        <f t="shared" si="489"/>
        <v/>
      </c>
      <c r="CD362" s="31" t="str">
        <f>IF(CC362="","",MAX(CD$12:CD361)+1)</f>
        <v/>
      </c>
      <c r="CE362" s="31" t="str">
        <f t="shared" si="445"/>
        <v/>
      </c>
      <c r="CF362" s="31" t="str">
        <f t="shared" si="490"/>
        <v/>
      </c>
      <c r="CG362" s="31" t="str">
        <f>IF(BZ362="","",MAX(CG$12:CG361)+1)</f>
        <v/>
      </c>
      <c r="CH362" s="31" t="str">
        <f t="shared" si="491"/>
        <v/>
      </c>
      <c r="CI362" s="66" t="str">
        <f t="shared" si="492"/>
        <v/>
      </c>
      <c r="CJ362" s="47" t="s">
        <v>0</v>
      </c>
      <c r="CK362" s="73" t="str">
        <f t="shared" si="446"/>
        <v/>
      </c>
      <c r="CL362" s="47"/>
      <c r="CM362" s="19" t="str">
        <f t="shared" si="493"/>
        <v/>
      </c>
      <c r="CN362" s="47" t="s">
        <v>0</v>
      </c>
      <c r="CO362" s="143" t="str">
        <f t="shared" si="494"/>
        <v/>
      </c>
      <c r="CP362" s="47" t="s">
        <v>0</v>
      </c>
      <c r="CQ362" s="58" t="str">
        <f t="shared" si="510"/>
        <v/>
      </c>
      <c r="CR362" s="73" t="str">
        <f t="shared" si="511"/>
        <v/>
      </c>
      <c r="CS362" s="229" t="str">
        <f t="shared" si="447"/>
        <v/>
      </c>
      <c r="CT362" s="230" t="str">
        <f t="shared" si="432"/>
        <v/>
      </c>
      <c r="CU362" s="163" t="str">
        <f t="shared" si="448"/>
        <v/>
      </c>
      <c r="CV362" s="47" t="s">
        <v>0</v>
      </c>
      <c r="CW362" s="222" t="str">
        <f t="shared" si="495"/>
        <v xml:space="preserve">
</v>
      </c>
      <c r="CX362" s="223" t="str">
        <f t="shared" si="496"/>
        <v/>
      </c>
      <c r="CY362" s="47" t="s">
        <v>0</v>
      </c>
      <c r="CZ362" s="47"/>
      <c r="DA362" s="47"/>
      <c r="DB362" s="47"/>
      <c r="DC362" s="47" t="s">
        <v>0</v>
      </c>
      <c r="DD362" s="53" t="str">
        <f t="shared" si="504"/>
        <v/>
      </c>
      <c r="DE362" t="s">
        <v>0</v>
      </c>
      <c r="DF362" s="128" t="str">
        <f t="shared" si="505"/>
        <v/>
      </c>
      <c r="DG362" t="s">
        <v>0</v>
      </c>
      <c r="DH362" s="52" t="str">
        <f t="shared" si="506"/>
        <v/>
      </c>
      <c r="DI362" s="66" t="str">
        <f t="shared" si="507"/>
        <v/>
      </c>
      <c r="DJ362" t="s">
        <v>0</v>
      </c>
      <c r="DK362" s="19" t="str">
        <f t="shared" si="508"/>
        <v/>
      </c>
      <c r="DL362" s="47" t="s">
        <v>0</v>
      </c>
      <c r="DM362" s="19" t="str">
        <f t="shared" si="509"/>
        <v/>
      </c>
      <c r="DN362" s="47" t="s">
        <v>0</v>
      </c>
      <c r="DO362" s="52" t="str">
        <f t="shared" si="449"/>
        <v/>
      </c>
      <c r="DP362" s="53" t="str">
        <f t="shared" si="450"/>
        <v/>
      </c>
      <c r="DQ362" s="47" t="s">
        <v>0</v>
      </c>
      <c r="DR362" s="52" t="str">
        <f t="shared" si="451"/>
        <v/>
      </c>
      <c r="DS362" s="53" t="str">
        <f t="shared" si="452"/>
        <v/>
      </c>
      <c r="DT362" s="47" t="s">
        <v>0</v>
      </c>
      <c r="DU362" s="52" t="str">
        <f t="shared" si="453"/>
        <v/>
      </c>
      <c r="DV362" s="53" t="str">
        <f t="shared" si="454"/>
        <v/>
      </c>
      <c r="DW362" s="47" t="s">
        <v>0</v>
      </c>
      <c r="DX362" s="58" t="str">
        <f t="shared" si="497"/>
        <v/>
      </c>
      <c r="DY362" s="53" t="str" cm="1">
        <f t="array" ref="DY362">IF(DX362&lt;&gt;"",INDEX(regNatjecatelj_id,DX362,0),IF(BD362&lt;&gt;"",BD362,""))</f>
        <v/>
      </c>
      <c r="DZ362" s="47" t="s">
        <v>0</v>
      </c>
      <c r="EA362" s="58" t="str">
        <f t="shared" si="455"/>
        <v/>
      </c>
      <c r="EB362" s="73" t="str">
        <f t="shared" si="456"/>
        <v/>
      </c>
      <c r="EC362" s="73" t="str">
        <f t="shared" si="457"/>
        <v/>
      </c>
      <c r="ED362" s="73" t="str">
        <f t="shared" si="458"/>
        <v/>
      </c>
      <c r="EE362" s="66" t="str">
        <f t="shared" si="459"/>
        <v/>
      </c>
      <c r="EF362" s="47" t="s">
        <v>0</v>
      </c>
      <c r="EG362" s="58" t="str">
        <f>IF(AL362="","",MAX(EG$12:EG361)+1)</f>
        <v/>
      </c>
      <c r="EH362" s="73" t="str">
        <f t="shared" si="460"/>
        <v/>
      </c>
      <c r="EI362" s="73" t="str">
        <f t="shared" si="498"/>
        <v/>
      </c>
      <c r="EJ362" s="73" t="str">
        <f t="shared" si="461"/>
        <v/>
      </c>
      <c r="EK362" s="73" t="str">
        <f t="shared" si="462"/>
        <v/>
      </c>
      <c r="EL362" s="73" t="str">
        <f t="shared" si="499"/>
        <v/>
      </c>
      <c r="EM362" s="73" t="str">
        <f t="shared" si="500"/>
        <v/>
      </c>
      <c r="EN362" s="73" t="str">
        <f t="shared" si="463"/>
        <v/>
      </c>
      <c r="EO362" s="73" t="str">
        <f t="shared" si="464"/>
        <v/>
      </c>
      <c r="EP362" s="73" t="str">
        <f t="shared" si="465"/>
        <v/>
      </c>
      <c r="EQ362" s="53" t="str">
        <f t="shared" si="466"/>
        <v/>
      </c>
      <c r="ER362" s="47" t="s">
        <v>0</v>
      </c>
      <c r="ES362" s="19" t="str">
        <f t="shared" si="501"/>
        <v/>
      </c>
      <c r="ET362" s="47" t="s">
        <v>0</v>
      </c>
      <c r="EU362" s="19" t="str">
        <f t="shared" si="502"/>
        <v/>
      </c>
      <c r="EV362" s="47" t="s">
        <v>0</v>
      </c>
      <c r="EW362" s="180" t="str">
        <f t="shared" si="467"/>
        <v/>
      </c>
      <c r="EX362" s="47" t="s">
        <v>0</v>
      </c>
    </row>
    <row r="363" spans="1:154" x14ac:dyDescent="0.25">
      <c r="A363" t="s">
        <v>0</v>
      </c>
      <c r="B363" s="52" t="str">
        <f>IF(csv!F353="","",csv!T353)</f>
        <v/>
      </c>
      <c r="C363" s="31" t="s">
        <v>0</v>
      </c>
      <c r="D363" s="31" t="str">
        <f>IF(csv!F353="","",csv!F353)</f>
        <v/>
      </c>
      <c r="E363" s="31" t="str">
        <f>IF(csv!E353="","",csv!E353)</f>
        <v/>
      </c>
      <c r="F363" s="31" t="s">
        <v>0</v>
      </c>
      <c r="G363" s="73" t="str">
        <f>IF(csv!M353="","",csv!M353)</f>
        <v/>
      </c>
      <c r="H363" s="73" t="str">
        <f>IF(csv!N353="","",csv!N353)</f>
        <v/>
      </c>
      <c r="I363" s="31" t="s">
        <v>0</v>
      </c>
      <c r="J363" s="31" t="str">
        <f>IF(csv!P353="","",csv!P353)</f>
        <v/>
      </c>
      <c r="K363" s="31" t="str">
        <f>IF(csv!Q353="","",csv!Q353)</f>
        <v/>
      </c>
      <c r="L363" s="31" t="s">
        <v>0</v>
      </c>
      <c r="M363" s="66" t="str">
        <f>IF(csv!R353="","",csv!R353)</f>
        <v/>
      </c>
      <c r="N363" s="47" t="s">
        <v>0</v>
      </c>
      <c r="O363" s="246" t="str">
        <f t="shared" si="468"/>
        <v/>
      </c>
      <c r="P363" s="47"/>
      <c r="Q363" s="52" t="str">
        <f t="shared" si="469"/>
        <v/>
      </c>
      <c r="R363" s="73" t="str">
        <f>IF(Q363="","",IF(COUNTIF(Q$12:Q362,Q363)=0,R362+1,R362))</f>
        <v/>
      </c>
      <c r="S363" s="73" t="str">
        <f t="shared" si="470"/>
        <v/>
      </c>
      <c r="T363" s="73" t="str">
        <f t="shared" si="434"/>
        <v/>
      </c>
      <c r="U363" s="66" t="str">
        <f t="shared" si="435"/>
        <v/>
      </c>
      <c r="V363" s="47" t="s">
        <v>0</v>
      </c>
      <c r="W363" s="222" t="str">
        <f t="shared" si="436"/>
        <v/>
      </c>
      <c r="X363" s="223" t="str">
        <f t="shared" si="437"/>
        <v/>
      </c>
      <c r="Y363" s="47" t="s">
        <v>0</v>
      </c>
      <c r="Z363" s="52" t="str">
        <f t="shared" si="471"/>
        <v/>
      </c>
      <c r="AA363" s="73" t="str">
        <f t="shared" si="438"/>
        <v/>
      </c>
      <c r="AB363" s="31" t="str">
        <f t="shared" si="472"/>
        <v/>
      </c>
      <c r="AC363" s="66" t="str">
        <f>IF(AB363="","",MAX(AC$12:AC362)+1)</f>
        <v/>
      </c>
      <c r="AD363" s="47" t="s">
        <v>0</v>
      </c>
      <c r="AE363" s="125"/>
      <c r="AF363" s="47" t="s">
        <v>0</v>
      </c>
      <c r="AG363" s="19" t="str">
        <f t="shared" si="473"/>
        <v/>
      </c>
      <c r="AH363" s="47" t="s">
        <v>0</v>
      </c>
      <c r="AI363" s="143" t="str">
        <f t="shared" si="474"/>
        <v/>
      </c>
      <c r="AJ363" s="47"/>
      <c r="AK363" s="52" t="str">
        <f t="shared" si="475"/>
        <v/>
      </c>
      <c r="AL363" s="31" t="str">
        <f t="shared" si="476"/>
        <v/>
      </c>
      <c r="AM363" s="73" t="str">
        <f t="shared" si="477"/>
        <v/>
      </c>
      <c r="AN363" s="73" t="str">
        <f t="shared" si="478"/>
        <v/>
      </c>
      <c r="AO363" s="31" t="str">
        <f t="shared" si="439"/>
        <v/>
      </c>
      <c r="AP363" s="66" t="str">
        <f t="shared" si="440"/>
        <v/>
      </c>
      <c r="AQ363" s="47" t="s">
        <v>0</v>
      </c>
      <c r="AR363" s="82" t="str">
        <f t="shared" si="479"/>
        <v/>
      </c>
      <c r="AS363" s="47" t="s">
        <v>0</v>
      </c>
      <c r="AT363" s="19" t="str">
        <f t="shared" si="480"/>
        <v/>
      </c>
      <c r="AU363" s="47" t="s">
        <v>0</v>
      </c>
      <c r="AV363" s="103"/>
      <c r="AW363" s="105"/>
      <c r="AX363" s="47" t="s">
        <v>0</v>
      </c>
      <c r="AY363" s="259" t="str">
        <f t="shared" si="503"/>
        <v/>
      </c>
      <c r="AZ363" s="47" t="s">
        <v>0</v>
      </c>
      <c r="BA363" s="52" t="str">
        <f t="shared" si="433"/>
        <v/>
      </c>
      <c r="BB363" s="73" t="str">
        <f>IF(AV363&amp;AW363="","",MAX(BB$12:BB362)+1)</f>
        <v/>
      </c>
      <c r="BC363" s="272" t="str">
        <f t="shared" si="441"/>
        <v/>
      </c>
      <c r="BD363" s="53" t="str">
        <f>IF(AND(AM363="NEMA",AN363="NEMA",OR(AV363&amp;AW363="",BC363="NEMA")),MAX(BD$12:BD362)+1,"")</f>
        <v/>
      </c>
      <c r="BE363" s="47" t="s">
        <v>0</v>
      </c>
      <c r="BF363" s="52" t="str">
        <f t="shared" si="481"/>
        <v/>
      </c>
      <c r="BG363" s="66" t="str">
        <f t="shared" si="482"/>
        <v/>
      </c>
      <c r="BH363" s="47" t="s">
        <v>0</v>
      </c>
      <c r="BI363" s="52" t="str">
        <f t="shared" si="442"/>
        <v/>
      </c>
      <c r="BJ363" s="31" t="str">
        <f t="shared" si="443"/>
        <v/>
      </c>
      <c r="BK363" s="73" t="str">
        <f t="shared" si="444"/>
        <v/>
      </c>
      <c r="BL363" s="31" t="str" cm="1">
        <f t="array" ref="BL363">IF(BK363="",""&amp;BJ363,IF(BK363="NEMA",BJ363,INDEX(regKlub_naziv,MATCH(INDEX(regKlub_alias_klubId,BK363),regKlub_id,0))))</f>
        <v/>
      </c>
      <c r="BM363" s="31" t="str" cm="1">
        <f t="array" ref="BM363">IFERROR(""&amp;INDEX(regNatjecatelj_klub,DV363),"")</f>
        <v/>
      </c>
      <c r="BN363" s="88" t="str">
        <f t="shared" si="483"/>
        <v/>
      </c>
      <c r="BO363" s="66" t="str">
        <f t="shared" si="484"/>
        <v/>
      </c>
      <c r="BP363" s="47" t="s">
        <v>0</v>
      </c>
      <c r="BQ363" s="52" t="str">
        <f>IF(X363&lt;&gt;"NEMA","",IF(IFERROR(MATCH(W363,W$12:W362,0),0)&lt;&gt;0,"",W363))</f>
        <v/>
      </c>
      <c r="BR363" s="73" t="str">
        <f t="shared" si="485"/>
        <v/>
      </c>
      <c r="BS363" s="31" t="str">
        <f>IF(OR(BR363="",BR363&lt;&gt;"NEMA"),"",MAX(BS$12:BS362)+1)</f>
        <v/>
      </c>
      <c r="BT363" s="66" t="str">
        <f t="shared" si="486"/>
        <v/>
      </c>
      <c r="BU363" s="47" t="s">
        <v>0</v>
      </c>
      <c r="BV363" s="19" t="str">
        <f t="shared" si="487"/>
        <v/>
      </c>
      <c r="BW363" s="47" t="s">
        <v>0</v>
      </c>
      <c r="BX363" s="82" t="str">
        <f>IF(BK363&lt;&gt;"NEMA","",IF(IFERROR(MATCH(BJ363,BJ$12:BJ362,0),0)&lt;&gt;0,"",BJ363))</f>
        <v/>
      </c>
      <c r="BY363" s="47" t="s">
        <v>0</v>
      </c>
      <c r="BZ363" s="125"/>
      <c r="CA363" s="47" t="s">
        <v>0</v>
      </c>
      <c r="CB363" s="58" t="str">
        <f t="shared" si="488"/>
        <v/>
      </c>
      <c r="CC363" s="31" t="str">
        <f t="shared" si="489"/>
        <v/>
      </c>
      <c r="CD363" s="31" t="str">
        <f>IF(CC363="","",MAX(CD$12:CD362)+1)</f>
        <v/>
      </c>
      <c r="CE363" s="31" t="str">
        <f t="shared" si="445"/>
        <v/>
      </c>
      <c r="CF363" s="31" t="str">
        <f t="shared" si="490"/>
        <v/>
      </c>
      <c r="CG363" s="31" t="str">
        <f>IF(BZ363="","",MAX(CG$12:CG362)+1)</f>
        <v/>
      </c>
      <c r="CH363" s="31" t="str">
        <f t="shared" si="491"/>
        <v/>
      </c>
      <c r="CI363" s="66" t="str">
        <f t="shared" si="492"/>
        <v/>
      </c>
      <c r="CJ363" s="47" t="s">
        <v>0</v>
      </c>
      <c r="CK363" s="73" t="str">
        <f t="shared" si="446"/>
        <v/>
      </c>
      <c r="CL363" s="47"/>
      <c r="CM363" s="19" t="str">
        <f t="shared" si="493"/>
        <v/>
      </c>
      <c r="CN363" s="47" t="s">
        <v>0</v>
      </c>
      <c r="CO363" s="143" t="str">
        <f t="shared" si="494"/>
        <v/>
      </c>
      <c r="CP363" s="47" t="s">
        <v>0</v>
      </c>
      <c r="CQ363" s="58" t="str">
        <f t="shared" si="510"/>
        <v/>
      </c>
      <c r="CR363" s="73" t="str">
        <f t="shared" si="511"/>
        <v/>
      </c>
      <c r="CS363" s="229" t="str">
        <f t="shared" si="447"/>
        <v/>
      </c>
      <c r="CT363" s="230" t="str">
        <f t="shared" si="432"/>
        <v/>
      </c>
      <c r="CU363" s="163" t="str">
        <f t="shared" si="448"/>
        <v/>
      </c>
      <c r="CV363" s="47" t="s">
        <v>0</v>
      </c>
      <c r="CW363" s="222" t="str">
        <f t="shared" si="495"/>
        <v xml:space="preserve">
</v>
      </c>
      <c r="CX363" s="223" t="str">
        <f t="shared" si="496"/>
        <v/>
      </c>
      <c r="CY363" s="47" t="s">
        <v>0</v>
      </c>
      <c r="CZ363" s="47"/>
      <c r="DA363" s="47"/>
      <c r="DB363" s="47"/>
      <c r="DC363" s="47" t="s">
        <v>0</v>
      </c>
      <c r="DD363" s="53" t="str">
        <f t="shared" si="504"/>
        <v/>
      </c>
      <c r="DE363" t="s">
        <v>0</v>
      </c>
      <c r="DF363" s="128" t="str">
        <f t="shared" si="505"/>
        <v/>
      </c>
      <c r="DG363" t="s">
        <v>0</v>
      </c>
      <c r="DH363" s="52" t="str">
        <f t="shared" si="506"/>
        <v/>
      </c>
      <c r="DI363" s="66" t="str">
        <f t="shared" si="507"/>
        <v/>
      </c>
      <c r="DJ363" t="s">
        <v>0</v>
      </c>
      <c r="DK363" s="19" t="str">
        <f t="shared" si="508"/>
        <v/>
      </c>
      <c r="DL363" s="47" t="s">
        <v>0</v>
      </c>
      <c r="DM363" s="19" t="str">
        <f t="shared" si="509"/>
        <v/>
      </c>
      <c r="DN363" s="47" t="s">
        <v>0</v>
      </c>
      <c r="DO363" s="52" t="str">
        <f t="shared" si="449"/>
        <v/>
      </c>
      <c r="DP363" s="53" t="str">
        <f t="shared" si="450"/>
        <v/>
      </c>
      <c r="DQ363" s="47" t="s">
        <v>0</v>
      </c>
      <c r="DR363" s="52" t="str">
        <f t="shared" si="451"/>
        <v/>
      </c>
      <c r="DS363" s="53" t="str">
        <f t="shared" si="452"/>
        <v/>
      </c>
      <c r="DT363" s="47" t="s">
        <v>0</v>
      </c>
      <c r="DU363" s="52" t="str">
        <f t="shared" si="453"/>
        <v/>
      </c>
      <c r="DV363" s="53" t="str">
        <f t="shared" si="454"/>
        <v/>
      </c>
      <c r="DW363" s="47" t="s">
        <v>0</v>
      </c>
      <c r="DX363" s="58" t="str">
        <f t="shared" si="497"/>
        <v/>
      </c>
      <c r="DY363" s="53" t="str" cm="1">
        <f t="array" ref="DY363">IF(DX363&lt;&gt;"",INDEX(regNatjecatelj_id,DX363,0),IF(BD363&lt;&gt;"",BD363,""))</f>
        <v/>
      </c>
      <c r="DZ363" s="47" t="s">
        <v>0</v>
      </c>
      <c r="EA363" s="58" t="str">
        <f t="shared" si="455"/>
        <v/>
      </c>
      <c r="EB363" s="73" t="str">
        <f t="shared" si="456"/>
        <v/>
      </c>
      <c r="EC363" s="73" t="str">
        <f t="shared" si="457"/>
        <v/>
      </c>
      <c r="ED363" s="73" t="str">
        <f t="shared" si="458"/>
        <v/>
      </c>
      <c r="EE363" s="66" t="str">
        <f t="shared" si="459"/>
        <v/>
      </c>
      <c r="EF363" s="47" t="s">
        <v>0</v>
      </c>
      <c r="EG363" s="58" t="str">
        <f>IF(AL363="","",MAX(EG$12:EG362)+1)</f>
        <v/>
      </c>
      <c r="EH363" s="73" t="str">
        <f t="shared" si="460"/>
        <v/>
      </c>
      <c r="EI363" s="73" t="str">
        <f t="shared" si="498"/>
        <v/>
      </c>
      <c r="EJ363" s="73" t="str">
        <f t="shared" si="461"/>
        <v/>
      </c>
      <c r="EK363" s="73" t="str">
        <f t="shared" si="462"/>
        <v/>
      </c>
      <c r="EL363" s="73" t="str">
        <f t="shared" si="499"/>
        <v/>
      </c>
      <c r="EM363" s="73" t="str">
        <f t="shared" si="500"/>
        <v/>
      </c>
      <c r="EN363" s="73" t="str">
        <f t="shared" si="463"/>
        <v/>
      </c>
      <c r="EO363" s="73" t="str">
        <f t="shared" si="464"/>
        <v/>
      </c>
      <c r="EP363" s="73" t="str">
        <f t="shared" si="465"/>
        <v/>
      </c>
      <c r="EQ363" s="53" t="str">
        <f t="shared" si="466"/>
        <v/>
      </c>
      <c r="ER363" s="47" t="s">
        <v>0</v>
      </c>
      <c r="ES363" s="19" t="str">
        <f t="shared" si="501"/>
        <v/>
      </c>
      <c r="ET363" s="47" t="s">
        <v>0</v>
      </c>
      <c r="EU363" s="19" t="str">
        <f t="shared" si="502"/>
        <v/>
      </c>
      <c r="EV363" s="47" t="s">
        <v>0</v>
      </c>
      <c r="EW363" s="180" t="str">
        <f t="shared" si="467"/>
        <v/>
      </c>
      <c r="EX363" s="47" t="s">
        <v>0</v>
      </c>
    </row>
    <row r="364" spans="1:154" x14ac:dyDescent="0.25">
      <c r="A364" t="s">
        <v>0</v>
      </c>
      <c r="B364" s="52" t="str">
        <f>IF(csv!F354="","",csv!T354)</f>
        <v/>
      </c>
      <c r="C364" s="31" t="s">
        <v>0</v>
      </c>
      <c r="D364" s="31" t="str">
        <f>IF(csv!F354="","",csv!F354)</f>
        <v/>
      </c>
      <c r="E364" s="31" t="str">
        <f>IF(csv!E354="","",csv!E354)</f>
        <v/>
      </c>
      <c r="F364" s="31" t="s">
        <v>0</v>
      </c>
      <c r="G364" s="73" t="str">
        <f>IF(csv!M354="","",csv!M354)</f>
        <v/>
      </c>
      <c r="H364" s="73" t="str">
        <f>IF(csv!N354="","",csv!N354)</f>
        <v/>
      </c>
      <c r="I364" s="31" t="s">
        <v>0</v>
      </c>
      <c r="J364" s="31" t="str">
        <f>IF(csv!P354="","",csv!P354)</f>
        <v/>
      </c>
      <c r="K364" s="31" t="str">
        <f>IF(csv!Q354="","",csv!Q354)</f>
        <v/>
      </c>
      <c r="L364" s="31" t="s">
        <v>0</v>
      </c>
      <c r="M364" s="66" t="str">
        <f>IF(csv!R354="","",csv!R354)</f>
        <v/>
      </c>
      <c r="N364" s="47" t="s">
        <v>0</v>
      </c>
      <c r="O364" s="246" t="str">
        <f t="shared" si="468"/>
        <v/>
      </c>
      <c r="P364" s="47"/>
      <c r="Q364" s="52" t="str">
        <f t="shared" si="469"/>
        <v/>
      </c>
      <c r="R364" s="73" t="str">
        <f>IF(Q364="","",IF(COUNTIF(Q$12:Q363,Q364)=0,R363+1,R363))</f>
        <v/>
      </c>
      <c r="S364" s="73" t="str">
        <f t="shared" si="470"/>
        <v/>
      </c>
      <c r="T364" s="73" t="str">
        <f t="shared" si="434"/>
        <v/>
      </c>
      <c r="U364" s="66" t="str">
        <f t="shared" si="435"/>
        <v/>
      </c>
      <c r="V364" s="47" t="s">
        <v>0</v>
      </c>
      <c r="W364" s="222" t="str">
        <f t="shared" si="436"/>
        <v/>
      </c>
      <c r="X364" s="223" t="str">
        <f t="shared" si="437"/>
        <v/>
      </c>
      <c r="Y364" s="47" t="s">
        <v>0</v>
      </c>
      <c r="Z364" s="52" t="str">
        <f t="shared" si="471"/>
        <v/>
      </c>
      <c r="AA364" s="73" t="str">
        <f t="shared" si="438"/>
        <v/>
      </c>
      <c r="AB364" s="31" t="str">
        <f t="shared" si="472"/>
        <v/>
      </c>
      <c r="AC364" s="66" t="str">
        <f>IF(AB364="","",MAX(AC$12:AC363)+1)</f>
        <v/>
      </c>
      <c r="AD364" s="47" t="s">
        <v>0</v>
      </c>
      <c r="AE364" s="125"/>
      <c r="AF364" s="47" t="s">
        <v>0</v>
      </c>
      <c r="AG364" s="19" t="str">
        <f t="shared" si="473"/>
        <v/>
      </c>
      <c r="AH364" s="47" t="s">
        <v>0</v>
      </c>
      <c r="AI364" s="143" t="str">
        <f t="shared" si="474"/>
        <v/>
      </c>
      <c r="AJ364" s="47"/>
      <c r="AK364" s="52" t="str">
        <f t="shared" si="475"/>
        <v/>
      </c>
      <c r="AL364" s="31" t="str">
        <f t="shared" si="476"/>
        <v/>
      </c>
      <c r="AM364" s="73" t="str">
        <f t="shared" si="477"/>
        <v/>
      </c>
      <c r="AN364" s="73" t="str">
        <f t="shared" si="478"/>
        <v/>
      </c>
      <c r="AO364" s="31" t="str">
        <f t="shared" si="439"/>
        <v/>
      </c>
      <c r="AP364" s="66" t="str">
        <f t="shared" si="440"/>
        <v/>
      </c>
      <c r="AQ364" s="47" t="s">
        <v>0</v>
      </c>
      <c r="AR364" s="82" t="str">
        <f t="shared" si="479"/>
        <v/>
      </c>
      <c r="AS364" s="47" t="s">
        <v>0</v>
      </c>
      <c r="AT364" s="19" t="str">
        <f t="shared" si="480"/>
        <v/>
      </c>
      <c r="AU364" s="47" t="s">
        <v>0</v>
      </c>
      <c r="AV364" s="103"/>
      <c r="AW364" s="105"/>
      <c r="AX364" s="47" t="s">
        <v>0</v>
      </c>
      <c r="AY364" s="259" t="str">
        <f t="shared" si="503"/>
        <v/>
      </c>
      <c r="AZ364" s="47" t="s">
        <v>0</v>
      </c>
      <c r="BA364" s="52" t="str">
        <f t="shared" si="433"/>
        <v/>
      </c>
      <c r="BB364" s="73" t="str">
        <f>IF(AV364&amp;AW364="","",MAX(BB$12:BB363)+1)</f>
        <v/>
      </c>
      <c r="BC364" s="272" t="str">
        <f t="shared" si="441"/>
        <v/>
      </c>
      <c r="BD364" s="53" t="str">
        <f>IF(AND(AM364="NEMA",AN364="NEMA",OR(AV364&amp;AW364="",BC364="NEMA")),MAX(BD$12:BD363)+1,"")</f>
        <v/>
      </c>
      <c r="BE364" s="47" t="s">
        <v>0</v>
      </c>
      <c r="BF364" s="52" t="str">
        <f t="shared" si="481"/>
        <v/>
      </c>
      <c r="BG364" s="66" t="str">
        <f t="shared" si="482"/>
        <v/>
      </c>
      <c r="BH364" s="47" t="s">
        <v>0</v>
      </c>
      <c r="BI364" s="52" t="str">
        <f t="shared" si="442"/>
        <v/>
      </c>
      <c r="BJ364" s="31" t="str">
        <f t="shared" si="443"/>
        <v/>
      </c>
      <c r="BK364" s="73" t="str">
        <f t="shared" si="444"/>
        <v/>
      </c>
      <c r="BL364" s="31" t="str" cm="1">
        <f t="array" ref="BL364">IF(BK364="",""&amp;BJ364,IF(BK364="NEMA",BJ364,INDEX(regKlub_naziv,MATCH(INDEX(regKlub_alias_klubId,BK364),regKlub_id,0))))</f>
        <v/>
      </c>
      <c r="BM364" s="31" t="str" cm="1">
        <f t="array" ref="BM364">IFERROR(""&amp;INDEX(regNatjecatelj_klub,DV364),"")</f>
        <v/>
      </c>
      <c r="BN364" s="88" t="str">
        <f t="shared" si="483"/>
        <v/>
      </c>
      <c r="BO364" s="66" t="str">
        <f t="shared" si="484"/>
        <v/>
      </c>
      <c r="BP364" s="47" t="s">
        <v>0</v>
      </c>
      <c r="BQ364" s="52" t="str">
        <f>IF(X364&lt;&gt;"NEMA","",IF(IFERROR(MATCH(W364,W$12:W363,0),0)&lt;&gt;0,"",W364))</f>
        <v/>
      </c>
      <c r="BR364" s="73" t="str">
        <f t="shared" si="485"/>
        <v/>
      </c>
      <c r="BS364" s="31" t="str">
        <f>IF(OR(BR364="",BR364&lt;&gt;"NEMA"),"",MAX(BS$12:BS363)+1)</f>
        <v/>
      </c>
      <c r="BT364" s="66" t="str">
        <f t="shared" si="486"/>
        <v/>
      </c>
      <c r="BU364" s="47" t="s">
        <v>0</v>
      </c>
      <c r="BV364" s="19" t="str">
        <f t="shared" si="487"/>
        <v/>
      </c>
      <c r="BW364" s="47" t="s">
        <v>0</v>
      </c>
      <c r="BX364" s="82" t="str">
        <f>IF(BK364&lt;&gt;"NEMA","",IF(IFERROR(MATCH(BJ364,BJ$12:BJ363,0),0)&lt;&gt;0,"",BJ364))</f>
        <v/>
      </c>
      <c r="BY364" s="47" t="s">
        <v>0</v>
      </c>
      <c r="BZ364" s="125"/>
      <c r="CA364" s="47" t="s">
        <v>0</v>
      </c>
      <c r="CB364" s="58" t="str">
        <f t="shared" si="488"/>
        <v/>
      </c>
      <c r="CC364" s="31" t="str">
        <f t="shared" si="489"/>
        <v/>
      </c>
      <c r="CD364" s="31" t="str">
        <f>IF(CC364="","",MAX(CD$12:CD363)+1)</f>
        <v/>
      </c>
      <c r="CE364" s="31" t="str">
        <f t="shared" si="445"/>
        <v/>
      </c>
      <c r="CF364" s="31" t="str">
        <f t="shared" si="490"/>
        <v/>
      </c>
      <c r="CG364" s="31" t="str">
        <f>IF(BZ364="","",MAX(CG$12:CG363)+1)</f>
        <v/>
      </c>
      <c r="CH364" s="31" t="str">
        <f t="shared" si="491"/>
        <v/>
      </c>
      <c r="CI364" s="66" t="str">
        <f t="shared" si="492"/>
        <v/>
      </c>
      <c r="CJ364" s="47" t="s">
        <v>0</v>
      </c>
      <c r="CK364" s="73" t="str">
        <f t="shared" si="446"/>
        <v/>
      </c>
      <c r="CL364" s="47"/>
      <c r="CM364" s="19" t="str">
        <f t="shared" si="493"/>
        <v/>
      </c>
      <c r="CN364" s="47" t="s">
        <v>0</v>
      </c>
      <c r="CO364" s="143" t="str">
        <f t="shared" si="494"/>
        <v/>
      </c>
      <c r="CP364" s="47" t="s">
        <v>0</v>
      </c>
      <c r="CQ364" s="58" t="str">
        <f t="shared" si="510"/>
        <v/>
      </c>
      <c r="CR364" s="73" t="str">
        <f t="shared" si="511"/>
        <v/>
      </c>
      <c r="CS364" s="229" t="str">
        <f t="shared" si="447"/>
        <v/>
      </c>
      <c r="CT364" s="230" t="str">
        <f t="shared" si="432"/>
        <v/>
      </c>
      <c r="CU364" s="163" t="str">
        <f t="shared" si="448"/>
        <v/>
      </c>
      <c r="CV364" s="47" t="s">
        <v>0</v>
      </c>
      <c r="CW364" s="222" t="str">
        <f t="shared" si="495"/>
        <v xml:space="preserve">
</v>
      </c>
      <c r="CX364" s="223" t="str">
        <f t="shared" si="496"/>
        <v/>
      </c>
      <c r="CY364" s="47" t="s">
        <v>0</v>
      </c>
      <c r="CZ364" s="47"/>
      <c r="DA364" s="47"/>
      <c r="DB364" s="47"/>
      <c r="DC364" s="47" t="s">
        <v>0</v>
      </c>
      <c r="DD364" s="53" t="str">
        <f t="shared" si="504"/>
        <v/>
      </c>
      <c r="DE364" t="s">
        <v>0</v>
      </c>
      <c r="DF364" s="128" t="str">
        <f t="shared" si="505"/>
        <v/>
      </c>
      <c r="DG364" t="s">
        <v>0</v>
      </c>
      <c r="DH364" s="52" t="str">
        <f t="shared" si="506"/>
        <v/>
      </c>
      <c r="DI364" s="66" t="str">
        <f t="shared" si="507"/>
        <v/>
      </c>
      <c r="DJ364" t="s">
        <v>0</v>
      </c>
      <c r="DK364" s="19" t="str">
        <f t="shared" si="508"/>
        <v/>
      </c>
      <c r="DL364" s="47" t="s">
        <v>0</v>
      </c>
      <c r="DM364" s="19" t="str">
        <f t="shared" si="509"/>
        <v/>
      </c>
      <c r="DN364" s="47" t="s">
        <v>0</v>
      </c>
      <c r="DO364" s="52" t="str">
        <f t="shared" si="449"/>
        <v/>
      </c>
      <c r="DP364" s="53" t="str">
        <f t="shared" si="450"/>
        <v/>
      </c>
      <c r="DQ364" s="47" t="s">
        <v>0</v>
      </c>
      <c r="DR364" s="52" t="str">
        <f t="shared" si="451"/>
        <v/>
      </c>
      <c r="DS364" s="53" t="str">
        <f t="shared" si="452"/>
        <v/>
      </c>
      <c r="DT364" s="47" t="s">
        <v>0</v>
      </c>
      <c r="DU364" s="52" t="str">
        <f t="shared" si="453"/>
        <v/>
      </c>
      <c r="DV364" s="53" t="str">
        <f t="shared" si="454"/>
        <v/>
      </c>
      <c r="DW364" s="47" t="s">
        <v>0</v>
      </c>
      <c r="DX364" s="58" t="str">
        <f t="shared" si="497"/>
        <v/>
      </c>
      <c r="DY364" s="53" t="str" cm="1">
        <f t="array" ref="DY364">IF(DX364&lt;&gt;"",INDEX(regNatjecatelj_id,DX364,0),IF(BD364&lt;&gt;"",BD364,""))</f>
        <v/>
      </c>
      <c r="DZ364" s="47" t="s">
        <v>0</v>
      </c>
      <c r="EA364" s="58" t="str">
        <f t="shared" si="455"/>
        <v/>
      </c>
      <c r="EB364" s="73" t="str">
        <f t="shared" si="456"/>
        <v/>
      </c>
      <c r="EC364" s="73" t="str">
        <f t="shared" si="457"/>
        <v/>
      </c>
      <c r="ED364" s="73" t="str">
        <f t="shared" si="458"/>
        <v/>
      </c>
      <c r="EE364" s="66" t="str">
        <f t="shared" si="459"/>
        <v/>
      </c>
      <c r="EF364" s="47" t="s">
        <v>0</v>
      </c>
      <c r="EG364" s="58" t="str">
        <f>IF(AL364="","",MAX(EG$12:EG363)+1)</f>
        <v/>
      </c>
      <c r="EH364" s="73" t="str">
        <f t="shared" si="460"/>
        <v/>
      </c>
      <c r="EI364" s="73" t="str">
        <f t="shared" si="498"/>
        <v/>
      </c>
      <c r="EJ364" s="73" t="str">
        <f t="shared" si="461"/>
        <v/>
      </c>
      <c r="EK364" s="73" t="str">
        <f t="shared" si="462"/>
        <v/>
      </c>
      <c r="EL364" s="73" t="str">
        <f t="shared" si="499"/>
        <v/>
      </c>
      <c r="EM364" s="73" t="str">
        <f t="shared" si="500"/>
        <v/>
      </c>
      <c r="EN364" s="73" t="str">
        <f t="shared" si="463"/>
        <v/>
      </c>
      <c r="EO364" s="73" t="str">
        <f t="shared" si="464"/>
        <v/>
      </c>
      <c r="EP364" s="73" t="str">
        <f t="shared" si="465"/>
        <v/>
      </c>
      <c r="EQ364" s="53" t="str">
        <f t="shared" si="466"/>
        <v/>
      </c>
      <c r="ER364" s="47" t="s">
        <v>0</v>
      </c>
      <c r="ES364" s="19" t="str">
        <f t="shared" si="501"/>
        <v/>
      </c>
      <c r="ET364" s="47" t="s">
        <v>0</v>
      </c>
      <c r="EU364" s="19" t="str">
        <f t="shared" si="502"/>
        <v/>
      </c>
      <c r="EV364" s="47" t="s">
        <v>0</v>
      </c>
      <c r="EW364" s="180" t="str">
        <f t="shared" si="467"/>
        <v/>
      </c>
      <c r="EX364" s="47" t="s">
        <v>0</v>
      </c>
    </row>
    <row r="365" spans="1:154" x14ac:dyDescent="0.25">
      <c r="A365" t="s">
        <v>0</v>
      </c>
      <c r="B365" s="52" t="str">
        <f>IF(csv!F355="","",csv!T355)</f>
        <v/>
      </c>
      <c r="C365" s="31" t="s">
        <v>0</v>
      </c>
      <c r="D365" s="31" t="str">
        <f>IF(csv!F355="","",csv!F355)</f>
        <v/>
      </c>
      <c r="E365" s="31" t="str">
        <f>IF(csv!E355="","",csv!E355)</f>
        <v/>
      </c>
      <c r="F365" s="31" t="s">
        <v>0</v>
      </c>
      <c r="G365" s="73" t="str">
        <f>IF(csv!M355="","",csv!M355)</f>
        <v/>
      </c>
      <c r="H365" s="73" t="str">
        <f>IF(csv!N355="","",csv!N355)</f>
        <v/>
      </c>
      <c r="I365" s="31" t="s">
        <v>0</v>
      </c>
      <c r="J365" s="31" t="str">
        <f>IF(csv!P355="","",csv!P355)</f>
        <v/>
      </c>
      <c r="K365" s="31" t="str">
        <f>IF(csv!Q355="","",csv!Q355)</f>
        <v/>
      </c>
      <c r="L365" s="31" t="s">
        <v>0</v>
      </c>
      <c r="M365" s="66" t="str">
        <f>IF(csv!R355="","",csv!R355)</f>
        <v/>
      </c>
      <c r="N365" s="47" t="s">
        <v>0</v>
      </c>
      <c r="O365" s="246" t="str">
        <f t="shared" si="468"/>
        <v/>
      </c>
      <c r="P365" s="47"/>
      <c r="Q365" s="52" t="str">
        <f t="shared" si="469"/>
        <v/>
      </c>
      <c r="R365" s="73" t="str">
        <f>IF(Q365="","",IF(COUNTIF(Q$12:Q364,Q365)=0,R364+1,R364))</f>
        <v/>
      </c>
      <c r="S365" s="73" t="str">
        <f t="shared" si="470"/>
        <v/>
      </c>
      <c r="T365" s="73" t="str">
        <f t="shared" si="434"/>
        <v/>
      </c>
      <c r="U365" s="66" t="str">
        <f t="shared" si="435"/>
        <v/>
      </c>
      <c r="V365" s="47" t="s">
        <v>0</v>
      </c>
      <c r="W365" s="222" t="str">
        <f t="shared" si="436"/>
        <v/>
      </c>
      <c r="X365" s="223" t="str">
        <f t="shared" si="437"/>
        <v/>
      </c>
      <c r="Y365" s="47" t="s">
        <v>0</v>
      </c>
      <c r="Z365" s="52" t="str">
        <f t="shared" si="471"/>
        <v/>
      </c>
      <c r="AA365" s="73" t="str">
        <f t="shared" si="438"/>
        <v/>
      </c>
      <c r="AB365" s="31" t="str">
        <f t="shared" si="472"/>
        <v/>
      </c>
      <c r="AC365" s="66" t="str">
        <f>IF(AB365="","",MAX(AC$12:AC364)+1)</f>
        <v/>
      </c>
      <c r="AD365" s="47" t="s">
        <v>0</v>
      </c>
      <c r="AE365" s="125"/>
      <c r="AF365" s="47" t="s">
        <v>0</v>
      </c>
      <c r="AG365" s="19" t="str">
        <f t="shared" si="473"/>
        <v/>
      </c>
      <c r="AH365" s="47" t="s">
        <v>0</v>
      </c>
      <c r="AI365" s="143" t="str">
        <f t="shared" si="474"/>
        <v/>
      </c>
      <c r="AJ365" s="47"/>
      <c r="AK365" s="52" t="str">
        <f t="shared" si="475"/>
        <v/>
      </c>
      <c r="AL365" s="31" t="str">
        <f t="shared" si="476"/>
        <v/>
      </c>
      <c r="AM365" s="73" t="str">
        <f t="shared" si="477"/>
        <v/>
      </c>
      <c r="AN365" s="73" t="str">
        <f t="shared" si="478"/>
        <v/>
      </c>
      <c r="AO365" s="31" t="str">
        <f t="shared" si="439"/>
        <v/>
      </c>
      <c r="AP365" s="66" t="str">
        <f t="shared" si="440"/>
        <v/>
      </c>
      <c r="AQ365" s="47" t="s">
        <v>0</v>
      </c>
      <c r="AR365" s="82" t="str">
        <f t="shared" si="479"/>
        <v/>
      </c>
      <c r="AS365" s="47" t="s">
        <v>0</v>
      </c>
      <c r="AT365" s="19" t="str">
        <f t="shared" si="480"/>
        <v/>
      </c>
      <c r="AU365" s="47" t="s">
        <v>0</v>
      </c>
      <c r="AV365" s="103"/>
      <c r="AW365" s="105"/>
      <c r="AX365" s="47" t="s">
        <v>0</v>
      </c>
      <c r="AY365" s="259" t="str">
        <f t="shared" si="503"/>
        <v/>
      </c>
      <c r="AZ365" s="47" t="s">
        <v>0</v>
      </c>
      <c r="BA365" s="52" t="str">
        <f t="shared" si="433"/>
        <v/>
      </c>
      <c r="BB365" s="73" t="str">
        <f>IF(AV365&amp;AW365="","",MAX(BB$12:BB364)+1)</f>
        <v/>
      </c>
      <c r="BC365" s="272" t="str">
        <f t="shared" si="441"/>
        <v/>
      </c>
      <c r="BD365" s="53" t="str">
        <f>IF(AND(AM365="NEMA",AN365="NEMA",OR(AV365&amp;AW365="",BC365="NEMA")),MAX(BD$12:BD364)+1,"")</f>
        <v/>
      </c>
      <c r="BE365" s="47" t="s">
        <v>0</v>
      </c>
      <c r="BF365" s="52" t="str">
        <f t="shared" si="481"/>
        <v/>
      </c>
      <c r="BG365" s="66" t="str">
        <f t="shared" si="482"/>
        <v/>
      </c>
      <c r="BH365" s="47" t="s">
        <v>0</v>
      </c>
      <c r="BI365" s="52" t="str">
        <f t="shared" si="442"/>
        <v/>
      </c>
      <c r="BJ365" s="31" t="str">
        <f t="shared" si="443"/>
        <v/>
      </c>
      <c r="BK365" s="73" t="str">
        <f t="shared" si="444"/>
        <v/>
      </c>
      <c r="BL365" s="31" t="str" cm="1">
        <f t="array" ref="BL365">IF(BK365="",""&amp;BJ365,IF(BK365="NEMA",BJ365,INDEX(regKlub_naziv,MATCH(INDEX(regKlub_alias_klubId,BK365),regKlub_id,0))))</f>
        <v/>
      </c>
      <c r="BM365" s="31" t="str" cm="1">
        <f t="array" ref="BM365">IFERROR(""&amp;INDEX(regNatjecatelj_klub,DV365),"")</f>
        <v/>
      </c>
      <c r="BN365" s="88" t="str">
        <f t="shared" si="483"/>
        <v/>
      </c>
      <c r="BO365" s="66" t="str">
        <f t="shared" si="484"/>
        <v/>
      </c>
      <c r="BP365" s="47" t="s">
        <v>0</v>
      </c>
      <c r="BQ365" s="52" t="str">
        <f>IF(X365&lt;&gt;"NEMA","",IF(IFERROR(MATCH(W365,W$12:W364,0),0)&lt;&gt;0,"",W365))</f>
        <v/>
      </c>
      <c r="BR365" s="73" t="str">
        <f t="shared" si="485"/>
        <v/>
      </c>
      <c r="BS365" s="31" t="str">
        <f>IF(OR(BR365="",BR365&lt;&gt;"NEMA"),"",MAX(BS$12:BS364)+1)</f>
        <v/>
      </c>
      <c r="BT365" s="66" t="str">
        <f t="shared" si="486"/>
        <v/>
      </c>
      <c r="BU365" s="47" t="s">
        <v>0</v>
      </c>
      <c r="BV365" s="19" t="str">
        <f t="shared" si="487"/>
        <v/>
      </c>
      <c r="BW365" s="47" t="s">
        <v>0</v>
      </c>
      <c r="BX365" s="82" t="str">
        <f>IF(BK365&lt;&gt;"NEMA","",IF(IFERROR(MATCH(BJ365,BJ$12:BJ364,0),0)&lt;&gt;0,"",BJ365))</f>
        <v/>
      </c>
      <c r="BY365" s="47" t="s">
        <v>0</v>
      </c>
      <c r="BZ365" s="125"/>
      <c r="CA365" s="47" t="s">
        <v>0</v>
      </c>
      <c r="CB365" s="58" t="str">
        <f t="shared" si="488"/>
        <v/>
      </c>
      <c r="CC365" s="31" t="str">
        <f t="shared" si="489"/>
        <v/>
      </c>
      <c r="CD365" s="31" t="str">
        <f>IF(CC365="","",MAX(CD$12:CD364)+1)</f>
        <v/>
      </c>
      <c r="CE365" s="31" t="str">
        <f t="shared" si="445"/>
        <v/>
      </c>
      <c r="CF365" s="31" t="str">
        <f t="shared" si="490"/>
        <v/>
      </c>
      <c r="CG365" s="31" t="str">
        <f>IF(BZ365="","",MAX(CG$12:CG364)+1)</f>
        <v/>
      </c>
      <c r="CH365" s="31" t="str">
        <f t="shared" si="491"/>
        <v/>
      </c>
      <c r="CI365" s="66" t="str">
        <f t="shared" si="492"/>
        <v/>
      </c>
      <c r="CJ365" s="47" t="s">
        <v>0</v>
      </c>
      <c r="CK365" s="73" t="str">
        <f t="shared" si="446"/>
        <v/>
      </c>
      <c r="CL365" s="47"/>
      <c r="CM365" s="19" t="str">
        <f t="shared" si="493"/>
        <v/>
      </c>
      <c r="CN365" s="47" t="s">
        <v>0</v>
      </c>
      <c r="CO365" s="143" t="str">
        <f t="shared" si="494"/>
        <v/>
      </c>
      <c r="CP365" s="47" t="s">
        <v>0</v>
      </c>
      <c r="CQ365" s="58" t="str">
        <f t="shared" si="510"/>
        <v/>
      </c>
      <c r="CR365" s="73" t="str">
        <f t="shared" si="511"/>
        <v/>
      </c>
      <c r="CS365" s="229" t="str">
        <f t="shared" si="447"/>
        <v/>
      </c>
      <c r="CT365" s="230" t="str">
        <f t="shared" si="432"/>
        <v/>
      </c>
      <c r="CU365" s="163" t="str">
        <f t="shared" si="448"/>
        <v/>
      </c>
      <c r="CV365" s="47" t="s">
        <v>0</v>
      </c>
      <c r="CW365" s="222" t="str">
        <f t="shared" si="495"/>
        <v xml:space="preserve">
</v>
      </c>
      <c r="CX365" s="223" t="str">
        <f t="shared" si="496"/>
        <v/>
      </c>
      <c r="CY365" s="47" t="s">
        <v>0</v>
      </c>
      <c r="CZ365" s="47"/>
      <c r="DA365" s="47"/>
      <c r="DB365" s="47"/>
      <c r="DC365" s="47" t="s">
        <v>0</v>
      </c>
      <c r="DD365" s="53" t="str">
        <f t="shared" si="504"/>
        <v/>
      </c>
      <c r="DE365" t="s">
        <v>0</v>
      </c>
      <c r="DF365" s="128" t="str">
        <f t="shared" si="505"/>
        <v/>
      </c>
      <c r="DG365" t="s">
        <v>0</v>
      </c>
      <c r="DH365" s="52" t="str">
        <f t="shared" si="506"/>
        <v/>
      </c>
      <c r="DI365" s="66" t="str">
        <f t="shared" si="507"/>
        <v/>
      </c>
      <c r="DJ365" t="s">
        <v>0</v>
      </c>
      <c r="DK365" s="19" t="str">
        <f t="shared" si="508"/>
        <v/>
      </c>
      <c r="DL365" s="47" t="s">
        <v>0</v>
      </c>
      <c r="DM365" s="19" t="str">
        <f t="shared" si="509"/>
        <v/>
      </c>
      <c r="DN365" s="47" t="s">
        <v>0</v>
      </c>
      <c r="DO365" s="52" t="str">
        <f t="shared" si="449"/>
        <v/>
      </c>
      <c r="DP365" s="53" t="str">
        <f t="shared" si="450"/>
        <v/>
      </c>
      <c r="DQ365" s="47" t="s">
        <v>0</v>
      </c>
      <c r="DR365" s="52" t="str">
        <f t="shared" si="451"/>
        <v/>
      </c>
      <c r="DS365" s="53" t="str">
        <f t="shared" si="452"/>
        <v/>
      </c>
      <c r="DT365" s="47" t="s">
        <v>0</v>
      </c>
      <c r="DU365" s="52" t="str">
        <f t="shared" si="453"/>
        <v/>
      </c>
      <c r="DV365" s="53" t="str">
        <f t="shared" si="454"/>
        <v/>
      </c>
      <c r="DW365" s="47" t="s">
        <v>0</v>
      </c>
      <c r="DX365" s="58" t="str">
        <f t="shared" si="497"/>
        <v/>
      </c>
      <c r="DY365" s="53" t="str" cm="1">
        <f t="array" ref="DY365">IF(DX365&lt;&gt;"",INDEX(regNatjecatelj_id,DX365,0),IF(BD365&lt;&gt;"",BD365,""))</f>
        <v/>
      </c>
      <c r="DZ365" s="47" t="s">
        <v>0</v>
      </c>
      <c r="EA365" s="58" t="str">
        <f t="shared" si="455"/>
        <v/>
      </c>
      <c r="EB365" s="73" t="str">
        <f t="shared" si="456"/>
        <v/>
      </c>
      <c r="EC365" s="73" t="str">
        <f t="shared" si="457"/>
        <v/>
      </c>
      <c r="ED365" s="73" t="str">
        <f t="shared" si="458"/>
        <v/>
      </c>
      <c r="EE365" s="66" t="str">
        <f t="shared" si="459"/>
        <v/>
      </c>
      <c r="EF365" s="47" t="s">
        <v>0</v>
      </c>
      <c r="EG365" s="58" t="str">
        <f>IF(AL365="","",MAX(EG$12:EG364)+1)</f>
        <v/>
      </c>
      <c r="EH365" s="73" t="str">
        <f t="shared" si="460"/>
        <v/>
      </c>
      <c r="EI365" s="73" t="str">
        <f t="shared" si="498"/>
        <v/>
      </c>
      <c r="EJ365" s="73" t="str">
        <f t="shared" si="461"/>
        <v/>
      </c>
      <c r="EK365" s="73" t="str">
        <f t="shared" si="462"/>
        <v/>
      </c>
      <c r="EL365" s="73" t="str">
        <f t="shared" si="499"/>
        <v/>
      </c>
      <c r="EM365" s="73" t="str">
        <f t="shared" si="500"/>
        <v/>
      </c>
      <c r="EN365" s="73" t="str">
        <f t="shared" si="463"/>
        <v/>
      </c>
      <c r="EO365" s="73" t="str">
        <f t="shared" si="464"/>
        <v/>
      </c>
      <c r="EP365" s="73" t="str">
        <f t="shared" si="465"/>
        <v/>
      </c>
      <c r="EQ365" s="53" t="str">
        <f t="shared" si="466"/>
        <v/>
      </c>
      <c r="ER365" s="47" t="s">
        <v>0</v>
      </c>
      <c r="ES365" s="19" t="str">
        <f t="shared" si="501"/>
        <v/>
      </c>
      <c r="ET365" s="47" t="s">
        <v>0</v>
      </c>
      <c r="EU365" s="19" t="str">
        <f t="shared" si="502"/>
        <v/>
      </c>
      <c r="EV365" s="47" t="s">
        <v>0</v>
      </c>
      <c r="EW365" s="180" t="str">
        <f t="shared" si="467"/>
        <v/>
      </c>
      <c r="EX365" s="47" t="s">
        <v>0</v>
      </c>
    </row>
    <row r="366" spans="1:154" x14ac:dyDescent="0.25">
      <c r="A366" t="s">
        <v>0</v>
      </c>
      <c r="B366" s="52" t="str">
        <f>IF(csv!F356="","",csv!T356)</f>
        <v/>
      </c>
      <c r="C366" s="31" t="s">
        <v>0</v>
      </c>
      <c r="D366" s="31" t="str">
        <f>IF(csv!F356="","",csv!F356)</f>
        <v/>
      </c>
      <c r="E366" s="31" t="str">
        <f>IF(csv!E356="","",csv!E356)</f>
        <v/>
      </c>
      <c r="F366" s="31" t="s">
        <v>0</v>
      </c>
      <c r="G366" s="73" t="str">
        <f>IF(csv!M356="","",csv!M356)</f>
        <v/>
      </c>
      <c r="H366" s="73" t="str">
        <f>IF(csv!N356="","",csv!N356)</f>
        <v/>
      </c>
      <c r="I366" s="31" t="s">
        <v>0</v>
      </c>
      <c r="J366" s="31" t="str">
        <f>IF(csv!P356="","",csv!P356)</f>
        <v/>
      </c>
      <c r="K366" s="31" t="str">
        <f>IF(csv!Q356="","",csv!Q356)</f>
        <v/>
      </c>
      <c r="L366" s="31" t="s">
        <v>0</v>
      </c>
      <c r="M366" s="66" t="str">
        <f>IF(csv!R356="","",csv!R356)</f>
        <v/>
      </c>
      <c r="N366" s="47" t="s">
        <v>0</v>
      </c>
      <c r="O366" s="246" t="str">
        <f t="shared" si="468"/>
        <v/>
      </c>
      <c r="P366" s="47"/>
      <c r="Q366" s="52" t="str">
        <f t="shared" si="469"/>
        <v/>
      </c>
      <c r="R366" s="73" t="str">
        <f>IF(Q366="","",IF(COUNTIF(Q$12:Q365,Q366)=0,R365+1,R365))</f>
        <v/>
      </c>
      <c r="S366" s="73" t="str">
        <f t="shared" si="470"/>
        <v/>
      </c>
      <c r="T366" s="73" t="str">
        <f t="shared" si="434"/>
        <v/>
      </c>
      <c r="U366" s="66" t="str">
        <f t="shared" si="435"/>
        <v/>
      </c>
      <c r="V366" s="47" t="s">
        <v>0</v>
      </c>
      <c r="W366" s="222" t="str">
        <f t="shared" si="436"/>
        <v/>
      </c>
      <c r="X366" s="223" t="str">
        <f t="shared" si="437"/>
        <v/>
      </c>
      <c r="Y366" s="47" t="s">
        <v>0</v>
      </c>
      <c r="Z366" s="52" t="str">
        <f t="shared" si="471"/>
        <v/>
      </c>
      <c r="AA366" s="73" t="str">
        <f t="shared" si="438"/>
        <v/>
      </c>
      <c r="AB366" s="31" t="str">
        <f t="shared" si="472"/>
        <v/>
      </c>
      <c r="AC366" s="66" t="str">
        <f>IF(AB366="","",MAX(AC$12:AC365)+1)</f>
        <v/>
      </c>
      <c r="AD366" s="47" t="s">
        <v>0</v>
      </c>
      <c r="AE366" s="125"/>
      <c r="AF366" s="47" t="s">
        <v>0</v>
      </c>
      <c r="AG366" s="19" t="str">
        <f t="shared" si="473"/>
        <v/>
      </c>
      <c r="AH366" s="47" t="s">
        <v>0</v>
      </c>
      <c r="AI366" s="143" t="str">
        <f t="shared" si="474"/>
        <v/>
      </c>
      <c r="AJ366" s="47"/>
      <c r="AK366" s="52" t="str">
        <f t="shared" si="475"/>
        <v/>
      </c>
      <c r="AL366" s="31" t="str">
        <f t="shared" si="476"/>
        <v/>
      </c>
      <c r="AM366" s="73" t="str">
        <f t="shared" si="477"/>
        <v/>
      </c>
      <c r="AN366" s="73" t="str">
        <f t="shared" si="478"/>
        <v/>
      </c>
      <c r="AO366" s="31" t="str">
        <f t="shared" si="439"/>
        <v/>
      </c>
      <c r="AP366" s="66" t="str">
        <f t="shared" si="440"/>
        <v/>
      </c>
      <c r="AQ366" s="47" t="s">
        <v>0</v>
      </c>
      <c r="AR366" s="82" t="str">
        <f t="shared" si="479"/>
        <v/>
      </c>
      <c r="AS366" s="47" t="s">
        <v>0</v>
      </c>
      <c r="AT366" s="19" t="str">
        <f t="shared" si="480"/>
        <v/>
      </c>
      <c r="AU366" s="47" t="s">
        <v>0</v>
      </c>
      <c r="AV366" s="103"/>
      <c r="AW366" s="105"/>
      <c r="AX366" s="47" t="s">
        <v>0</v>
      </c>
      <c r="AY366" s="259" t="str">
        <f t="shared" si="503"/>
        <v/>
      </c>
      <c r="AZ366" s="47" t="s">
        <v>0</v>
      </c>
      <c r="BA366" s="52" t="str">
        <f t="shared" si="433"/>
        <v/>
      </c>
      <c r="BB366" s="73" t="str">
        <f>IF(AV366&amp;AW366="","",MAX(BB$12:BB365)+1)</f>
        <v/>
      </c>
      <c r="BC366" s="272" t="str">
        <f t="shared" si="441"/>
        <v/>
      </c>
      <c r="BD366" s="53" t="str">
        <f>IF(AND(AM366="NEMA",AN366="NEMA",OR(AV366&amp;AW366="",BC366="NEMA")),MAX(BD$12:BD365)+1,"")</f>
        <v/>
      </c>
      <c r="BE366" s="47" t="s">
        <v>0</v>
      </c>
      <c r="BF366" s="52" t="str">
        <f t="shared" si="481"/>
        <v/>
      </c>
      <c r="BG366" s="66" t="str">
        <f t="shared" si="482"/>
        <v/>
      </c>
      <c r="BH366" s="47" t="s">
        <v>0</v>
      </c>
      <c r="BI366" s="52" t="str">
        <f t="shared" si="442"/>
        <v/>
      </c>
      <c r="BJ366" s="31" t="str">
        <f t="shared" si="443"/>
        <v/>
      </c>
      <c r="BK366" s="73" t="str">
        <f t="shared" si="444"/>
        <v/>
      </c>
      <c r="BL366" s="31" t="str" cm="1">
        <f t="array" ref="BL366">IF(BK366="",""&amp;BJ366,IF(BK366="NEMA",BJ366,INDEX(regKlub_naziv,MATCH(INDEX(regKlub_alias_klubId,BK366),regKlub_id,0))))</f>
        <v/>
      </c>
      <c r="BM366" s="31" t="str" cm="1">
        <f t="array" ref="BM366">IFERROR(""&amp;INDEX(regNatjecatelj_klub,DV366),"")</f>
        <v/>
      </c>
      <c r="BN366" s="88" t="str">
        <f t="shared" si="483"/>
        <v/>
      </c>
      <c r="BO366" s="66" t="str">
        <f t="shared" si="484"/>
        <v/>
      </c>
      <c r="BP366" s="47" t="s">
        <v>0</v>
      </c>
      <c r="BQ366" s="52" t="str">
        <f>IF(X366&lt;&gt;"NEMA","",IF(IFERROR(MATCH(W366,W$12:W365,0),0)&lt;&gt;0,"",W366))</f>
        <v/>
      </c>
      <c r="BR366" s="73" t="str">
        <f t="shared" si="485"/>
        <v/>
      </c>
      <c r="BS366" s="31" t="str">
        <f>IF(OR(BR366="",BR366&lt;&gt;"NEMA"),"",MAX(BS$12:BS365)+1)</f>
        <v/>
      </c>
      <c r="BT366" s="66" t="str">
        <f t="shared" si="486"/>
        <v/>
      </c>
      <c r="BU366" s="47" t="s">
        <v>0</v>
      </c>
      <c r="BV366" s="19" t="str">
        <f t="shared" si="487"/>
        <v/>
      </c>
      <c r="BW366" s="47" t="s">
        <v>0</v>
      </c>
      <c r="BX366" s="82" t="str">
        <f>IF(BK366&lt;&gt;"NEMA","",IF(IFERROR(MATCH(BJ366,BJ$12:BJ365,0),0)&lt;&gt;0,"",BJ366))</f>
        <v/>
      </c>
      <c r="BY366" s="47" t="s">
        <v>0</v>
      </c>
      <c r="BZ366" s="125"/>
      <c r="CA366" s="47" t="s">
        <v>0</v>
      </c>
      <c r="CB366" s="58" t="str">
        <f t="shared" si="488"/>
        <v/>
      </c>
      <c r="CC366" s="31" t="str">
        <f t="shared" si="489"/>
        <v/>
      </c>
      <c r="CD366" s="31" t="str">
        <f>IF(CC366="","",MAX(CD$12:CD365)+1)</f>
        <v/>
      </c>
      <c r="CE366" s="31" t="str">
        <f t="shared" si="445"/>
        <v/>
      </c>
      <c r="CF366" s="31" t="str">
        <f t="shared" si="490"/>
        <v/>
      </c>
      <c r="CG366" s="31" t="str">
        <f>IF(BZ366="","",MAX(CG$12:CG365)+1)</f>
        <v/>
      </c>
      <c r="CH366" s="31" t="str">
        <f t="shared" si="491"/>
        <v/>
      </c>
      <c r="CI366" s="66" t="str">
        <f t="shared" si="492"/>
        <v/>
      </c>
      <c r="CJ366" s="47" t="s">
        <v>0</v>
      </c>
      <c r="CK366" s="73" t="str">
        <f t="shared" si="446"/>
        <v/>
      </c>
      <c r="CL366" s="47"/>
      <c r="CM366" s="19" t="str">
        <f t="shared" si="493"/>
        <v/>
      </c>
      <c r="CN366" s="47" t="s">
        <v>0</v>
      </c>
      <c r="CO366" s="143" t="str">
        <f t="shared" si="494"/>
        <v/>
      </c>
      <c r="CP366" s="47" t="s">
        <v>0</v>
      </c>
      <c r="CQ366" s="58" t="str">
        <f t="shared" si="510"/>
        <v/>
      </c>
      <c r="CR366" s="73" t="str">
        <f t="shared" si="511"/>
        <v/>
      </c>
      <c r="CS366" s="229" t="str">
        <f t="shared" si="447"/>
        <v/>
      </c>
      <c r="CT366" s="230" t="str">
        <f t="shared" si="432"/>
        <v/>
      </c>
      <c r="CU366" s="163" t="str">
        <f t="shared" si="448"/>
        <v/>
      </c>
      <c r="CV366" s="47" t="s">
        <v>0</v>
      </c>
      <c r="CW366" s="222" t="str">
        <f t="shared" si="495"/>
        <v xml:space="preserve">
</v>
      </c>
      <c r="CX366" s="223" t="str">
        <f t="shared" si="496"/>
        <v/>
      </c>
      <c r="CY366" s="47" t="s">
        <v>0</v>
      </c>
      <c r="CZ366" s="47"/>
      <c r="DA366" s="47"/>
      <c r="DB366" s="47"/>
      <c r="DC366" s="47" t="s">
        <v>0</v>
      </c>
      <c r="DD366" s="53" t="str">
        <f t="shared" si="504"/>
        <v/>
      </c>
      <c r="DE366" t="s">
        <v>0</v>
      </c>
      <c r="DF366" s="128" t="str">
        <f t="shared" si="505"/>
        <v/>
      </c>
      <c r="DG366" t="s">
        <v>0</v>
      </c>
      <c r="DH366" s="52" t="str">
        <f t="shared" si="506"/>
        <v/>
      </c>
      <c r="DI366" s="66" t="str">
        <f t="shared" si="507"/>
        <v/>
      </c>
      <c r="DJ366" t="s">
        <v>0</v>
      </c>
      <c r="DK366" s="19" t="str">
        <f t="shared" si="508"/>
        <v/>
      </c>
      <c r="DL366" s="47" t="s">
        <v>0</v>
      </c>
      <c r="DM366" s="19" t="str">
        <f t="shared" si="509"/>
        <v/>
      </c>
      <c r="DN366" s="47" t="s">
        <v>0</v>
      </c>
      <c r="DO366" s="52" t="str">
        <f t="shared" si="449"/>
        <v/>
      </c>
      <c r="DP366" s="53" t="str">
        <f t="shared" si="450"/>
        <v/>
      </c>
      <c r="DQ366" s="47" t="s">
        <v>0</v>
      </c>
      <c r="DR366" s="52" t="str">
        <f t="shared" si="451"/>
        <v/>
      </c>
      <c r="DS366" s="53" t="str">
        <f t="shared" si="452"/>
        <v/>
      </c>
      <c r="DT366" s="47" t="s">
        <v>0</v>
      </c>
      <c r="DU366" s="52" t="str">
        <f t="shared" si="453"/>
        <v/>
      </c>
      <c r="DV366" s="53" t="str">
        <f t="shared" si="454"/>
        <v/>
      </c>
      <c r="DW366" s="47" t="s">
        <v>0</v>
      </c>
      <c r="DX366" s="58" t="str">
        <f t="shared" si="497"/>
        <v/>
      </c>
      <c r="DY366" s="53" t="str" cm="1">
        <f t="array" ref="DY366">IF(DX366&lt;&gt;"",INDEX(regNatjecatelj_id,DX366,0),IF(BD366&lt;&gt;"",BD366,""))</f>
        <v/>
      </c>
      <c r="DZ366" s="47" t="s">
        <v>0</v>
      </c>
      <c r="EA366" s="58" t="str">
        <f t="shared" si="455"/>
        <v/>
      </c>
      <c r="EB366" s="73" t="str">
        <f t="shared" si="456"/>
        <v/>
      </c>
      <c r="EC366" s="73" t="str">
        <f t="shared" si="457"/>
        <v/>
      </c>
      <c r="ED366" s="73" t="str">
        <f t="shared" si="458"/>
        <v/>
      </c>
      <c r="EE366" s="66" t="str">
        <f t="shared" si="459"/>
        <v/>
      </c>
      <c r="EF366" s="47" t="s">
        <v>0</v>
      </c>
      <c r="EG366" s="58" t="str">
        <f>IF(AL366="","",MAX(EG$12:EG365)+1)</f>
        <v/>
      </c>
      <c r="EH366" s="73" t="str">
        <f t="shared" si="460"/>
        <v/>
      </c>
      <c r="EI366" s="73" t="str">
        <f t="shared" si="498"/>
        <v/>
      </c>
      <c r="EJ366" s="73" t="str">
        <f t="shared" si="461"/>
        <v/>
      </c>
      <c r="EK366" s="73" t="str">
        <f t="shared" si="462"/>
        <v/>
      </c>
      <c r="EL366" s="73" t="str">
        <f t="shared" si="499"/>
        <v/>
      </c>
      <c r="EM366" s="73" t="str">
        <f t="shared" si="500"/>
        <v/>
      </c>
      <c r="EN366" s="73" t="str">
        <f t="shared" si="463"/>
        <v/>
      </c>
      <c r="EO366" s="73" t="str">
        <f t="shared" si="464"/>
        <v/>
      </c>
      <c r="EP366" s="73" t="str">
        <f t="shared" si="465"/>
        <v/>
      </c>
      <c r="EQ366" s="53" t="str">
        <f t="shared" si="466"/>
        <v/>
      </c>
      <c r="ER366" s="47" t="s">
        <v>0</v>
      </c>
      <c r="ES366" s="19" t="str">
        <f t="shared" si="501"/>
        <v/>
      </c>
      <c r="ET366" s="47" t="s">
        <v>0</v>
      </c>
      <c r="EU366" s="19" t="str">
        <f t="shared" si="502"/>
        <v/>
      </c>
      <c r="EV366" s="47" t="s">
        <v>0</v>
      </c>
      <c r="EW366" s="180" t="str">
        <f t="shared" si="467"/>
        <v/>
      </c>
      <c r="EX366" s="47" t="s">
        <v>0</v>
      </c>
    </row>
    <row r="367" spans="1:154" x14ac:dyDescent="0.25">
      <c r="A367" t="s">
        <v>0</v>
      </c>
      <c r="B367" s="52" t="str">
        <f>IF(csv!F357="","",csv!T357)</f>
        <v/>
      </c>
      <c r="C367" s="31" t="s">
        <v>0</v>
      </c>
      <c r="D367" s="31" t="str">
        <f>IF(csv!F357="","",csv!F357)</f>
        <v/>
      </c>
      <c r="E367" s="31" t="str">
        <f>IF(csv!E357="","",csv!E357)</f>
        <v/>
      </c>
      <c r="F367" s="31" t="s">
        <v>0</v>
      </c>
      <c r="G367" s="73" t="str">
        <f>IF(csv!M357="","",csv!M357)</f>
        <v/>
      </c>
      <c r="H367" s="73" t="str">
        <f>IF(csv!N357="","",csv!N357)</f>
        <v/>
      </c>
      <c r="I367" s="31" t="s">
        <v>0</v>
      </c>
      <c r="J367" s="31" t="str">
        <f>IF(csv!P357="","",csv!P357)</f>
        <v/>
      </c>
      <c r="K367" s="31" t="str">
        <f>IF(csv!Q357="","",csv!Q357)</f>
        <v/>
      </c>
      <c r="L367" s="31" t="s">
        <v>0</v>
      </c>
      <c r="M367" s="66" t="str">
        <f>IF(csv!R357="","",csv!R357)</f>
        <v/>
      </c>
      <c r="N367" s="47" t="s">
        <v>0</v>
      </c>
      <c r="O367" s="246" t="str">
        <f t="shared" si="468"/>
        <v/>
      </c>
      <c r="P367" s="47"/>
      <c r="Q367" s="52" t="str">
        <f t="shared" si="469"/>
        <v/>
      </c>
      <c r="R367" s="73" t="str">
        <f>IF(Q367="","",IF(COUNTIF(Q$12:Q366,Q367)=0,R366+1,R366))</f>
        <v/>
      </c>
      <c r="S367" s="73" t="str">
        <f t="shared" si="470"/>
        <v/>
      </c>
      <c r="T367" s="73" t="str">
        <f t="shared" si="434"/>
        <v/>
      </c>
      <c r="U367" s="66" t="str">
        <f t="shared" si="435"/>
        <v/>
      </c>
      <c r="V367" s="47" t="s">
        <v>0</v>
      </c>
      <c r="W367" s="222" t="str">
        <f t="shared" si="436"/>
        <v/>
      </c>
      <c r="X367" s="223" t="str">
        <f t="shared" si="437"/>
        <v/>
      </c>
      <c r="Y367" s="47" t="s">
        <v>0</v>
      </c>
      <c r="Z367" s="52" t="str">
        <f t="shared" si="471"/>
        <v/>
      </c>
      <c r="AA367" s="73" t="str">
        <f t="shared" si="438"/>
        <v/>
      </c>
      <c r="AB367" s="31" t="str">
        <f t="shared" si="472"/>
        <v/>
      </c>
      <c r="AC367" s="66" t="str">
        <f>IF(AB367="","",MAX(AC$12:AC366)+1)</f>
        <v/>
      </c>
      <c r="AD367" s="47" t="s">
        <v>0</v>
      </c>
      <c r="AE367" s="125"/>
      <c r="AF367" s="47" t="s">
        <v>0</v>
      </c>
      <c r="AG367" s="19" t="str">
        <f t="shared" si="473"/>
        <v/>
      </c>
      <c r="AH367" s="47" t="s">
        <v>0</v>
      </c>
      <c r="AI367" s="143" t="str">
        <f t="shared" si="474"/>
        <v/>
      </c>
      <c r="AJ367" s="47"/>
      <c r="AK367" s="52" t="str">
        <f t="shared" si="475"/>
        <v/>
      </c>
      <c r="AL367" s="31" t="str">
        <f t="shared" si="476"/>
        <v/>
      </c>
      <c r="AM367" s="73" t="str">
        <f t="shared" si="477"/>
        <v/>
      </c>
      <c r="AN367" s="73" t="str">
        <f t="shared" si="478"/>
        <v/>
      </c>
      <c r="AO367" s="31" t="str">
        <f t="shared" si="439"/>
        <v/>
      </c>
      <c r="AP367" s="66" t="str">
        <f t="shared" si="440"/>
        <v/>
      </c>
      <c r="AQ367" s="47" t="s">
        <v>0</v>
      </c>
      <c r="AR367" s="82" t="str">
        <f t="shared" si="479"/>
        <v/>
      </c>
      <c r="AS367" s="47" t="s">
        <v>0</v>
      </c>
      <c r="AT367" s="19" t="str">
        <f t="shared" si="480"/>
        <v/>
      </c>
      <c r="AU367" s="47" t="s">
        <v>0</v>
      </c>
      <c r="AV367" s="103"/>
      <c r="AW367" s="105"/>
      <c r="AX367" s="47" t="s">
        <v>0</v>
      </c>
      <c r="AY367" s="259" t="str">
        <f t="shared" si="503"/>
        <v/>
      </c>
      <c r="AZ367" s="47" t="s">
        <v>0</v>
      </c>
      <c r="BA367" s="52" t="str">
        <f t="shared" si="433"/>
        <v/>
      </c>
      <c r="BB367" s="73" t="str">
        <f>IF(AV367&amp;AW367="","",MAX(BB$12:BB366)+1)</f>
        <v/>
      </c>
      <c r="BC367" s="272" t="str">
        <f t="shared" si="441"/>
        <v/>
      </c>
      <c r="BD367" s="53" t="str">
        <f>IF(AND(AM367="NEMA",AN367="NEMA",OR(AV367&amp;AW367="",BC367="NEMA")),MAX(BD$12:BD366)+1,"")</f>
        <v/>
      </c>
      <c r="BE367" s="47" t="s">
        <v>0</v>
      </c>
      <c r="BF367" s="52" t="str">
        <f t="shared" si="481"/>
        <v/>
      </c>
      <c r="BG367" s="66" t="str">
        <f t="shared" si="482"/>
        <v/>
      </c>
      <c r="BH367" s="47" t="s">
        <v>0</v>
      </c>
      <c r="BI367" s="52" t="str">
        <f t="shared" si="442"/>
        <v/>
      </c>
      <c r="BJ367" s="31" t="str">
        <f t="shared" si="443"/>
        <v/>
      </c>
      <c r="BK367" s="73" t="str">
        <f t="shared" si="444"/>
        <v/>
      </c>
      <c r="BL367" s="31" t="str" cm="1">
        <f t="array" ref="BL367">IF(BK367="",""&amp;BJ367,IF(BK367="NEMA",BJ367,INDEX(regKlub_naziv,MATCH(INDEX(regKlub_alias_klubId,BK367),regKlub_id,0))))</f>
        <v/>
      </c>
      <c r="BM367" s="31" t="str" cm="1">
        <f t="array" ref="BM367">IFERROR(""&amp;INDEX(regNatjecatelj_klub,DV367),"")</f>
        <v/>
      </c>
      <c r="BN367" s="88" t="str">
        <f t="shared" si="483"/>
        <v/>
      </c>
      <c r="BO367" s="66" t="str">
        <f t="shared" si="484"/>
        <v/>
      </c>
      <c r="BP367" s="47" t="s">
        <v>0</v>
      </c>
      <c r="BQ367" s="52" t="str">
        <f>IF(X367&lt;&gt;"NEMA","",IF(IFERROR(MATCH(W367,W$12:W366,0),0)&lt;&gt;0,"",W367))</f>
        <v/>
      </c>
      <c r="BR367" s="73" t="str">
        <f t="shared" si="485"/>
        <v/>
      </c>
      <c r="BS367" s="31" t="str">
        <f>IF(OR(BR367="",BR367&lt;&gt;"NEMA"),"",MAX(BS$12:BS366)+1)</f>
        <v/>
      </c>
      <c r="BT367" s="66" t="str">
        <f t="shared" si="486"/>
        <v/>
      </c>
      <c r="BU367" s="47" t="s">
        <v>0</v>
      </c>
      <c r="BV367" s="19" t="str">
        <f t="shared" si="487"/>
        <v/>
      </c>
      <c r="BW367" s="47" t="s">
        <v>0</v>
      </c>
      <c r="BX367" s="82" t="str">
        <f>IF(BK367&lt;&gt;"NEMA","",IF(IFERROR(MATCH(BJ367,BJ$12:BJ366,0),0)&lt;&gt;0,"",BJ367))</f>
        <v/>
      </c>
      <c r="BY367" s="47" t="s">
        <v>0</v>
      </c>
      <c r="BZ367" s="125"/>
      <c r="CA367" s="47" t="s">
        <v>0</v>
      </c>
      <c r="CB367" s="58" t="str">
        <f t="shared" si="488"/>
        <v/>
      </c>
      <c r="CC367" s="31" t="str">
        <f t="shared" si="489"/>
        <v/>
      </c>
      <c r="CD367" s="31" t="str">
        <f>IF(CC367="","",MAX(CD$12:CD366)+1)</f>
        <v/>
      </c>
      <c r="CE367" s="31" t="str">
        <f t="shared" si="445"/>
        <v/>
      </c>
      <c r="CF367" s="31" t="str">
        <f t="shared" si="490"/>
        <v/>
      </c>
      <c r="CG367" s="31" t="str">
        <f>IF(BZ367="","",MAX(CG$12:CG366)+1)</f>
        <v/>
      </c>
      <c r="CH367" s="31" t="str">
        <f t="shared" si="491"/>
        <v/>
      </c>
      <c r="CI367" s="66" t="str">
        <f t="shared" si="492"/>
        <v/>
      </c>
      <c r="CJ367" s="47" t="s">
        <v>0</v>
      </c>
      <c r="CK367" s="73" t="str">
        <f t="shared" si="446"/>
        <v/>
      </c>
      <c r="CL367" s="47"/>
      <c r="CM367" s="19" t="str">
        <f t="shared" si="493"/>
        <v/>
      </c>
      <c r="CN367" s="47" t="s">
        <v>0</v>
      </c>
      <c r="CO367" s="143" t="str">
        <f t="shared" si="494"/>
        <v/>
      </c>
      <c r="CP367" s="47" t="s">
        <v>0</v>
      </c>
      <c r="CQ367" s="58" t="str">
        <f t="shared" si="510"/>
        <v/>
      </c>
      <c r="CR367" s="73" t="str">
        <f t="shared" si="511"/>
        <v/>
      </c>
      <c r="CS367" s="229" t="str">
        <f t="shared" si="447"/>
        <v/>
      </c>
      <c r="CT367" s="230" t="str">
        <f t="shared" si="432"/>
        <v/>
      </c>
      <c r="CU367" s="163" t="str">
        <f t="shared" si="448"/>
        <v/>
      </c>
      <c r="CV367" s="47" t="s">
        <v>0</v>
      </c>
      <c r="CW367" s="222" t="str">
        <f t="shared" si="495"/>
        <v xml:space="preserve">
</v>
      </c>
      <c r="CX367" s="223" t="str">
        <f t="shared" si="496"/>
        <v/>
      </c>
      <c r="CY367" s="47" t="s">
        <v>0</v>
      </c>
      <c r="CZ367" s="47"/>
      <c r="DA367" s="47"/>
      <c r="DB367" s="47"/>
      <c r="DC367" s="47" t="s">
        <v>0</v>
      </c>
      <c r="DD367" s="53" t="str">
        <f t="shared" si="504"/>
        <v/>
      </c>
      <c r="DE367" t="s">
        <v>0</v>
      </c>
      <c r="DF367" s="128" t="str">
        <f t="shared" si="505"/>
        <v/>
      </c>
      <c r="DG367" t="s">
        <v>0</v>
      </c>
      <c r="DH367" s="52" t="str">
        <f t="shared" si="506"/>
        <v/>
      </c>
      <c r="DI367" s="66" t="str">
        <f t="shared" si="507"/>
        <v/>
      </c>
      <c r="DJ367" t="s">
        <v>0</v>
      </c>
      <c r="DK367" s="19" t="str">
        <f t="shared" si="508"/>
        <v/>
      </c>
      <c r="DL367" s="47" t="s">
        <v>0</v>
      </c>
      <c r="DM367" s="19" t="str">
        <f t="shared" si="509"/>
        <v/>
      </c>
      <c r="DN367" s="47" t="s">
        <v>0</v>
      </c>
      <c r="DO367" s="52" t="str">
        <f t="shared" si="449"/>
        <v/>
      </c>
      <c r="DP367" s="53" t="str">
        <f t="shared" si="450"/>
        <v/>
      </c>
      <c r="DQ367" s="47" t="s">
        <v>0</v>
      </c>
      <c r="DR367" s="52" t="str">
        <f t="shared" si="451"/>
        <v/>
      </c>
      <c r="DS367" s="53" t="str">
        <f t="shared" si="452"/>
        <v/>
      </c>
      <c r="DT367" s="47" t="s">
        <v>0</v>
      </c>
      <c r="DU367" s="52" t="str">
        <f t="shared" si="453"/>
        <v/>
      </c>
      <c r="DV367" s="53" t="str">
        <f t="shared" si="454"/>
        <v/>
      </c>
      <c r="DW367" s="47" t="s">
        <v>0</v>
      </c>
      <c r="DX367" s="58" t="str">
        <f t="shared" si="497"/>
        <v/>
      </c>
      <c r="DY367" s="53" t="str" cm="1">
        <f t="array" ref="DY367">IF(DX367&lt;&gt;"",INDEX(regNatjecatelj_id,DX367,0),IF(BD367&lt;&gt;"",BD367,""))</f>
        <v/>
      </c>
      <c r="DZ367" s="47" t="s">
        <v>0</v>
      </c>
      <c r="EA367" s="58" t="str">
        <f t="shared" si="455"/>
        <v/>
      </c>
      <c r="EB367" s="73" t="str">
        <f t="shared" si="456"/>
        <v/>
      </c>
      <c r="EC367" s="73" t="str">
        <f t="shared" si="457"/>
        <v/>
      </c>
      <c r="ED367" s="73" t="str">
        <f t="shared" si="458"/>
        <v/>
      </c>
      <c r="EE367" s="66" t="str">
        <f t="shared" si="459"/>
        <v/>
      </c>
      <c r="EF367" s="47" t="s">
        <v>0</v>
      </c>
      <c r="EG367" s="58" t="str">
        <f>IF(AL367="","",MAX(EG$12:EG366)+1)</f>
        <v/>
      </c>
      <c r="EH367" s="73" t="str">
        <f t="shared" si="460"/>
        <v/>
      </c>
      <c r="EI367" s="73" t="str">
        <f t="shared" si="498"/>
        <v/>
      </c>
      <c r="EJ367" s="73" t="str">
        <f t="shared" si="461"/>
        <v/>
      </c>
      <c r="EK367" s="73" t="str">
        <f t="shared" si="462"/>
        <v/>
      </c>
      <c r="EL367" s="73" t="str">
        <f t="shared" si="499"/>
        <v/>
      </c>
      <c r="EM367" s="73" t="str">
        <f t="shared" si="500"/>
        <v/>
      </c>
      <c r="EN367" s="73" t="str">
        <f t="shared" si="463"/>
        <v/>
      </c>
      <c r="EO367" s="73" t="str">
        <f t="shared" si="464"/>
        <v/>
      </c>
      <c r="EP367" s="73" t="str">
        <f t="shared" si="465"/>
        <v/>
      </c>
      <c r="EQ367" s="53" t="str">
        <f t="shared" si="466"/>
        <v/>
      </c>
      <c r="ER367" s="47" t="s">
        <v>0</v>
      </c>
      <c r="ES367" s="19" t="str">
        <f t="shared" si="501"/>
        <v/>
      </c>
      <c r="ET367" s="47" t="s">
        <v>0</v>
      </c>
      <c r="EU367" s="19" t="str">
        <f t="shared" si="502"/>
        <v/>
      </c>
      <c r="EV367" s="47" t="s">
        <v>0</v>
      </c>
      <c r="EW367" s="180" t="str">
        <f t="shared" si="467"/>
        <v/>
      </c>
      <c r="EX367" s="47" t="s">
        <v>0</v>
      </c>
    </row>
    <row r="368" spans="1:154" x14ac:dyDescent="0.25">
      <c r="A368" t="s">
        <v>0</v>
      </c>
      <c r="B368" s="52" t="str">
        <f>IF(csv!F358="","",csv!T358)</f>
        <v/>
      </c>
      <c r="C368" s="31" t="s">
        <v>0</v>
      </c>
      <c r="D368" s="31" t="str">
        <f>IF(csv!F358="","",csv!F358)</f>
        <v/>
      </c>
      <c r="E368" s="31" t="str">
        <f>IF(csv!E358="","",csv!E358)</f>
        <v/>
      </c>
      <c r="F368" s="31" t="s">
        <v>0</v>
      </c>
      <c r="G368" s="73" t="str">
        <f>IF(csv!M358="","",csv!M358)</f>
        <v/>
      </c>
      <c r="H368" s="73" t="str">
        <f>IF(csv!N358="","",csv!N358)</f>
        <v/>
      </c>
      <c r="I368" s="31" t="s">
        <v>0</v>
      </c>
      <c r="J368" s="31" t="str">
        <f>IF(csv!P358="","",csv!P358)</f>
        <v/>
      </c>
      <c r="K368" s="31" t="str">
        <f>IF(csv!Q358="","",csv!Q358)</f>
        <v/>
      </c>
      <c r="L368" s="31" t="s">
        <v>0</v>
      </c>
      <c r="M368" s="66" t="str">
        <f>IF(csv!R358="","",csv!R358)</f>
        <v/>
      </c>
      <c r="N368" s="47" t="s">
        <v>0</v>
      </c>
      <c r="O368" s="246" t="str">
        <f t="shared" si="468"/>
        <v/>
      </c>
      <c r="P368" s="47"/>
      <c r="Q368" s="52" t="str">
        <f t="shared" si="469"/>
        <v/>
      </c>
      <c r="R368" s="73" t="str">
        <f>IF(Q368="","",IF(COUNTIF(Q$12:Q367,Q368)=0,R367+1,R367))</f>
        <v/>
      </c>
      <c r="S368" s="73" t="str">
        <f t="shared" si="470"/>
        <v/>
      </c>
      <c r="T368" s="73" t="str">
        <f t="shared" si="434"/>
        <v/>
      </c>
      <c r="U368" s="66" t="str">
        <f t="shared" si="435"/>
        <v/>
      </c>
      <c r="V368" s="47" t="s">
        <v>0</v>
      </c>
      <c r="W368" s="222" t="str">
        <f t="shared" si="436"/>
        <v/>
      </c>
      <c r="X368" s="223" t="str">
        <f t="shared" si="437"/>
        <v/>
      </c>
      <c r="Y368" s="47" t="s">
        <v>0</v>
      </c>
      <c r="Z368" s="52" t="str">
        <f t="shared" si="471"/>
        <v/>
      </c>
      <c r="AA368" s="73" t="str">
        <f t="shared" si="438"/>
        <v/>
      </c>
      <c r="AB368" s="31" t="str">
        <f t="shared" si="472"/>
        <v/>
      </c>
      <c r="AC368" s="66" t="str">
        <f>IF(AB368="","",MAX(AC$12:AC367)+1)</f>
        <v/>
      </c>
      <c r="AD368" s="47" t="s">
        <v>0</v>
      </c>
      <c r="AE368" s="125"/>
      <c r="AF368" s="47" t="s">
        <v>0</v>
      </c>
      <c r="AG368" s="19" t="str">
        <f t="shared" si="473"/>
        <v/>
      </c>
      <c r="AH368" s="47" t="s">
        <v>0</v>
      </c>
      <c r="AI368" s="143" t="str">
        <f t="shared" si="474"/>
        <v/>
      </c>
      <c r="AJ368" s="47"/>
      <c r="AK368" s="52" t="str">
        <f t="shared" si="475"/>
        <v/>
      </c>
      <c r="AL368" s="31" t="str">
        <f t="shared" si="476"/>
        <v/>
      </c>
      <c r="AM368" s="73" t="str">
        <f t="shared" si="477"/>
        <v/>
      </c>
      <c r="AN368" s="73" t="str">
        <f t="shared" si="478"/>
        <v/>
      </c>
      <c r="AO368" s="31" t="str">
        <f t="shared" si="439"/>
        <v/>
      </c>
      <c r="AP368" s="66" t="str">
        <f t="shared" si="440"/>
        <v/>
      </c>
      <c r="AQ368" s="47" t="s">
        <v>0</v>
      </c>
      <c r="AR368" s="82" t="str">
        <f t="shared" si="479"/>
        <v/>
      </c>
      <c r="AS368" s="47" t="s">
        <v>0</v>
      </c>
      <c r="AT368" s="19" t="str">
        <f t="shared" si="480"/>
        <v/>
      </c>
      <c r="AU368" s="47" t="s">
        <v>0</v>
      </c>
      <c r="AV368" s="103"/>
      <c r="AW368" s="105"/>
      <c r="AX368" s="47" t="s">
        <v>0</v>
      </c>
      <c r="AY368" s="259" t="str">
        <f t="shared" si="503"/>
        <v/>
      </c>
      <c r="AZ368" s="47" t="s">
        <v>0</v>
      </c>
      <c r="BA368" s="52" t="str">
        <f t="shared" si="433"/>
        <v/>
      </c>
      <c r="BB368" s="73" t="str">
        <f>IF(AV368&amp;AW368="","",MAX(BB$12:BB367)+1)</f>
        <v/>
      </c>
      <c r="BC368" s="272" t="str">
        <f t="shared" si="441"/>
        <v/>
      </c>
      <c r="BD368" s="53" t="str">
        <f>IF(AND(AM368="NEMA",AN368="NEMA",OR(AV368&amp;AW368="",BC368="NEMA")),MAX(BD$12:BD367)+1,"")</f>
        <v/>
      </c>
      <c r="BE368" s="47" t="s">
        <v>0</v>
      </c>
      <c r="BF368" s="52" t="str">
        <f t="shared" si="481"/>
        <v/>
      </c>
      <c r="BG368" s="66" t="str">
        <f t="shared" si="482"/>
        <v/>
      </c>
      <c r="BH368" s="47" t="s">
        <v>0</v>
      </c>
      <c r="BI368" s="52" t="str">
        <f t="shared" si="442"/>
        <v/>
      </c>
      <c r="BJ368" s="31" t="str">
        <f t="shared" si="443"/>
        <v/>
      </c>
      <c r="BK368" s="73" t="str">
        <f t="shared" si="444"/>
        <v/>
      </c>
      <c r="BL368" s="31" t="str" cm="1">
        <f t="array" ref="BL368">IF(BK368="",""&amp;BJ368,IF(BK368="NEMA",BJ368,INDEX(regKlub_naziv,MATCH(INDEX(regKlub_alias_klubId,BK368),regKlub_id,0))))</f>
        <v/>
      </c>
      <c r="BM368" s="31" t="str" cm="1">
        <f t="array" ref="BM368">IFERROR(""&amp;INDEX(regNatjecatelj_klub,DV368),"")</f>
        <v/>
      </c>
      <c r="BN368" s="88" t="str">
        <f t="shared" si="483"/>
        <v/>
      </c>
      <c r="BO368" s="66" t="str">
        <f t="shared" si="484"/>
        <v/>
      </c>
      <c r="BP368" s="47" t="s">
        <v>0</v>
      </c>
      <c r="BQ368" s="52" t="str">
        <f>IF(X368&lt;&gt;"NEMA","",IF(IFERROR(MATCH(W368,W$12:W367,0),0)&lt;&gt;0,"",W368))</f>
        <v/>
      </c>
      <c r="BR368" s="73" t="str">
        <f t="shared" si="485"/>
        <v/>
      </c>
      <c r="BS368" s="31" t="str">
        <f>IF(OR(BR368="",BR368&lt;&gt;"NEMA"),"",MAX(BS$12:BS367)+1)</f>
        <v/>
      </c>
      <c r="BT368" s="66" t="str">
        <f t="shared" si="486"/>
        <v/>
      </c>
      <c r="BU368" s="47" t="s">
        <v>0</v>
      </c>
      <c r="BV368" s="19" t="str">
        <f t="shared" si="487"/>
        <v/>
      </c>
      <c r="BW368" s="47" t="s">
        <v>0</v>
      </c>
      <c r="BX368" s="82" t="str">
        <f>IF(BK368&lt;&gt;"NEMA","",IF(IFERROR(MATCH(BJ368,BJ$12:BJ367,0),0)&lt;&gt;0,"",BJ368))</f>
        <v/>
      </c>
      <c r="BY368" s="47" t="s">
        <v>0</v>
      </c>
      <c r="BZ368" s="125"/>
      <c r="CA368" s="47" t="s">
        <v>0</v>
      </c>
      <c r="CB368" s="58" t="str">
        <f t="shared" si="488"/>
        <v/>
      </c>
      <c r="CC368" s="31" t="str">
        <f t="shared" si="489"/>
        <v/>
      </c>
      <c r="CD368" s="31" t="str">
        <f>IF(CC368="","",MAX(CD$12:CD367)+1)</f>
        <v/>
      </c>
      <c r="CE368" s="31" t="str">
        <f t="shared" si="445"/>
        <v/>
      </c>
      <c r="CF368" s="31" t="str">
        <f t="shared" si="490"/>
        <v/>
      </c>
      <c r="CG368" s="31" t="str">
        <f>IF(BZ368="","",MAX(CG$12:CG367)+1)</f>
        <v/>
      </c>
      <c r="CH368" s="31" t="str">
        <f t="shared" si="491"/>
        <v/>
      </c>
      <c r="CI368" s="66" t="str">
        <f t="shared" si="492"/>
        <v/>
      </c>
      <c r="CJ368" s="47" t="s">
        <v>0</v>
      </c>
      <c r="CK368" s="73" t="str">
        <f t="shared" si="446"/>
        <v/>
      </c>
      <c r="CL368" s="47"/>
      <c r="CM368" s="19" t="str">
        <f t="shared" si="493"/>
        <v/>
      </c>
      <c r="CN368" s="47" t="s">
        <v>0</v>
      </c>
      <c r="CO368" s="143" t="str">
        <f t="shared" si="494"/>
        <v/>
      </c>
      <c r="CP368" s="47" t="s">
        <v>0</v>
      </c>
      <c r="CQ368" s="58" t="str">
        <f t="shared" si="510"/>
        <v/>
      </c>
      <c r="CR368" s="73" t="str">
        <f t="shared" si="511"/>
        <v/>
      </c>
      <c r="CS368" s="229" t="str">
        <f t="shared" si="447"/>
        <v/>
      </c>
      <c r="CT368" s="230" t="str">
        <f t="shared" si="432"/>
        <v/>
      </c>
      <c r="CU368" s="163" t="str">
        <f t="shared" si="448"/>
        <v/>
      </c>
      <c r="CV368" s="47" t="s">
        <v>0</v>
      </c>
      <c r="CW368" s="222" t="str">
        <f t="shared" si="495"/>
        <v xml:space="preserve">
</v>
      </c>
      <c r="CX368" s="223" t="str">
        <f t="shared" si="496"/>
        <v/>
      </c>
      <c r="CY368" s="47" t="s">
        <v>0</v>
      </c>
      <c r="CZ368" s="47"/>
      <c r="DA368" s="47"/>
      <c r="DB368" s="47"/>
      <c r="DC368" s="47" t="s">
        <v>0</v>
      </c>
      <c r="DD368" s="53" t="str">
        <f t="shared" si="504"/>
        <v/>
      </c>
      <c r="DE368" t="s">
        <v>0</v>
      </c>
      <c r="DF368" s="128" t="str">
        <f t="shared" si="505"/>
        <v/>
      </c>
      <c r="DG368" t="s">
        <v>0</v>
      </c>
      <c r="DH368" s="52" t="str">
        <f t="shared" si="506"/>
        <v/>
      </c>
      <c r="DI368" s="66" t="str">
        <f t="shared" si="507"/>
        <v/>
      </c>
      <c r="DJ368" t="s">
        <v>0</v>
      </c>
      <c r="DK368" s="19" t="str">
        <f t="shared" si="508"/>
        <v/>
      </c>
      <c r="DL368" s="47" t="s">
        <v>0</v>
      </c>
      <c r="DM368" s="19" t="str">
        <f t="shared" si="509"/>
        <v/>
      </c>
      <c r="DN368" s="47" t="s">
        <v>0</v>
      </c>
      <c r="DO368" s="52" t="str">
        <f t="shared" si="449"/>
        <v/>
      </c>
      <c r="DP368" s="53" t="str">
        <f t="shared" si="450"/>
        <v/>
      </c>
      <c r="DQ368" s="47" t="s">
        <v>0</v>
      </c>
      <c r="DR368" s="52" t="str">
        <f t="shared" si="451"/>
        <v/>
      </c>
      <c r="DS368" s="53" t="str">
        <f t="shared" si="452"/>
        <v/>
      </c>
      <c r="DT368" s="47" t="s">
        <v>0</v>
      </c>
      <c r="DU368" s="52" t="str">
        <f t="shared" si="453"/>
        <v/>
      </c>
      <c r="DV368" s="53" t="str">
        <f t="shared" si="454"/>
        <v/>
      </c>
      <c r="DW368" s="47" t="s">
        <v>0</v>
      </c>
      <c r="DX368" s="58" t="str">
        <f t="shared" si="497"/>
        <v/>
      </c>
      <c r="DY368" s="53" t="str" cm="1">
        <f t="array" ref="DY368">IF(DX368&lt;&gt;"",INDEX(regNatjecatelj_id,DX368,0),IF(BD368&lt;&gt;"",BD368,""))</f>
        <v/>
      </c>
      <c r="DZ368" s="47" t="s">
        <v>0</v>
      </c>
      <c r="EA368" s="58" t="str">
        <f t="shared" si="455"/>
        <v/>
      </c>
      <c r="EB368" s="73" t="str">
        <f t="shared" si="456"/>
        <v/>
      </c>
      <c r="EC368" s="73" t="str">
        <f t="shared" si="457"/>
        <v/>
      </c>
      <c r="ED368" s="73" t="str">
        <f t="shared" si="458"/>
        <v/>
      </c>
      <c r="EE368" s="66" t="str">
        <f t="shared" si="459"/>
        <v/>
      </c>
      <c r="EF368" s="47" t="s">
        <v>0</v>
      </c>
      <c r="EG368" s="58" t="str">
        <f>IF(AL368="","",MAX(EG$12:EG367)+1)</f>
        <v/>
      </c>
      <c r="EH368" s="73" t="str">
        <f t="shared" si="460"/>
        <v/>
      </c>
      <c r="EI368" s="73" t="str">
        <f t="shared" si="498"/>
        <v/>
      </c>
      <c r="EJ368" s="73" t="str">
        <f t="shared" si="461"/>
        <v/>
      </c>
      <c r="EK368" s="73" t="str">
        <f t="shared" si="462"/>
        <v/>
      </c>
      <c r="EL368" s="73" t="str">
        <f t="shared" si="499"/>
        <v/>
      </c>
      <c r="EM368" s="73" t="str">
        <f t="shared" si="500"/>
        <v/>
      </c>
      <c r="EN368" s="73" t="str">
        <f t="shared" si="463"/>
        <v/>
      </c>
      <c r="EO368" s="73" t="str">
        <f t="shared" si="464"/>
        <v/>
      </c>
      <c r="EP368" s="73" t="str">
        <f t="shared" si="465"/>
        <v/>
      </c>
      <c r="EQ368" s="53" t="str">
        <f t="shared" si="466"/>
        <v/>
      </c>
      <c r="ER368" s="47" t="s">
        <v>0</v>
      </c>
      <c r="ES368" s="19" t="str">
        <f t="shared" si="501"/>
        <v/>
      </c>
      <c r="ET368" s="47" t="s">
        <v>0</v>
      </c>
      <c r="EU368" s="19" t="str">
        <f t="shared" si="502"/>
        <v/>
      </c>
      <c r="EV368" s="47" t="s">
        <v>0</v>
      </c>
      <c r="EW368" s="180" t="str">
        <f t="shared" si="467"/>
        <v/>
      </c>
      <c r="EX368" s="47" t="s">
        <v>0</v>
      </c>
    </row>
    <row r="369" spans="1:154" x14ac:dyDescent="0.25">
      <c r="A369" t="s">
        <v>0</v>
      </c>
      <c r="B369" s="52" t="str">
        <f>IF(csv!F359="","",csv!T359)</f>
        <v/>
      </c>
      <c r="C369" s="31" t="s">
        <v>0</v>
      </c>
      <c r="D369" s="31" t="str">
        <f>IF(csv!F359="","",csv!F359)</f>
        <v/>
      </c>
      <c r="E369" s="31" t="str">
        <f>IF(csv!E359="","",csv!E359)</f>
        <v/>
      </c>
      <c r="F369" s="31" t="s">
        <v>0</v>
      </c>
      <c r="G369" s="73" t="str">
        <f>IF(csv!M359="","",csv!M359)</f>
        <v/>
      </c>
      <c r="H369" s="73" t="str">
        <f>IF(csv!N359="","",csv!N359)</f>
        <v/>
      </c>
      <c r="I369" s="31" t="s">
        <v>0</v>
      </c>
      <c r="J369" s="31" t="str">
        <f>IF(csv!P359="","",csv!P359)</f>
        <v/>
      </c>
      <c r="K369" s="31" t="str">
        <f>IF(csv!Q359="","",csv!Q359)</f>
        <v/>
      </c>
      <c r="L369" s="31" t="s">
        <v>0</v>
      </c>
      <c r="M369" s="66" t="str">
        <f>IF(csv!R359="","",csv!R359)</f>
        <v/>
      </c>
      <c r="N369" s="47" t="s">
        <v>0</v>
      </c>
      <c r="O369" s="246" t="str">
        <f t="shared" si="468"/>
        <v/>
      </c>
      <c r="P369" s="47"/>
      <c r="Q369" s="52" t="str">
        <f t="shared" si="469"/>
        <v/>
      </c>
      <c r="R369" s="73" t="str">
        <f>IF(Q369="","",IF(COUNTIF(Q$12:Q368,Q369)=0,R368+1,R368))</f>
        <v/>
      </c>
      <c r="S369" s="73" t="str">
        <f t="shared" si="470"/>
        <v/>
      </c>
      <c r="T369" s="73" t="str">
        <f t="shared" si="434"/>
        <v/>
      </c>
      <c r="U369" s="66" t="str">
        <f t="shared" si="435"/>
        <v/>
      </c>
      <c r="V369" s="47" t="s">
        <v>0</v>
      </c>
      <c r="W369" s="222" t="str">
        <f t="shared" si="436"/>
        <v/>
      </c>
      <c r="X369" s="223" t="str">
        <f t="shared" si="437"/>
        <v/>
      </c>
      <c r="Y369" s="47" t="s">
        <v>0</v>
      </c>
      <c r="Z369" s="52" t="str">
        <f t="shared" si="471"/>
        <v/>
      </c>
      <c r="AA369" s="73" t="str">
        <f t="shared" si="438"/>
        <v/>
      </c>
      <c r="AB369" s="31" t="str">
        <f t="shared" si="472"/>
        <v/>
      </c>
      <c r="AC369" s="66" t="str">
        <f>IF(AB369="","",MAX(AC$12:AC368)+1)</f>
        <v/>
      </c>
      <c r="AD369" s="47" t="s">
        <v>0</v>
      </c>
      <c r="AE369" s="125"/>
      <c r="AF369" s="47" t="s">
        <v>0</v>
      </c>
      <c r="AG369" s="19" t="str">
        <f t="shared" si="473"/>
        <v/>
      </c>
      <c r="AH369" s="47" t="s">
        <v>0</v>
      </c>
      <c r="AI369" s="143" t="str">
        <f t="shared" si="474"/>
        <v/>
      </c>
      <c r="AJ369" s="47"/>
      <c r="AK369" s="52" t="str">
        <f t="shared" si="475"/>
        <v/>
      </c>
      <c r="AL369" s="31" t="str">
        <f t="shared" si="476"/>
        <v/>
      </c>
      <c r="AM369" s="73" t="str">
        <f t="shared" si="477"/>
        <v/>
      </c>
      <c r="AN369" s="73" t="str">
        <f t="shared" si="478"/>
        <v/>
      </c>
      <c r="AO369" s="31" t="str">
        <f t="shared" si="439"/>
        <v/>
      </c>
      <c r="AP369" s="66" t="str">
        <f t="shared" si="440"/>
        <v/>
      </c>
      <c r="AQ369" s="47" t="s">
        <v>0</v>
      </c>
      <c r="AR369" s="82" t="str">
        <f t="shared" si="479"/>
        <v/>
      </c>
      <c r="AS369" s="47" t="s">
        <v>0</v>
      </c>
      <c r="AT369" s="19" t="str">
        <f t="shared" si="480"/>
        <v/>
      </c>
      <c r="AU369" s="47" t="s">
        <v>0</v>
      </c>
      <c r="AV369" s="103"/>
      <c r="AW369" s="105"/>
      <c r="AX369" s="47" t="s">
        <v>0</v>
      </c>
      <c r="AY369" s="259" t="str">
        <f t="shared" si="503"/>
        <v/>
      </c>
      <c r="AZ369" s="47" t="s">
        <v>0</v>
      </c>
      <c r="BA369" s="52" t="str">
        <f t="shared" si="433"/>
        <v/>
      </c>
      <c r="BB369" s="73" t="str">
        <f>IF(AV369&amp;AW369="","",MAX(BB$12:BB368)+1)</f>
        <v/>
      </c>
      <c r="BC369" s="272" t="str">
        <f t="shared" si="441"/>
        <v/>
      </c>
      <c r="BD369" s="53" t="str">
        <f>IF(AND(AM369="NEMA",AN369="NEMA",OR(AV369&amp;AW369="",BC369="NEMA")),MAX(BD$12:BD368)+1,"")</f>
        <v/>
      </c>
      <c r="BE369" s="47" t="s">
        <v>0</v>
      </c>
      <c r="BF369" s="52" t="str">
        <f t="shared" si="481"/>
        <v/>
      </c>
      <c r="BG369" s="66" t="str">
        <f t="shared" si="482"/>
        <v/>
      </c>
      <c r="BH369" s="47" t="s">
        <v>0</v>
      </c>
      <c r="BI369" s="52" t="str">
        <f t="shared" si="442"/>
        <v/>
      </c>
      <c r="BJ369" s="31" t="str">
        <f t="shared" si="443"/>
        <v/>
      </c>
      <c r="BK369" s="73" t="str">
        <f t="shared" si="444"/>
        <v/>
      </c>
      <c r="BL369" s="31" t="str" cm="1">
        <f t="array" ref="BL369">IF(BK369="",""&amp;BJ369,IF(BK369="NEMA",BJ369,INDEX(regKlub_naziv,MATCH(INDEX(regKlub_alias_klubId,BK369),regKlub_id,0))))</f>
        <v/>
      </c>
      <c r="BM369" s="31" t="str" cm="1">
        <f t="array" ref="BM369">IFERROR(""&amp;INDEX(regNatjecatelj_klub,DV369),"")</f>
        <v/>
      </c>
      <c r="BN369" s="88" t="str">
        <f t="shared" si="483"/>
        <v/>
      </c>
      <c r="BO369" s="66" t="str">
        <f t="shared" si="484"/>
        <v/>
      </c>
      <c r="BP369" s="47" t="s">
        <v>0</v>
      </c>
      <c r="BQ369" s="52" t="str">
        <f>IF(X369&lt;&gt;"NEMA","",IF(IFERROR(MATCH(W369,W$12:W368,0),0)&lt;&gt;0,"",W369))</f>
        <v/>
      </c>
      <c r="BR369" s="73" t="str">
        <f t="shared" si="485"/>
        <v/>
      </c>
      <c r="BS369" s="31" t="str">
        <f>IF(OR(BR369="",BR369&lt;&gt;"NEMA"),"",MAX(BS$12:BS368)+1)</f>
        <v/>
      </c>
      <c r="BT369" s="66" t="str">
        <f t="shared" si="486"/>
        <v/>
      </c>
      <c r="BU369" s="47" t="s">
        <v>0</v>
      </c>
      <c r="BV369" s="19" t="str">
        <f t="shared" si="487"/>
        <v/>
      </c>
      <c r="BW369" s="47" t="s">
        <v>0</v>
      </c>
      <c r="BX369" s="82" t="str">
        <f>IF(BK369&lt;&gt;"NEMA","",IF(IFERROR(MATCH(BJ369,BJ$12:BJ368,0),0)&lt;&gt;0,"",BJ369))</f>
        <v/>
      </c>
      <c r="BY369" s="47" t="s">
        <v>0</v>
      </c>
      <c r="BZ369" s="125"/>
      <c r="CA369" s="47" t="s">
        <v>0</v>
      </c>
      <c r="CB369" s="58" t="str">
        <f t="shared" si="488"/>
        <v/>
      </c>
      <c r="CC369" s="31" t="str">
        <f t="shared" si="489"/>
        <v/>
      </c>
      <c r="CD369" s="31" t="str">
        <f>IF(CC369="","",MAX(CD$12:CD368)+1)</f>
        <v/>
      </c>
      <c r="CE369" s="31" t="str">
        <f t="shared" si="445"/>
        <v/>
      </c>
      <c r="CF369" s="31" t="str">
        <f t="shared" si="490"/>
        <v/>
      </c>
      <c r="CG369" s="31" t="str">
        <f>IF(BZ369="","",MAX(CG$12:CG368)+1)</f>
        <v/>
      </c>
      <c r="CH369" s="31" t="str">
        <f t="shared" si="491"/>
        <v/>
      </c>
      <c r="CI369" s="66" t="str">
        <f t="shared" si="492"/>
        <v/>
      </c>
      <c r="CJ369" s="47" t="s">
        <v>0</v>
      </c>
      <c r="CK369" s="73" t="str">
        <f t="shared" si="446"/>
        <v/>
      </c>
      <c r="CL369" s="47"/>
      <c r="CM369" s="19" t="str">
        <f t="shared" si="493"/>
        <v/>
      </c>
      <c r="CN369" s="47" t="s">
        <v>0</v>
      </c>
      <c r="CO369" s="143" t="str">
        <f t="shared" si="494"/>
        <v/>
      </c>
      <c r="CP369" s="47" t="s">
        <v>0</v>
      </c>
      <c r="CQ369" s="58" t="str">
        <f t="shared" si="510"/>
        <v/>
      </c>
      <c r="CR369" s="73" t="str">
        <f t="shared" si="511"/>
        <v/>
      </c>
      <c r="CS369" s="229" t="str">
        <f t="shared" si="447"/>
        <v/>
      </c>
      <c r="CT369" s="230" t="str">
        <f t="shared" si="432"/>
        <v/>
      </c>
      <c r="CU369" s="163" t="str">
        <f t="shared" si="448"/>
        <v/>
      </c>
      <c r="CV369" s="47" t="s">
        <v>0</v>
      </c>
      <c r="CW369" s="222" t="str">
        <f t="shared" si="495"/>
        <v xml:space="preserve">
</v>
      </c>
      <c r="CX369" s="223" t="str">
        <f t="shared" si="496"/>
        <v/>
      </c>
      <c r="CY369" s="47" t="s">
        <v>0</v>
      </c>
      <c r="CZ369" s="47"/>
      <c r="DA369" s="47"/>
      <c r="DB369" s="47"/>
      <c r="DC369" s="47" t="s">
        <v>0</v>
      </c>
      <c r="DD369" s="53" t="str">
        <f t="shared" si="504"/>
        <v/>
      </c>
      <c r="DE369" t="s">
        <v>0</v>
      </c>
      <c r="DF369" s="128" t="str">
        <f t="shared" si="505"/>
        <v/>
      </c>
      <c r="DG369" t="s">
        <v>0</v>
      </c>
      <c r="DH369" s="52" t="str">
        <f t="shared" si="506"/>
        <v/>
      </c>
      <c r="DI369" s="66" t="str">
        <f t="shared" si="507"/>
        <v/>
      </c>
      <c r="DJ369" t="s">
        <v>0</v>
      </c>
      <c r="DK369" s="19" t="str">
        <f t="shared" si="508"/>
        <v/>
      </c>
      <c r="DL369" s="47" t="s">
        <v>0</v>
      </c>
      <c r="DM369" s="19" t="str">
        <f t="shared" si="509"/>
        <v/>
      </c>
      <c r="DN369" s="47" t="s">
        <v>0</v>
      </c>
      <c r="DO369" s="52" t="str">
        <f t="shared" si="449"/>
        <v/>
      </c>
      <c r="DP369" s="53" t="str">
        <f t="shared" si="450"/>
        <v/>
      </c>
      <c r="DQ369" s="47" t="s">
        <v>0</v>
      </c>
      <c r="DR369" s="52" t="str">
        <f t="shared" si="451"/>
        <v/>
      </c>
      <c r="DS369" s="53" t="str">
        <f t="shared" si="452"/>
        <v/>
      </c>
      <c r="DT369" s="47" t="s">
        <v>0</v>
      </c>
      <c r="DU369" s="52" t="str">
        <f t="shared" si="453"/>
        <v/>
      </c>
      <c r="DV369" s="53" t="str">
        <f t="shared" si="454"/>
        <v/>
      </c>
      <c r="DW369" s="47" t="s">
        <v>0</v>
      </c>
      <c r="DX369" s="58" t="str">
        <f t="shared" si="497"/>
        <v/>
      </c>
      <c r="DY369" s="53" t="str" cm="1">
        <f t="array" ref="DY369">IF(DX369&lt;&gt;"",INDEX(regNatjecatelj_id,DX369,0),IF(BD369&lt;&gt;"",BD369,""))</f>
        <v/>
      </c>
      <c r="DZ369" s="47" t="s">
        <v>0</v>
      </c>
      <c r="EA369" s="58" t="str">
        <f t="shared" si="455"/>
        <v/>
      </c>
      <c r="EB369" s="73" t="str">
        <f t="shared" si="456"/>
        <v/>
      </c>
      <c r="EC369" s="73" t="str">
        <f t="shared" si="457"/>
        <v/>
      </c>
      <c r="ED369" s="73" t="str">
        <f t="shared" si="458"/>
        <v/>
      </c>
      <c r="EE369" s="66" t="str">
        <f t="shared" si="459"/>
        <v/>
      </c>
      <c r="EF369" s="47" t="s">
        <v>0</v>
      </c>
      <c r="EG369" s="58" t="str">
        <f>IF(AL369="","",MAX(EG$12:EG368)+1)</f>
        <v/>
      </c>
      <c r="EH369" s="73" t="str">
        <f t="shared" si="460"/>
        <v/>
      </c>
      <c r="EI369" s="73" t="str">
        <f t="shared" si="498"/>
        <v/>
      </c>
      <c r="EJ369" s="73" t="str">
        <f t="shared" si="461"/>
        <v/>
      </c>
      <c r="EK369" s="73" t="str">
        <f t="shared" si="462"/>
        <v/>
      </c>
      <c r="EL369" s="73" t="str">
        <f t="shared" si="499"/>
        <v/>
      </c>
      <c r="EM369" s="73" t="str">
        <f t="shared" si="500"/>
        <v/>
      </c>
      <c r="EN369" s="73" t="str">
        <f t="shared" si="463"/>
        <v/>
      </c>
      <c r="EO369" s="73" t="str">
        <f t="shared" si="464"/>
        <v/>
      </c>
      <c r="EP369" s="73" t="str">
        <f t="shared" si="465"/>
        <v/>
      </c>
      <c r="EQ369" s="53" t="str">
        <f t="shared" si="466"/>
        <v/>
      </c>
      <c r="ER369" s="47" t="s">
        <v>0</v>
      </c>
      <c r="ES369" s="19" t="str">
        <f t="shared" si="501"/>
        <v/>
      </c>
      <c r="ET369" s="47" t="s">
        <v>0</v>
      </c>
      <c r="EU369" s="19" t="str">
        <f t="shared" si="502"/>
        <v/>
      </c>
      <c r="EV369" s="47" t="s">
        <v>0</v>
      </c>
      <c r="EW369" s="180" t="str">
        <f t="shared" si="467"/>
        <v/>
      </c>
      <c r="EX369" s="47" t="s">
        <v>0</v>
      </c>
    </row>
    <row r="370" spans="1:154" x14ac:dyDescent="0.25">
      <c r="A370" t="s">
        <v>0</v>
      </c>
      <c r="B370" s="52" t="str">
        <f>IF(csv!F360="","",csv!T360)</f>
        <v/>
      </c>
      <c r="C370" s="31" t="s">
        <v>0</v>
      </c>
      <c r="D370" s="31" t="str">
        <f>IF(csv!F360="","",csv!F360)</f>
        <v/>
      </c>
      <c r="E370" s="31" t="str">
        <f>IF(csv!E360="","",csv!E360)</f>
        <v/>
      </c>
      <c r="F370" s="31" t="s">
        <v>0</v>
      </c>
      <c r="G370" s="73" t="str">
        <f>IF(csv!M360="","",csv!M360)</f>
        <v/>
      </c>
      <c r="H370" s="73" t="str">
        <f>IF(csv!N360="","",csv!N360)</f>
        <v/>
      </c>
      <c r="I370" s="31" t="s">
        <v>0</v>
      </c>
      <c r="J370" s="31" t="str">
        <f>IF(csv!P360="","",csv!P360)</f>
        <v/>
      </c>
      <c r="K370" s="31" t="str">
        <f>IF(csv!Q360="","",csv!Q360)</f>
        <v/>
      </c>
      <c r="L370" s="31" t="s">
        <v>0</v>
      </c>
      <c r="M370" s="66" t="str">
        <f>IF(csv!R360="","",csv!R360)</f>
        <v/>
      </c>
      <c r="N370" s="47" t="s">
        <v>0</v>
      </c>
      <c r="O370" s="246" t="str">
        <f t="shared" si="468"/>
        <v/>
      </c>
      <c r="P370" s="47"/>
      <c r="Q370" s="52" t="str">
        <f t="shared" si="469"/>
        <v/>
      </c>
      <c r="R370" s="73" t="str">
        <f>IF(Q370="","",IF(COUNTIF(Q$12:Q369,Q370)=0,R369+1,R369))</f>
        <v/>
      </c>
      <c r="S370" s="73" t="str">
        <f t="shared" si="470"/>
        <v/>
      </c>
      <c r="T370" s="73" t="str">
        <f t="shared" si="434"/>
        <v/>
      </c>
      <c r="U370" s="66" t="str">
        <f t="shared" si="435"/>
        <v/>
      </c>
      <c r="V370" s="47" t="s">
        <v>0</v>
      </c>
      <c r="W370" s="222" t="str">
        <f t="shared" si="436"/>
        <v/>
      </c>
      <c r="X370" s="223" t="str">
        <f t="shared" si="437"/>
        <v/>
      </c>
      <c r="Y370" s="47" t="s">
        <v>0</v>
      </c>
      <c r="Z370" s="52" t="str">
        <f t="shared" si="471"/>
        <v/>
      </c>
      <c r="AA370" s="73" t="str">
        <f t="shared" si="438"/>
        <v/>
      </c>
      <c r="AB370" s="31" t="str">
        <f t="shared" si="472"/>
        <v/>
      </c>
      <c r="AC370" s="66" t="str">
        <f>IF(AB370="","",MAX(AC$12:AC369)+1)</f>
        <v/>
      </c>
      <c r="AD370" s="47" t="s">
        <v>0</v>
      </c>
      <c r="AE370" s="125"/>
      <c r="AF370" s="47" t="s">
        <v>0</v>
      </c>
      <c r="AG370" s="19" t="str">
        <f t="shared" si="473"/>
        <v/>
      </c>
      <c r="AH370" s="47" t="s">
        <v>0</v>
      </c>
      <c r="AI370" s="143" t="str">
        <f t="shared" si="474"/>
        <v/>
      </c>
      <c r="AJ370" s="47"/>
      <c r="AK370" s="52" t="str">
        <f t="shared" si="475"/>
        <v/>
      </c>
      <c r="AL370" s="31" t="str">
        <f t="shared" si="476"/>
        <v/>
      </c>
      <c r="AM370" s="73" t="str">
        <f t="shared" si="477"/>
        <v/>
      </c>
      <c r="AN370" s="73" t="str">
        <f t="shared" si="478"/>
        <v/>
      </c>
      <c r="AO370" s="31" t="str">
        <f t="shared" si="439"/>
        <v/>
      </c>
      <c r="AP370" s="66" t="str">
        <f t="shared" si="440"/>
        <v/>
      </c>
      <c r="AQ370" s="47" t="s">
        <v>0</v>
      </c>
      <c r="AR370" s="82" t="str">
        <f t="shared" si="479"/>
        <v/>
      </c>
      <c r="AS370" s="47" t="s">
        <v>0</v>
      </c>
      <c r="AT370" s="19" t="str">
        <f t="shared" si="480"/>
        <v/>
      </c>
      <c r="AU370" s="47" t="s">
        <v>0</v>
      </c>
      <c r="AV370" s="103"/>
      <c r="AW370" s="105"/>
      <c r="AX370" s="47" t="s">
        <v>0</v>
      </c>
      <c r="AY370" s="259" t="str">
        <f t="shared" si="503"/>
        <v/>
      </c>
      <c r="AZ370" s="47" t="s">
        <v>0</v>
      </c>
      <c r="BA370" s="52" t="str">
        <f t="shared" si="433"/>
        <v/>
      </c>
      <c r="BB370" s="73" t="str">
        <f>IF(AV370&amp;AW370="","",MAX(BB$12:BB369)+1)</f>
        <v/>
      </c>
      <c r="BC370" s="272" t="str">
        <f t="shared" si="441"/>
        <v/>
      </c>
      <c r="BD370" s="53" t="str">
        <f>IF(AND(AM370="NEMA",AN370="NEMA",OR(AV370&amp;AW370="",BC370="NEMA")),MAX(BD$12:BD369)+1,"")</f>
        <v/>
      </c>
      <c r="BE370" s="47" t="s">
        <v>0</v>
      </c>
      <c r="BF370" s="52" t="str">
        <f t="shared" si="481"/>
        <v/>
      </c>
      <c r="BG370" s="66" t="str">
        <f t="shared" si="482"/>
        <v/>
      </c>
      <c r="BH370" s="47" t="s">
        <v>0</v>
      </c>
      <c r="BI370" s="52" t="str">
        <f t="shared" si="442"/>
        <v/>
      </c>
      <c r="BJ370" s="31" t="str">
        <f t="shared" si="443"/>
        <v/>
      </c>
      <c r="BK370" s="73" t="str">
        <f t="shared" si="444"/>
        <v/>
      </c>
      <c r="BL370" s="31" t="str" cm="1">
        <f t="array" ref="BL370">IF(BK370="",""&amp;BJ370,IF(BK370="NEMA",BJ370,INDEX(regKlub_naziv,MATCH(INDEX(regKlub_alias_klubId,BK370),regKlub_id,0))))</f>
        <v/>
      </c>
      <c r="BM370" s="31" t="str" cm="1">
        <f t="array" ref="BM370">IFERROR(""&amp;INDEX(regNatjecatelj_klub,DV370),"")</f>
        <v/>
      </c>
      <c r="BN370" s="88" t="str">
        <f t="shared" si="483"/>
        <v/>
      </c>
      <c r="BO370" s="66" t="str">
        <f t="shared" si="484"/>
        <v/>
      </c>
      <c r="BP370" s="47" t="s">
        <v>0</v>
      </c>
      <c r="BQ370" s="52" t="str">
        <f>IF(X370&lt;&gt;"NEMA","",IF(IFERROR(MATCH(W370,W$12:W369,0),0)&lt;&gt;0,"",W370))</f>
        <v/>
      </c>
      <c r="BR370" s="73" t="str">
        <f t="shared" si="485"/>
        <v/>
      </c>
      <c r="BS370" s="31" t="str">
        <f>IF(OR(BR370="",BR370&lt;&gt;"NEMA"),"",MAX(BS$12:BS369)+1)</f>
        <v/>
      </c>
      <c r="BT370" s="66" t="str">
        <f t="shared" si="486"/>
        <v/>
      </c>
      <c r="BU370" s="47" t="s">
        <v>0</v>
      </c>
      <c r="BV370" s="19" t="str">
        <f t="shared" si="487"/>
        <v/>
      </c>
      <c r="BW370" s="47" t="s">
        <v>0</v>
      </c>
      <c r="BX370" s="82" t="str">
        <f>IF(BK370&lt;&gt;"NEMA","",IF(IFERROR(MATCH(BJ370,BJ$12:BJ369,0),0)&lt;&gt;0,"",BJ370))</f>
        <v/>
      </c>
      <c r="BY370" s="47" t="s">
        <v>0</v>
      </c>
      <c r="BZ370" s="125"/>
      <c r="CA370" s="47" t="s">
        <v>0</v>
      </c>
      <c r="CB370" s="58" t="str">
        <f t="shared" si="488"/>
        <v/>
      </c>
      <c r="CC370" s="31" t="str">
        <f t="shared" si="489"/>
        <v/>
      </c>
      <c r="CD370" s="31" t="str">
        <f>IF(CC370="","",MAX(CD$12:CD369)+1)</f>
        <v/>
      </c>
      <c r="CE370" s="31" t="str">
        <f t="shared" si="445"/>
        <v/>
      </c>
      <c r="CF370" s="31" t="str">
        <f t="shared" si="490"/>
        <v/>
      </c>
      <c r="CG370" s="31" t="str">
        <f>IF(BZ370="","",MAX(CG$12:CG369)+1)</f>
        <v/>
      </c>
      <c r="CH370" s="31" t="str">
        <f t="shared" si="491"/>
        <v/>
      </c>
      <c r="CI370" s="66" t="str">
        <f t="shared" si="492"/>
        <v/>
      </c>
      <c r="CJ370" s="47" t="s">
        <v>0</v>
      </c>
      <c r="CK370" s="73" t="str">
        <f t="shared" si="446"/>
        <v/>
      </c>
      <c r="CL370" s="47"/>
      <c r="CM370" s="19" t="str">
        <f t="shared" si="493"/>
        <v/>
      </c>
      <c r="CN370" s="47" t="s">
        <v>0</v>
      </c>
      <c r="CO370" s="143" t="str">
        <f t="shared" si="494"/>
        <v/>
      </c>
      <c r="CP370" s="47" t="s">
        <v>0</v>
      </c>
      <c r="CQ370" s="58" t="str">
        <f t="shared" si="510"/>
        <v/>
      </c>
      <c r="CR370" s="73" t="str">
        <f t="shared" si="511"/>
        <v/>
      </c>
      <c r="CS370" s="229" t="str">
        <f t="shared" si="447"/>
        <v/>
      </c>
      <c r="CT370" s="230" t="str">
        <f t="shared" si="432"/>
        <v/>
      </c>
      <c r="CU370" s="163" t="str">
        <f t="shared" si="448"/>
        <v/>
      </c>
      <c r="CV370" s="47" t="s">
        <v>0</v>
      </c>
      <c r="CW370" s="222" t="str">
        <f t="shared" si="495"/>
        <v xml:space="preserve">
</v>
      </c>
      <c r="CX370" s="223" t="str">
        <f t="shared" si="496"/>
        <v/>
      </c>
      <c r="CY370" s="47" t="s">
        <v>0</v>
      </c>
      <c r="CZ370" s="47"/>
      <c r="DA370" s="47"/>
      <c r="DB370" s="47"/>
      <c r="DC370" s="47" t="s">
        <v>0</v>
      </c>
      <c r="DD370" s="53" t="str">
        <f t="shared" si="504"/>
        <v/>
      </c>
      <c r="DE370" t="s">
        <v>0</v>
      </c>
      <c r="DF370" s="128" t="str">
        <f t="shared" si="505"/>
        <v/>
      </c>
      <c r="DG370" t="s">
        <v>0</v>
      </c>
      <c r="DH370" s="52" t="str">
        <f t="shared" si="506"/>
        <v/>
      </c>
      <c r="DI370" s="66" t="str">
        <f t="shared" si="507"/>
        <v/>
      </c>
      <c r="DJ370" t="s">
        <v>0</v>
      </c>
      <c r="DK370" s="19" t="str">
        <f t="shared" si="508"/>
        <v/>
      </c>
      <c r="DL370" s="47" t="s">
        <v>0</v>
      </c>
      <c r="DM370" s="19" t="str">
        <f t="shared" si="509"/>
        <v/>
      </c>
      <c r="DN370" s="47" t="s">
        <v>0</v>
      </c>
      <c r="DO370" s="52" t="str">
        <f t="shared" si="449"/>
        <v/>
      </c>
      <c r="DP370" s="53" t="str">
        <f t="shared" si="450"/>
        <v/>
      </c>
      <c r="DQ370" s="47" t="s">
        <v>0</v>
      </c>
      <c r="DR370" s="52" t="str">
        <f t="shared" si="451"/>
        <v/>
      </c>
      <c r="DS370" s="53" t="str">
        <f t="shared" si="452"/>
        <v/>
      </c>
      <c r="DT370" s="47" t="s">
        <v>0</v>
      </c>
      <c r="DU370" s="52" t="str">
        <f t="shared" si="453"/>
        <v/>
      </c>
      <c r="DV370" s="53" t="str">
        <f t="shared" si="454"/>
        <v/>
      </c>
      <c r="DW370" s="47" t="s">
        <v>0</v>
      </c>
      <c r="DX370" s="58" t="str">
        <f t="shared" si="497"/>
        <v/>
      </c>
      <c r="DY370" s="53" t="str" cm="1">
        <f t="array" ref="DY370">IF(DX370&lt;&gt;"",INDEX(regNatjecatelj_id,DX370,0),IF(BD370&lt;&gt;"",BD370,""))</f>
        <v/>
      </c>
      <c r="DZ370" s="47" t="s">
        <v>0</v>
      </c>
      <c r="EA370" s="58" t="str">
        <f t="shared" si="455"/>
        <v/>
      </c>
      <c r="EB370" s="73" t="str">
        <f t="shared" si="456"/>
        <v/>
      </c>
      <c r="EC370" s="73" t="str">
        <f t="shared" si="457"/>
        <v/>
      </c>
      <c r="ED370" s="73" t="str">
        <f t="shared" si="458"/>
        <v/>
      </c>
      <c r="EE370" s="66" t="str">
        <f t="shared" si="459"/>
        <v/>
      </c>
      <c r="EF370" s="47" t="s">
        <v>0</v>
      </c>
      <c r="EG370" s="58" t="str">
        <f>IF(AL370="","",MAX(EG$12:EG369)+1)</f>
        <v/>
      </c>
      <c r="EH370" s="73" t="str">
        <f t="shared" si="460"/>
        <v/>
      </c>
      <c r="EI370" s="73" t="str">
        <f t="shared" si="498"/>
        <v/>
      </c>
      <c r="EJ370" s="73" t="str">
        <f t="shared" si="461"/>
        <v/>
      </c>
      <c r="EK370" s="73" t="str">
        <f t="shared" si="462"/>
        <v/>
      </c>
      <c r="EL370" s="73" t="str">
        <f t="shared" si="499"/>
        <v/>
      </c>
      <c r="EM370" s="73" t="str">
        <f t="shared" si="500"/>
        <v/>
      </c>
      <c r="EN370" s="73" t="str">
        <f t="shared" si="463"/>
        <v/>
      </c>
      <c r="EO370" s="73" t="str">
        <f t="shared" si="464"/>
        <v/>
      </c>
      <c r="EP370" s="73" t="str">
        <f t="shared" si="465"/>
        <v/>
      </c>
      <c r="EQ370" s="53" t="str">
        <f t="shared" si="466"/>
        <v/>
      </c>
      <c r="ER370" s="47" t="s">
        <v>0</v>
      </c>
      <c r="ES370" s="19" t="str">
        <f t="shared" si="501"/>
        <v/>
      </c>
      <c r="ET370" s="47" t="s">
        <v>0</v>
      </c>
      <c r="EU370" s="19" t="str">
        <f t="shared" si="502"/>
        <v/>
      </c>
      <c r="EV370" s="47" t="s">
        <v>0</v>
      </c>
      <c r="EW370" s="180" t="str">
        <f t="shared" si="467"/>
        <v/>
      </c>
      <c r="EX370" s="47" t="s">
        <v>0</v>
      </c>
    </row>
    <row r="371" spans="1:154" x14ac:dyDescent="0.25">
      <c r="A371" t="s">
        <v>0</v>
      </c>
      <c r="B371" s="52" t="str">
        <f>IF(csv!F361="","",csv!T361)</f>
        <v/>
      </c>
      <c r="C371" s="31" t="s">
        <v>0</v>
      </c>
      <c r="D371" s="31" t="str">
        <f>IF(csv!F361="","",csv!F361)</f>
        <v/>
      </c>
      <c r="E371" s="31" t="str">
        <f>IF(csv!E361="","",csv!E361)</f>
        <v/>
      </c>
      <c r="F371" s="31" t="s">
        <v>0</v>
      </c>
      <c r="G371" s="73" t="str">
        <f>IF(csv!M361="","",csv!M361)</f>
        <v/>
      </c>
      <c r="H371" s="73" t="str">
        <f>IF(csv!N361="","",csv!N361)</f>
        <v/>
      </c>
      <c r="I371" s="31" t="s">
        <v>0</v>
      </c>
      <c r="J371" s="31" t="str">
        <f>IF(csv!P361="","",csv!P361)</f>
        <v/>
      </c>
      <c r="K371" s="31" t="str">
        <f>IF(csv!Q361="","",csv!Q361)</f>
        <v/>
      </c>
      <c r="L371" s="31" t="s">
        <v>0</v>
      </c>
      <c r="M371" s="66" t="str">
        <f>IF(csv!R361="","",csv!R361)</f>
        <v/>
      </c>
      <c r="N371" s="47" t="s">
        <v>0</v>
      </c>
      <c r="O371" s="246" t="str">
        <f t="shared" si="468"/>
        <v/>
      </c>
      <c r="P371" s="47"/>
      <c r="Q371" s="52" t="str">
        <f t="shared" si="469"/>
        <v/>
      </c>
      <c r="R371" s="73" t="str">
        <f>IF(Q371="","",IF(COUNTIF(Q$12:Q370,Q371)=0,R370+1,R370))</f>
        <v/>
      </c>
      <c r="S371" s="73" t="str">
        <f t="shared" si="470"/>
        <v/>
      </c>
      <c r="T371" s="73" t="str">
        <f t="shared" si="434"/>
        <v/>
      </c>
      <c r="U371" s="66" t="str">
        <f t="shared" si="435"/>
        <v/>
      </c>
      <c r="V371" s="47" t="s">
        <v>0</v>
      </c>
      <c r="W371" s="222" t="str">
        <f t="shared" si="436"/>
        <v/>
      </c>
      <c r="X371" s="223" t="str">
        <f t="shared" si="437"/>
        <v/>
      </c>
      <c r="Y371" s="47" t="s">
        <v>0</v>
      </c>
      <c r="Z371" s="52" t="str">
        <f t="shared" si="471"/>
        <v/>
      </c>
      <c r="AA371" s="73" t="str">
        <f t="shared" si="438"/>
        <v/>
      </c>
      <c r="AB371" s="31" t="str">
        <f t="shared" si="472"/>
        <v/>
      </c>
      <c r="AC371" s="66" t="str">
        <f>IF(AB371="","",MAX(AC$12:AC370)+1)</f>
        <v/>
      </c>
      <c r="AD371" s="47" t="s">
        <v>0</v>
      </c>
      <c r="AE371" s="125"/>
      <c r="AF371" s="47" t="s">
        <v>0</v>
      </c>
      <c r="AG371" s="19" t="str">
        <f t="shared" si="473"/>
        <v/>
      </c>
      <c r="AH371" s="47" t="s">
        <v>0</v>
      </c>
      <c r="AI371" s="143" t="str">
        <f t="shared" si="474"/>
        <v/>
      </c>
      <c r="AJ371" s="47"/>
      <c r="AK371" s="52" t="str">
        <f t="shared" si="475"/>
        <v/>
      </c>
      <c r="AL371" s="31" t="str">
        <f t="shared" si="476"/>
        <v/>
      </c>
      <c r="AM371" s="73" t="str">
        <f t="shared" si="477"/>
        <v/>
      </c>
      <c r="AN371" s="73" t="str">
        <f t="shared" si="478"/>
        <v/>
      </c>
      <c r="AO371" s="31" t="str">
        <f t="shared" si="439"/>
        <v/>
      </c>
      <c r="AP371" s="66" t="str">
        <f t="shared" si="440"/>
        <v/>
      </c>
      <c r="AQ371" s="47" t="s">
        <v>0</v>
      </c>
      <c r="AR371" s="82" t="str">
        <f t="shared" si="479"/>
        <v/>
      </c>
      <c r="AS371" s="47" t="s">
        <v>0</v>
      </c>
      <c r="AT371" s="19" t="str">
        <f t="shared" si="480"/>
        <v/>
      </c>
      <c r="AU371" s="47" t="s">
        <v>0</v>
      </c>
      <c r="AV371" s="103"/>
      <c r="AW371" s="105"/>
      <c r="AX371" s="47" t="s">
        <v>0</v>
      </c>
      <c r="AY371" s="259" t="str">
        <f t="shared" si="503"/>
        <v/>
      </c>
      <c r="AZ371" s="47" t="s">
        <v>0</v>
      </c>
      <c r="BA371" s="52" t="str">
        <f t="shared" si="433"/>
        <v/>
      </c>
      <c r="BB371" s="73" t="str">
        <f>IF(AV371&amp;AW371="","",MAX(BB$12:BB370)+1)</f>
        <v/>
      </c>
      <c r="BC371" s="272" t="str">
        <f t="shared" si="441"/>
        <v/>
      </c>
      <c r="BD371" s="53" t="str">
        <f>IF(AND(AM371="NEMA",AN371="NEMA",OR(AV371&amp;AW371="",BC371="NEMA")),MAX(BD$12:BD370)+1,"")</f>
        <v/>
      </c>
      <c r="BE371" s="47" t="s">
        <v>0</v>
      </c>
      <c r="BF371" s="52" t="str">
        <f t="shared" si="481"/>
        <v/>
      </c>
      <c r="BG371" s="66" t="str">
        <f t="shared" si="482"/>
        <v/>
      </c>
      <c r="BH371" s="47" t="s">
        <v>0</v>
      </c>
      <c r="BI371" s="52" t="str">
        <f t="shared" si="442"/>
        <v/>
      </c>
      <c r="BJ371" s="31" t="str">
        <f t="shared" si="443"/>
        <v/>
      </c>
      <c r="BK371" s="73" t="str">
        <f t="shared" si="444"/>
        <v/>
      </c>
      <c r="BL371" s="31" t="str" cm="1">
        <f t="array" ref="BL371">IF(BK371="",""&amp;BJ371,IF(BK371="NEMA",BJ371,INDEX(regKlub_naziv,MATCH(INDEX(regKlub_alias_klubId,BK371),regKlub_id,0))))</f>
        <v/>
      </c>
      <c r="BM371" s="31" t="str" cm="1">
        <f t="array" ref="BM371">IFERROR(""&amp;INDEX(regNatjecatelj_klub,DV371),"")</f>
        <v/>
      </c>
      <c r="BN371" s="88" t="str">
        <f t="shared" si="483"/>
        <v/>
      </c>
      <c r="BO371" s="66" t="str">
        <f t="shared" si="484"/>
        <v/>
      </c>
      <c r="BP371" s="47" t="s">
        <v>0</v>
      </c>
      <c r="BQ371" s="52" t="str">
        <f>IF(X371&lt;&gt;"NEMA","",IF(IFERROR(MATCH(W371,W$12:W370,0),0)&lt;&gt;0,"",W371))</f>
        <v/>
      </c>
      <c r="BR371" s="73" t="str">
        <f t="shared" si="485"/>
        <v/>
      </c>
      <c r="BS371" s="31" t="str">
        <f>IF(OR(BR371="",BR371&lt;&gt;"NEMA"),"",MAX(BS$12:BS370)+1)</f>
        <v/>
      </c>
      <c r="BT371" s="66" t="str">
        <f t="shared" si="486"/>
        <v/>
      </c>
      <c r="BU371" s="47" t="s">
        <v>0</v>
      </c>
      <c r="BV371" s="19" t="str">
        <f t="shared" si="487"/>
        <v/>
      </c>
      <c r="BW371" s="47" t="s">
        <v>0</v>
      </c>
      <c r="BX371" s="82" t="str">
        <f>IF(BK371&lt;&gt;"NEMA","",IF(IFERROR(MATCH(BJ371,BJ$12:BJ370,0),0)&lt;&gt;0,"",BJ371))</f>
        <v/>
      </c>
      <c r="BY371" s="47" t="s">
        <v>0</v>
      </c>
      <c r="BZ371" s="125"/>
      <c r="CA371" s="47" t="s">
        <v>0</v>
      </c>
      <c r="CB371" s="58" t="str">
        <f t="shared" si="488"/>
        <v/>
      </c>
      <c r="CC371" s="31" t="str">
        <f t="shared" si="489"/>
        <v/>
      </c>
      <c r="CD371" s="31" t="str">
        <f>IF(CC371="","",MAX(CD$12:CD370)+1)</f>
        <v/>
      </c>
      <c r="CE371" s="31" t="str">
        <f t="shared" si="445"/>
        <v/>
      </c>
      <c r="CF371" s="31" t="str">
        <f t="shared" si="490"/>
        <v/>
      </c>
      <c r="CG371" s="31" t="str">
        <f>IF(BZ371="","",MAX(CG$12:CG370)+1)</f>
        <v/>
      </c>
      <c r="CH371" s="31" t="str">
        <f t="shared" si="491"/>
        <v/>
      </c>
      <c r="CI371" s="66" t="str">
        <f t="shared" si="492"/>
        <v/>
      </c>
      <c r="CJ371" s="47" t="s">
        <v>0</v>
      </c>
      <c r="CK371" s="73" t="str">
        <f t="shared" si="446"/>
        <v/>
      </c>
      <c r="CL371" s="47"/>
      <c r="CM371" s="19" t="str">
        <f t="shared" si="493"/>
        <v/>
      </c>
      <c r="CN371" s="47" t="s">
        <v>0</v>
      </c>
      <c r="CO371" s="143" t="str">
        <f t="shared" si="494"/>
        <v/>
      </c>
      <c r="CP371" s="47" t="s">
        <v>0</v>
      </c>
      <c r="CQ371" s="58" t="str">
        <f t="shared" si="510"/>
        <v/>
      </c>
      <c r="CR371" s="73" t="str">
        <f t="shared" si="511"/>
        <v/>
      </c>
      <c r="CS371" s="229" t="str">
        <f t="shared" si="447"/>
        <v/>
      </c>
      <c r="CT371" s="230" t="str">
        <f t="shared" si="432"/>
        <v/>
      </c>
      <c r="CU371" s="163" t="str">
        <f t="shared" si="448"/>
        <v/>
      </c>
      <c r="CV371" s="47" t="s">
        <v>0</v>
      </c>
      <c r="CW371" s="222" t="str">
        <f t="shared" si="495"/>
        <v xml:space="preserve">
</v>
      </c>
      <c r="CX371" s="223" t="str">
        <f t="shared" si="496"/>
        <v/>
      </c>
      <c r="CY371" s="47" t="s">
        <v>0</v>
      </c>
      <c r="CZ371" s="47"/>
      <c r="DA371" s="47"/>
      <c r="DB371" s="47"/>
      <c r="DC371" s="47" t="s">
        <v>0</v>
      </c>
      <c r="DD371" s="53" t="str">
        <f t="shared" si="504"/>
        <v/>
      </c>
      <c r="DE371" t="s">
        <v>0</v>
      </c>
      <c r="DF371" s="128" t="str">
        <f t="shared" si="505"/>
        <v/>
      </c>
      <c r="DG371" t="s">
        <v>0</v>
      </c>
      <c r="DH371" s="52" t="str">
        <f t="shared" si="506"/>
        <v/>
      </c>
      <c r="DI371" s="66" t="str">
        <f t="shared" si="507"/>
        <v/>
      </c>
      <c r="DJ371" t="s">
        <v>0</v>
      </c>
      <c r="DK371" s="19" t="str">
        <f t="shared" si="508"/>
        <v/>
      </c>
      <c r="DL371" s="47" t="s">
        <v>0</v>
      </c>
      <c r="DM371" s="19" t="str">
        <f t="shared" si="509"/>
        <v/>
      </c>
      <c r="DN371" s="47" t="s">
        <v>0</v>
      </c>
      <c r="DO371" s="52" t="str">
        <f t="shared" si="449"/>
        <v/>
      </c>
      <c r="DP371" s="53" t="str">
        <f t="shared" si="450"/>
        <v/>
      </c>
      <c r="DQ371" s="47" t="s">
        <v>0</v>
      </c>
      <c r="DR371" s="52" t="str">
        <f t="shared" si="451"/>
        <v/>
      </c>
      <c r="DS371" s="53" t="str">
        <f t="shared" si="452"/>
        <v/>
      </c>
      <c r="DT371" s="47" t="s">
        <v>0</v>
      </c>
      <c r="DU371" s="52" t="str">
        <f t="shared" si="453"/>
        <v/>
      </c>
      <c r="DV371" s="53" t="str">
        <f t="shared" si="454"/>
        <v/>
      </c>
      <c r="DW371" s="47" t="s">
        <v>0</v>
      </c>
      <c r="DX371" s="58" t="str">
        <f t="shared" si="497"/>
        <v/>
      </c>
      <c r="DY371" s="53" t="str" cm="1">
        <f t="array" ref="DY371">IF(DX371&lt;&gt;"",INDEX(regNatjecatelj_id,DX371,0),IF(BD371&lt;&gt;"",BD371,""))</f>
        <v/>
      </c>
      <c r="DZ371" s="47" t="s">
        <v>0</v>
      </c>
      <c r="EA371" s="58" t="str">
        <f t="shared" si="455"/>
        <v/>
      </c>
      <c r="EB371" s="73" t="str">
        <f t="shared" si="456"/>
        <v/>
      </c>
      <c r="EC371" s="73" t="str">
        <f t="shared" si="457"/>
        <v/>
      </c>
      <c r="ED371" s="73" t="str">
        <f t="shared" si="458"/>
        <v/>
      </c>
      <c r="EE371" s="66" t="str">
        <f t="shared" si="459"/>
        <v/>
      </c>
      <c r="EF371" s="47" t="s">
        <v>0</v>
      </c>
      <c r="EG371" s="58" t="str">
        <f>IF(AL371="","",MAX(EG$12:EG370)+1)</f>
        <v/>
      </c>
      <c r="EH371" s="73" t="str">
        <f t="shared" si="460"/>
        <v/>
      </c>
      <c r="EI371" s="73" t="str">
        <f t="shared" si="498"/>
        <v/>
      </c>
      <c r="EJ371" s="73" t="str">
        <f t="shared" si="461"/>
        <v/>
      </c>
      <c r="EK371" s="73" t="str">
        <f t="shared" si="462"/>
        <v/>
      </c>
      <c r="EL371" s="73" t="str">
        <f t="shared" si="499"/>
        <v/>
      </c>
      <c r="EM371" s="73" t="str">
        <f t="shared" si="500"/>
        <v/>
      </c>
      <c r="EN371" s="73" t="str">
        <f t="shared" si="463"/>
        <v/>
      </c>
      <c r="EO371" s="73" t="str">
        <f t="shared" si="464"/>
        <v/>
      </c>
      <c r="EP371" s="73" t="str">
        <f t="shared" si="465"/>
        <v/>
      </c>
      <c r="EQ371" s="53" t="str">
        <f t="shared" si="466"/>
        <v/>
      </c>
      <c r="ER371" s="47" t="s">
        <v>0</v>
      </c>
      <c r="ES371" s="19" t="str">
        <f t="shared" si="501"/>
        <v/>
      </c>
      <c r="ET371" s="47" t="s">
        <v>0</v>
      </c>
      <c r="EU371" s="19" t="str">
        <f t="shared" si="502"/>
        <v/>
      </c>
      <c r="EV371" s="47" t="s">
        <v>0</v>
      </c>
      <c r="EW371" s="180" t="str">
        <f t="shared" si="467"/>
        <v/>
      </c>
      <c r="EX371" s="47" t="s">
        <v>0</v>
      </c>
    </row>
    <row r="372" spans="1:154" x14ac:dyDescent="0.25">
      <c r="A372" t="s">
        <v>0</v>
      </c>
      <c r="B372" s="52" t="str">
        <f>IF(csv!F362="","",csv!T362)</f>
        <v/>
      </c>
      <c r="C372" s="31" t="s">
        <v>0</v>
      </c>
      <c r="D372" s="31" t="str">
        <f>IF(csv!F362="","",csv!F362)</f>
        <v/>
      </c>
      <c r="E372" s="31" t="str">
        <f>IF(csv!E362="","",csv!E362)</f>
        <v/>
      </c>
      <c r="F372" s="31" t="s">
        <v>0</v>
      </c>
      <c r="G372" s="73" t="str">
        <f>IF(csv!M362="","",csv!M362)</f>
        <v/>
      </c>
      <c r="H372" s="73" t="str">
        <f>IF(csv!N362="","",csv!N362)</f>
        <v/>
      </c>
      <c r="I372" s="31" t="s">
        <v>0</v>
      </c>
      <c r="J372" s="31" t="str">
        <f>IF(csv!P362="","",csv!P362)</f>
        <v/>
      </c>
      <c r="K372" s="31" t="str">
        <f>IF(csv!Q362="","",csv!Q362)</f>
        <v/>
      </c>
      <c r="L372" s="31" t="s">
        <v>0</v>
      </c>
      <c r="M372" s="66" t="str">
        <f>IF(csv!R362="","",csv!R362)</f>
        <v/>
      </c>
      <c r="N372" s="47" t="s">
        <v>0</v>
      </c>
      <c r="O372" s="246" t="str">
        <f t="shared" si="468"/>
        <v/>
      </c>
      <c r="P372" s="47"/>
      <c r="Q372" s="52" t="str">
        <f t="shared" si="469"/>
        <v/>
      </c>
      <c r="R372" s="73" t="str">
        <f>IF(Q372="","",IF(COUNTIF(Q$12:Q371,Q372)=0,R371+1,R371))</f>
        <v/>
      </c>
      <c r="S372" s="73" t="str">
        <f t="shared" si="470"/>
        <v/>
      </c>
      <c r="T372" s="73" t="str">
        <f t="shared" si="434"/>
        <v/>
      </c>
      <c r="U372" s="66" t="str">
        <f t="shared" si="435"/>
        <v/>
      </c>
      <c r="V372" s="47" t="s">
        <v>0</v>
      </c>
      <c r="W372" s="222" t="str">
        <f t="shared" si="436"/>
        <v/>
      </c>
      <c r="X372" s="223" t="str">
        <f t="shared" si="437"/>
        <v/>
      </c>
      <c r="Y372" s="47" t="s">
        <v>0</v>
      </c>
      <c r="Z372" s="52" t="str">
        <f t="shared" si="471"/>
        <v/>
      </c>
      <c r="AA372" s="73" t="str">
        <f t="shared" si="438"/>
        <v/>
      </c>
      <c r="AB372" s="31" t="str">
        <f t="shared" si="472"/>
        <v/>
      </c>
      <c r="AC372" s="66" t="str">
        <f>IF(AB372="","",MAX(AC$12:AC371)+1)</f>
        <v/>
      </c>
      <c r="AD372" s="47" t="s">
        <v>0</v>
      </c>
      <c r="AE372" s="125"/>
      <c r="AF372" s="47" t="s">
        <v>0</v>
      </c>
      <c r="AG372" s="19" t="str">
        <f t="shared" si="473"/>
        <v/>
      </c>
      <c r="AH372" s="47" t="s">
        <v>0</v>
      </c>
      <c r="AI372" s="143" t="str">
        <f t="shared" si="474"/>
        <v/>
      </c>
      <c r="AJ372" s="47"/>
      <c r="AK372" s="52" t="str">
        <f t="shared" si="475"/>
        <v/>
      </c>
      <c r="AL372" s="31" t="str">
        <f t="shared" si="476"/>
        <v/>
      </c>
      <c r="AM372" s="73" t="str">
        <f t="shared" si="477"/>
        <v/>
      </c>
      <c r="AN372" s="73" t="str">
        <f t="shared" si="478"/>
        <v/>
      </c>
      <c r="AO372" s="31" t="str">
        <f t="shared" si="439"/>
        <v/>
      </c>
      <c r="AP372" s="66" t="str">
        <f t="shared" si="440"/>
        <v/>
      </c>
      <c r="AQ372" s="47" t="s">
        <v>0</v>
      </c>
      <c r="AR372" s="82" t="str">
        <f t="shared" si="479"/>
        <v/>
      </c>
      <c r="AS372" s="47" t="s">
        <v>0</v>
      </c>
      <c r="AT372" s="19" t="str">
        <f t="shared" si="480"/>
        <v/>
      </c>
      <c r="AU372" s="47" t="s">
        <v>0</v>
      </c>
      <c r="AV372" s="103"/>
      <c r="AW372" s="105"/>
      <c r="AX372" s="47" t="s">
        <v>0</v>
      </c>
      <c r="AY372" s="259" t="str">
        <f t="shared" si="503"/>
        <v/>
      </c>
      <c r="AZ372" s="47" t="s">
        <v>0</v>
      </c>
      <c r="BA372" s="52" t="str">
        <f t="shared" si="433"/>
        <v/>
      </c>
      <c r="BB372" s="73" t="str">
        <f>IF(AV372&amp;AW372="","",MAX(BB$12:BB371)+1)</f>
        <v/>
      </c>
      <c r="BC372" s="272" t="str">
        <f t="shared" si="441"/>
        <v/>
      </c>
      <c r="BD372" s="53" t="str">
        <f>IF(AND(AM372="NEMA",AN372="NEMA",OR(AV372&amp;AW372="",BC372="NEMA")),MAX(BD$12:BD371)+1,"")</f>
        <v/>
      </c>
      <c r="BE372" s="47" t="s">
        <v>0</v>
      </c>
      <c r="BF372" s="52" t="str">
        <f t="shared" si="481"/>
        <v/>
      </c>
      <c r="BG372" s="66" t="str">
        <f t="shared" si="482"/>
        <v/>
      </c>
      <c r="BH372" s="47" t="s">
        <v>0</v>
      </c>
      <c r="BI372" s="52" t="str">
        <f t="shared" si="442"/>
        <v/>
      </c>
      <c r="BJ372" s="31" t="str">
        <f t="shared" si="443"/>
        <v/>
      </c>
      <c r="BK372" s="73" t="str">
        <f t="shared" si="444"/>
        <v/>
      </c>
      <c r="BL372" s="31" t="str" cm="1">
        <f t="array" ref="BL372">IF(BK372="",""&amp;BJ372,IF(BK372="NEMA",BJ372,INDEX(regKlub_naziv,MATCH(INDEX(regKlub_alias_klubId,BK372),regKlub_id,0))))</f>
        <v/>
      </c>
      <c r="BM372" s="31" t="str" cm="1">
        <f t="array" ref="BM372">IFERROR(""&amp;INDEX(regNatjecatelj_klub,DV372),"")</f>
        <v/>
      </c>
      <c r="BN372" s="88" t="str">
        <f t="shared" si="483"/>
        <v/>
      </c>
      <c r="BO372" s="66" t="str">
        <f t="shared" si="484"/>
        <v/>
      </c>
      <c r="BP372" s="47" t="s">
        <v>0</v>
      </c>
      <c r="BQ372" s="52" t="str">
        <f>IF(X372&lt;&gt;"NEMA","",IF(IFERROR(MATCH(W372,W$12:W371,0),0)&lt;&gt;0,"",W372))</f>
        <v/>
      </c>
      <c r="BR372" s="73" t="str">
        <f t="shared" si="485"/>
        <v/>
      </c>
      <c r="BS372" s="31" t="str">
        <f>IF(OR(BR372="",BR372&lt;&gt;"NEMA"),"",MAX(BS$12:BS371)+1)</f>
        <v/>
      </c>
      <c r="BT372" s="66" t="str">
        <f t="shared" si="486"/>
        <v/>
      </c>
      <c r="BU372" s="47" t="s">
        <v>0</v>
      </c>
      <c r="BV372" s="19" t="str">
        <f t="shared" si="487"/>
        <v/>
      </c>
      <c r="BW372" s="47" t="s">
        <v>0</v>
      </c>
      <c r="BX372" s="82" t="str">
        <f>IF(BK372&lt;&gt;"NEMA","",IF(IFERROR(MATCH(BJ372,BJ$12:BJ371,0),0)&lt;&gt;0,"",BJ372))</f>
        <v/>
      </c>
      <c r="BY372" s="47" t="s">
        <v>0</v>
      </c>
      <c r="BZ372" s="125"/>
      <c r="CA372" s="47" t="s">
        <v>0</v>
      </c>
      <c r="CB372" s="58" t="str">
        <f t="shared" si="488"/>
        <v/>
      </c>
      <c r="CC372" s="31" t="str">
        <f t="shared" si="489"/>
        <v/>
      </c>
      <c r="CD372" s="31" t="str">
        <f>IF(CC372="","",MAX(CD$12:CD371)+1)</f>
        <v/>
      </c>
      <c r="CE372" s="31" t="str">
        <f t="shared" si="445"/>
        <v/>
      </c>
      <c r="CF372" s="31" t="str">
        <f t="shared" si="490"/>
        <v/>
      </c>
      <c r="CG372" s="31" t="str">
        <f>IF(BZ372="","",MAX(CG$12:CG371)+1)</f>
        <v/>
      </c>
      <c r="CH372" s="31" t="str">
        <f t="shared" si="491"/>
        <v/>
      </c>
      <c r="CI372" s="66" t="str">
        <f t="shared" si="492"/>
        <v/>
      </c>
      <c r="CJ372" s="47" t="s">
        <v>0</v>
      </c>
      <c r="CK372" s="73" t="str">
        <f t="shared" si="446"/>
        <v/>
      </c>
      <c r="CL372" s="47"/>
      <c r="CM372" s="19" t="str">
        <f t="shared" si="493"/>
        <v/>
      </c>
      <c r="CN372" s="47" t="s">
        <v>0</v>
      </c>
      <c r="CO372" s="143" t="str">
        <f t="shared" si="494"/>
        <v/>
      </c>
      <c r="CP372" s="47" t="s">
        <v>0</v>
      </c>
      <c r="CQ372" s="58" t="str">
        <f t="shared" si="510"/>
        <v/>
      </c>
      <c r="CR372" s="73" t="str">
        <f t="shared" si="511"/>
        <v/>
      </c>
      <c r="CS372" s="229" t="str">
        <f t="shared" si="447"/>
        <v/>
      </c>
      <c r="CT372" s="230" t="str">
        <f t="shared" si="432"/>
        <v/>
      </c>
      <c r="CU372" s="163" t="str">
        <f t="shared" si="448"/>
        <v/>
      </c>
      <c r="CV372" s="47" t="s">
        <v>0</v>
      </c>
      <c r="CW372" s="222" t="str">
        <f t="shared" si="495"/>
        <v xml:space="preserve">
</v>
      </c>
      <c r="CX372" s="223" t="str">
        <f t="shared" si="496"/>
        <v/>
      </c>
      <c r="CY372" s="47" t="s">
        <v>0</v>
      </c>
      <c r="CZ372" s="47"/>
      <c r="DA372" s="47"/>
      <c r="DB372" s="47"/>
      <c r="DC372" s="47" t="s">
        <v>0</v>
      </c>
      <c r="DD372" s="53" t="str">
        <f t="shared" si="504"/>
        <v/>
      </c>
      <c r="DE372" t="s">
        <v>0</v>
      </c>
      <c r="DF372" s="128" t="str">
        <f t="shared" si="505"/>
        <v/>
      </c>
      <c r="DG372" t="s">
        <v>0</v>
      </c>
      <c r="DH372" s="52" t="str">
        <f t="shared" si="506"/>
        <v/>
      </c>
      <c r="DI372" s="66" t="str">
        <f t="shared" si="507"/>
        <v/>
      </c>
      <c r="DJ372" t="s">
        <v>0</v>
      </c>
      <c r="DK372" s="19" t="str">
        <f t="shared" si="508"/>
        <v/>
      </c>
      <c r="DL372" s="47" t="s">
        <v>0</v>
      </c>
      <c r="DM372" s="19" t="str">
        <f t="shared" si="509"/>
        <v/>
      </c>
      <c r="DN372" s="47" t="s">
        <v>0</v>
      </c>
      <c r="DO372" s="52" t="str">
        <f t="shared" si="449"/>
        <v/>
      </c>
      <c r="DP372" s="53" t="str">
        <f t="shared" si="450"/>
        <v/>
      </c>
      <c r="DQ372" s="47" t="s">
        <v>0</v>
      </c>
      <c r="DR372" s="52" t="str">
        <f t="shared" si="451"/>
        <v/>
      </c>
      <c r="DS372" s="53" t="str">
        <f t="shared" si="452"/>
        <v/>
      </c>
      <c r="DT372" s="47" t="s">
        <v>0</v>
      </c>
      <c r="DU372" s="52" t="str">
        <f t="shared" si="453"/>
        <v/>
      </c>
      <c r="DV372" s="53" t="str">
        <f t="shared" si="454"/>
        <v/>
      </c>
      <c r="DW372" s="47" t="s">
        <v>0</v>
      </c>
      <c r="DX372" s="58" t="str">
        <f t="shared" si="497"/>
        <v/>
      </c>
      <c r="DY372" s="53" t="str" cm="1">
        <f t="array" ref="DY372">IF(DX372&lt;&gt;"",INDEX(regNatjecatelj_id,DX372,0),IF(BD372&lt;&gt;"",BD372,""))</f>
        <v/>
      </c>
      <c r="DZ372" s="47" t="s">
        <v>0</v>
      </c>
      <c r="EA372" s="58" t="str">
        <f t="shared" si="455"/>
        <v/>
      </c>
      <c r="EB372" s="73" t="str">
        <f t="shared" si="456"/>
        <v/>
      </c>
      <c r="EC372" s="73" t="str">
        <f t="shared" si="457"/>
        <v/>
      </c>
      <c r="ED372" s="73" t="str">
        <f t="shared" si="458"/>
        <v/>
      </c>
      <c r="EE372" s="66" t="str">
        <f t="shared" si="459"/>
        <v/>
      </c>
      <c r="EF372" s="47" t="s">
        <v>0</v>
      </c>
      <c r="EG372" s="58" t="str">
        <f>IF(AL372="","",MAX(EG$12:EG371)+1)</f>
        <v/>
      </c>
      <c r="EH372" s="73" t="str">
        <f t="shared" si="460"/>
        <v/>
      </c>
      <c r="EI372" s="73" t="str">
        <f t="shared" si="498"/>
        <v/>
      </c>
      <c r="EJ372" s="73" t="str">
        <f t="shared" si="461"/>
        <v/>
      </c>
      <c r="EK372" s="73" t="str">
        <f t="shared" si="462"/>
        <v/>
      </c>
      <c r="EL372" s="73" t="str">
        <f t="shared" si="499"/>
        <v/>
      </c>
      <c r="EM372" s="73" t="str">
        <f t="shared" si="500"/>
        <v/>
      </c>
      <c r="EN372" s="73" t="str">
        <f t="shared" si="463"/>
        <v/>
      </c>
      <c r="EO372" s="73" t="str">
        <f t="shared" si="464"/>
        <v/>
      </c>
      <c r="EP372" s="73" t="str">
        <f t="shared" si="465"/>
        <v/>
      </c>
      <c r="EQ372" s="53" t="str">
        <f t="shared" si="466"/>
        <v/>
      </c>
      <c r="ER372" s="47" t="s">
        <v>0</v>
      </c>
      <c r="ES372" s="19" t="str">
        <f t="shared" si="501"/>
        <v/>
      </c>
      <c r="ET372" s="47" t="s">
        <v>0</v>
      </c>
      <c r="EU372" s="19" t="str">
        <f t="shared" si="502"/>
        <v/>
      </c>
      <c r="EV372" s="47" t="s">
        <v>0</v>
      </c>
      <c r="EW372" s="180" t="str">
        <f t="shared" si="467"/>
        <v/>
      </c>
      <c r="EX372" s="47" t="s">
        <v>0</v>
      </c>
    </row>
    <row r="373" spans="1:154" x14ac:dyDescent="0.25">
      <c r="A373" t="s">
        <v>0</v>
      </c>
      <c r="B373" s="52" t="str">
        <f>IF(csv!F363="","",csv!T363)</f>
        <v/>
      </c>
      <c r="C373" s="31" t="s">
        <v>0</v>
      </c>
      <c r="D373" s="31" t="str">
        <f>IF(csv!F363="","",csv!F363)</f>
        <v/>
      </c>
      <c r="E373" s="31" t="str">
        <f>IF(csv!E363="","",csv!E363)</f>
        <v/>
      </c>
      <c r="F373" s="31" t="s">
        <v>0</v>
      </c>
      <c r="G373" s="73" t="str">
        <f>IF(csv!M363="","",csv!M363)</f>
        <v/>
      </c>
      <c r="H373" s="73" t="str">
        <f>IF(csv!N363="","",csv!N363)</f>
        <v/>
      </c>
      <c r="I373" s="31" t="s">
        <v>0</v>
      </c>
      <c r="J373" s="31" t="str">
        <f>IF(csv!P363="","",csv!P363)</f>
        <v/>
      </c>
      <c r="K373" s="31" t="str">
        <f>IF(csv!Q363="","",csv!Q363)</f>
        <v/>
      </c>
      <c r="L373" s="31" t="s">
        <v>0</v>
      </c>
      <c r="M373" s="66" t="str">
        <f>IF(csv!R363="","",csv!R363)</f>
        <v/>
      </c>
      <c r="N373" s="47" t="s">
        <v>0</v>
      </c>
      <c r="O373" s="246" t="str">
        <f t="shared" si="468"/>
        <v/>
      </c>
      <c r="P373" s="47"/>
      <c r="Q373" s="52" t="str">
        <f t="shared" si="469"/>
        <v/>
      </c>
      <c r="R373" s="73" t="str">
        <f>IF(Q373="","",IF(COUNTIF(Q$12:Q372,Q373)=0,R372+1,R372))</f>
        <v/>
      </c>
      <c r="S373" s="73" t="str">
        <f t="shared" si="470"/>
        <v/>
      </c>
      <c r="T373" s="73" t="str">
        <f t="shared" si="434"/>
        <v/>
      </c>
      <c r="U373" s="66" t="str">
        <f t="shared" si="435"/>
        <v/>
      </c>
      <c r="V373" s="47" t="s">
        <v>0</v>
      </c>
      <c r="W373" s="222" t="str">
        <f t="shared" si="436"/>
        <v/>
      </c>
      <c r="X373" s="223" t="str">
        <f t="shared" si="437"/>
        <v/>
      </c>
      <c r="Y373" s="47" t="s">
        <v>0</v>
      </c>
      <c r="Z373" s="52" t="str">
        <f t="shared" si="471"/>
        <v/>
      </c>
      <c r="AA373" s="73" t="str">
        <f t="shared" si="438"/>
        <v/>
      </c>
      <c r="AB373" s="31" t="str">
        <f t="shared" si="472"/>
        <v/>
      </c>
      <c r="AC373" s="66" t="str">
        <f>IF(AB373="","",MAX(AC$12:AC372)+1)</f>
        <v/>
      </c>
      <c r="AD373" s="47" t="s">
        <v>0</v>
      </c>
      <c r="AE373" s="125"/>
      <c r="AF373" s="47" t="s">
        <v>0</v>
      </c>
      <c r="AG373" s="19" t="str">
        <f t="shared" si="473"/>
        <v/>
      </c>
      <c r="AH373" s="47" t="s">
        <v>0</v>
      </c>
      <c r="AI373" s="143" t="str">
        <f t="shared" si="474"/>
        <v/>
      </c>
      <c r="AJ373" s="47"/>
      <c r="AK373" s="52" t="str">
        <f t="shared" si="475"/>
        <v/>
      </c>
      <c r="AL373" s="31" t="str">
        <f t="shared" si="476"/>
        <v/>
      </c>
      <c r="AM373" s="73" t="str">
        <f t="shared" si="477"/>
        <v/>
      </c>
      <c r="AN373" s="73" t="str">
        <f t="shared" si="478"/>
        <v/>
      </c>
      <c r="AO373" s="31" t="str">
        <f t="shared" si="439"/>
        <v/>
      </c>
      <c r="AP373" s="66" t="str">
        <f t="shared" si="440"/>
        <v/>
      </c>
      <c r="AQ373" s="47" t="s">
        <v>0</v>
      </c>
      <c r="AR373" s="82" t="str">
        <f t="shared" si="479"/>
        <v/>
      </c>
      <c r="AS373" s="47" t="s">
        <v>0</v>
      </c>
      <c r="AT373" s="19" t="str">
        <f t="shared" si="480"/>
        <v/>
      </c>
      <c r="AU373" s="47" t="s">
        <v>0</v>
      </c>
      <c r="AV373" s="103"/>
      <c r="AW373" s="105"/>
      <c r="AX373" s="47" t="s">
        <v>0</v>
      </c>
      <c r="AY373" s="259" t="str">
        <f t="shared" si="503"/>
        <v/>
      </c>
      <c r="AZ373" s="47" t="s">
        <v>0</v>
      </c>
      <c r="BA373" s="52" t="str">
        <f t="shared" si="433"/>
        <v/>
      </c>
      <c r="BB373" s="73" t="str">
        <f>IF(AV373&amp;AW373="","",MAX(BB$12:BB372)+1)</f>
        <v/>
      </c>
      <c r="BC373" s="272" t="str">
        <f t="shared" si="441"/>
        <v/>
      </c>
      <c r="BD373" s="53" t="str">
        <f>IF(AND(AM373="NEMA",AN373="NEMA",OR(AV373&amp;AW373="",BC373="NEMA")),MAX(BD$12:BD372)+1,"")</f>
        <v/>
      </c>
      <c r="BE373" s="47" t="s">
        <v>0</v>
      </c>
      <c r="BF373" s="52" t="str">
        <f t="shared" si="481"/>
        <v/>
      </c>
      <c r="BG373" s="66" t="str">
        <f t="shared" si="482"/>
        <v/>
      </c>
      <c r="BH373" s="47" t="s">
        <v>0</v>
      </c>
      <c r="BI373" s="52" t="str">
        <f t="shared" si="442"/>
        <v/>
      </c>
      <c r="BJ373" s="31" t="str">
        <f t="shared" si="443"/>
        <v/>
      </c>
      <c r="BK373" s="73" t="str">
        <f t="shared" si="444"/>
        <v/>
      </c>
      <c r="BL373" s="31" t="str" cm="1">
        <f t="array" ref="BL373">IF(BK373="",""&amp;BJ373,IF(BK373="NEMA",BJ373,INDEX(regKlub_naziv,MATCH(INDEX(regKlub_alias_klubId,BK373),regKlub_id,0))))</f>
        <v/>
      </c>
      <c r="BM373" s="31" t="str" cm="1">
        <f t="array" ref="BM373">IFERROR(""&amp;INDEX(regNatjecatelj_klub,DV373),"")</f>
        <v/>
      </c>
      <c r="BN373" s="88" t="str">
        <f t="shared" si="483"/>
        <v/>
      </c>
      <c r="BO373" s="66" t="str">
        <f t="shared" si="484"/>
        <v/>
      </c>
      <c r="BP373" s="47" t="s">
        <v>0</v>
      </c>
      <c r="BQ373" s="52" t="str">
        <f>IF(X373&lt;&gt;"NEMA","",IF(IFERROR(MATCH(W373,W$12:W372,0),0)&lt;&gt;0,"",W373))</f>
        <v/>
      </c>
      <c r="BR373" s="73" t="str">
        <f t="shared" si="485"/>
        <v/>
      </c>
      <c r="BS373" s="31" t="str">
        <f>IF(OR(BR373="",BR373&lt;&gt;"NEMA"),"",MAX(BS$12:BS372)+1)</f>
        <v/>
      </c>
      <c r="BT373" s="66" t="str">
        <f t="shared" si="486"/>
        <v/>
      </c>
      <c r="BU373" s="47" t="s">
        <v>0</v>
      </c>
      <c r="BV373" s="19" t="str">
        <f t="shared" si="487"/>
        <v/>
      </c>
      <c r="BW373" s="47" t="s">
        <v>0</v>
      </c>
      <c r="BX373" s="82" t="str">
        <f>IF(BK373&lt;&gt;"NEMA","",IF(IFERROR(MATCH(BJ373,BJ$12:BJ372,0),0)&lt;&gt;0,"",BJ373))</f>
        <v/>
      </c>
      <c r="BY373" s="47" t="s">
        <v>0</v>
      </c>
      <c r="BZ373" s="125"/>
      <c r="CA373" s="47" t="s">
        <v>0</v>
      </c>
      <c r="CB373" s="58" t="str">
        <f t="shared" si="488"/>
        <v/>
      </c>
      <c r="CC373" s="31" t="str">
        <f t="shared" si="489"/>
        <v/>
      </c>
      <c r="CD373" s="31" t="str">
        <f>IF(CC373="","",MAX(CD$12:CD372)+1)</f>
        <v/>
      </c>
      <c r="CE373" s="31" t="str">
        <f t="shared" si="445"/>
        <v/>
      </c>
      <c r="CF373" s="31" t="str">
        <f t="shared" si="490"/>
        <v/>
      </c>
      <c r="CG373" s="31" t="str">
        <f>IF(BZ373="","",MAX(CG$12:CG372)+1)</f>
        <v/>
      </c>
      <c r="CH373" s="31" t="str">
        <f t="shared" si="491"/>
        <v/>
      </c>
      <c r="CI373" s="66" t="str">
        <f t="shared" si="492"/>
        <v/>
      </c>
      <c r="CJ373" s="47" t="s">
        <v>0</v>
      </c>
      <c r="CK373" s="73" t="str">
        <f t="shared" si="446"/>
        <v/>
      </c>
      <c r="CL373" s="47"/>
      <c r="CM373" s="19" t="str">
        <f t="shared" si="493"/>
        <v/>
      </c>
      <c r="CN373" s="47" t="s">
        <v>0</v>
      </c>
      <c r="CO373" s="143" t="str">
        <f t="shared" si="494"/>
        <v/>
      </c>
      <c r="CP373" s="47" t="s">
        <v>0</v>
      </c>
      <c r="CQ373" s="58" t="str">
        <f t="shared" si="510"/>
        <v/>
      </c>
      <c r="CR373" s="73" t="str">
        <f t="shared" si="511"/>
        <v/>
      </c>
      <c r="CS373" s="229" t="str">
        <f t="shared" si="447"/>
        <v/>
      </c>
      <c r="CT373" s="230" t="str">
        <f t="shared" si="432"/>
        <v/>
      </c>
      <c r="CU373" s="163" t="str">
        <f t="shared" si="448"/>
        <v/>
      </c>
      <c r="CV373" s="47" t="s">
        <v>0</v>
      </c>
      <c r="CW373" s="222" t="str">
        <f t="shared" si="495"/>
        <v xml:space="preserve">
</v>
      </c>
      <c r="CX373" s="223" t="str">
        <f t="shared" si="496"/>
        <v/>
      </c>
      <c r="CY373" s="47" t="s">
        <v>0</v>
      </c>
      <c r="CZ373" s="47"/>
      <c r="DA373" s="47"/>
      <c r="DB373" s="47"/>
      <c r="DC373" s="47" t="s">
        <v>0</v>
      </c>
      <c r="DD373" s="53" t="str">
        <f t="shared" si="504"/>
        <v/>
      </c>
      <c r="DE373" t="s">
        <v>0</v>
      </c>
      <c r="DF373" s="128" t="str">
        <f t="shared" si="505"/>
        <v/>
      </c>
      <c r="DG373" t="s">
        <v>0</v>
      </c>
      <c r="DH373" s="52" t="str">
        <f t="shared" si="506"/>
        <v/>
      </c>
      <c r="DI373" s="66" t="str">
        <f t="shared" si="507"/>
        <v/>
      </c>
      <c r="DJ373" t="s">
        <v>0</v>
      </c>
      <c r="DK373" s="19" t="str">
        <f t="shared" si="508"/>
        <v/>
      </c>
      <c r="DL373" s="47" t="s">
        <v>0</v>
      </c>
      <c r="DM373" s="19" t="str">
        <f t="shared" si="509"/>
        <v/>
      </c>
      <c r="DN373" s="47" t="s">
        <v>0</v>
      </c>
      <c r="DO373" s="52" t="str">
        <f t="shared" si="449"/>
        <v/>
      </c>
      <c r="DP373" s="53" t="str">
        <f t="shared" si="450"/>
        <v/>
      </c>
      <c r="DQ373" s="47" t="s">
        <v>0</v>
      </c>
      <c r="DR373" s="52" t="str">
        <f t="shared" si="451"/>
        <v/>
      </c>
      <c r="DS373" s="53" t="str">
        <f t="shared" si="452"/>
        <v/>
      </c>
      <c r="DT373" s="47" t="s">
        <v>0</v>
      </c>
      <c r="DU373" s="52" t="str">
        <f t="shared" si="453"/>
        <v/>
      </c>
      <c r="DV373" s="53" t="str">
        <f t="shared" si="454"/>
        <v/>
      </c>
      <c r="DW373" s="47" t="s">
        <v>0</v>
      </c>
      <c r="DX373" s="58" t="str">
        <f t="shared" si="497"/>
        <v/>
      </c>
      <c r="DY373" s="53" t="str" cm="1">
        <f t="array" ref="DY373">IF(DX373&lt;&gt;"",INDEX(regNatjecatelj_id,DX373,0),IF(BD373&lt;&gt;"",BD373,""))</f>
        <v/>
      </c>
      <c r="DZ373" s="47" t="s">
        <v>0</v>
      </c>
      <c r="EA373" s="58" t="str">
        <f t="shared" si="455"/>
        <v/>
      </c>
      <c r="EB373" s="73" t="str">
        <f t="shared" si="456"/>
        <v/>
      </c>
      <c r="EC373" s="73" t="str">
        <f t="shared" si="457"/>
        <v/>
      </c>
      <c r="ED373" s="73" t="str">
        <f t="shared" si="458"/>
        <v/>
      </c>
      <c r="EE373" s="66" t="str">
        <f t="shared" si="459"/>
        <v/>
      </c>
      <c r="EF373" s="47" t="s">
        <v>0</v>
      </c>
      <c r="EG373" s="58" t="str">
        <f>IF(AL373="","",MAX(EG$12:EG372)+1)</f>
        <v/>
      </c>
      <c r="EH373" s="73" t="str">
        <f t="shared" si="460"/>
        <v/>
      </c>
      <c r="EI373" s="73" t="str">
        <f t="shared" si="498"/>
        <v/>
      </c>
      <c r="EJ373" s="73" t="str">
        <f t="shared" si="461"/>
        <v/>
      </c>
      <c r="EK373" s="73" t="str">
        <f t="shared" si="462"/>
        <v/>
      </c>
      <c r="EL373" s="73" t="str">
        <f t="shared" si="499"/>
        <v/>
      </c>
      <c r="EM373" s="73" t="str">
        <f t="shared" si="500"/>
        <v/>
      </c>
      <c r="EN373" s="73" t="str">
        <f t="shared" si="463"/>
        <v/>
      </c>
      <c r="EO373" s="73" t="str">
        <f t="shared" si="464"/>
        <v/>
      </c>
      <c r="EP373" s="73" t="str">
        <f t="shared" si="465"/>
        <v/>
      </c>
      <c r="EQ373" s="53" t="str">
        <f t="shared" si="466"/>
        <v/>
      </c>
      <c r="ER373" s="47" t="s">
        <v>0</v>
      </c>
      <c r="ES373" s="19" t="str">
        <f t="shared" si="501"/>
        <v/>
      </c>
      <c r="ET373" s="47" t="s">
        <v>0</v>
      </c>
      <c r="EU373" s="19" t="str">
        <f t="shared" si="502"/>
        <v/>
      </c>
      <c r="EV373" s="47" t="s">
        <v>0</v>
      </c>
      <c r="EW373" s="180" t="str">
        <f t="shared" si="467"/>
        <v/>
      </c>
      <c r="EX373" s="47" t="s">
        <v>0</v>
      </c>
    </row>
    <row r="374" spans="1:154" x14ac:dyDescent="0.25">
      <c r="A374" t="s">
        <v>0</v>
      </c>
      <c r="B374" s="52" t="str">
        <f>IF(csv!F364="","",csv!T364)</f>
        <v/>
      </c>
      <c r="C374" s="31" t="s">
        <v>0</v>
      </c>
      <c r="D374" s="31" t="str">
        <f>IF(csv!F364="","",csv!F364)</f>
        <v/>
      </c>
      <c r="E374" s="31" t="str">
        <f>IF(csv!E364="","",csv!E364)</f>
        <v/>
      </c>
      <c r="F374" s="31" t="s">
        <v>0</v>
      </c>
      <c r="G374" s="73" t="str">
        <f>IF(csv!M364="","",csv!M364)</f>
        <v/>
      </c>
      <c r="H374" s="73" t="str">
        <f>IF(csv!N364="","",csv!N364)</f>
        <v/>
      </c>
      <c r="I374" s="31" t="s">
        <v>0</v>
      </c>
      <c r="J374" s="31" t="str">
        <f>IF(csv!P364="","",csv!P364)</f>
        <v/>
      </c>
      <c r="K374" s="31" t="str">
        <f>IF(csv!Q364="","",csv!Q364)</f>
        <v/>
      </c>
      <c r="L374" s="31" t="s">
        <v>0</v>
      </c>
      <c r="M374" s="66" t="str">
        <f>IF(csv!R364="","",csv!R364)</f>
        <v/>
      </c>
      <c r="N374" s="47" t="s">
        <v>0</v>
      </c>
      <c r="O374" s="246" t="str">
        <f t="shared" si="468"/>
        <v/>
      </c>
      <c r="P374" s="47"/>
      <c r="Q374" s="52" t="str">
        <f t="shared" si="469"/>
        <v/>
      </c>
      <c r="R374" s="73" t="str">
        <f>IF(Q374="","",IF(COUNTIF(Q$12:Q373,Q374)=0,R373+1,R373))</f>
        <v/>
      </c>
      <c r="S374" s="73" t="str">
        <f t="shared" si="470"/>
        <v/>
      </c>
      <c r="T374" s="73" t="str">
        <f t="shared" si="434"/>
        <v/>
      </c>
      <c r="U374" s="66" t="str">
        <f t="shared" si="435"/>
        <v/>
      </c>
      <c r="V374" s="47" t="s">
        <v>0</v>
      </c>
      <c r="W374" s="222" t="str">
        <f t="shared" si="436"/>
        <v/>
      </c>
      <c r="X374" s="223" t="str">
        <f t="shared" si="437"/>
        <v/>
      </c>
      <c r="Y374" s="47" t="s">
        <v>0</v>
      </c>
      <c r="Z374" s="52" t="str">
        <f t="shared" si="471"/>
        <v/>
      </c>
      <c r="AA374" s="73" t="str">
        <f t="shared" si="438"/>
        <v/>
      </c>
      <c r="AB374" s="31" t="str">
        <f t="shared" si="472"/>
        <v/>
      </c>
      <c r="AC374" s="66" t="str">
        <f>IF(AB374="","",MAX(AC$12:AC373)+1)</f>
        <v/>
      </c>
      <c r="AD374" s="47" t="s">
        <v>0</v>
      </c>
      <c r="AE374" s="125"/>
      <c r="AF374" s="47" t="s">
        <v>0</v>
      </c>
      <c r="AG374" s="19" t="str">
        <f t="shared" si="473"/>
        <v/>
      </c>
      <c r="AH374" s="47" t="s">
        <v>0</v>
      </c>
      <c r="AI374" s="143" t="str">
        <f t="shared" si="474"/>
        <v/>
      </c>
      <c r="AJ374" s="47"/>
      <c r="AK374" s="52" t="str">
        <f t="shared" si="475"/>
        <v/>
      </c>
      <c r="AL374" s="31" t="str">
        <f t="shared" si="476"/>
        <v/>
      </c>
      <c r="AM374" s="73" t="str">
        <f t="shared" si="477"/>
        <v/>
      </c>
      <c r="AN374" s="73" t="str">
        <f t="shared" si="478"/>
        <v/>
      </c>
      <c r="AO374" s="31" t="str">
        <f t="shared" si="439"/>
        <v/>
      </c>
      <c r="AP374" s="66" t="str">
        <f t="shared" si="440"/>
        <v/>
      </c>
      <c r="AQ374" s="47" t="s">
        <v>0</v>
      </c>
      <c r="AR374" s="82" t="str">
        <f t="shared" si="479"/>
        <v/>
      </c>
      <c r="AS374" s="47" t="s">
        <v>0</v>
      </c>
      <c r="AT374" s="19" t="str">
        <f t="shared" si="480"/>
        <v/>
      </c>
      <c r="AU374" s="47" t="s">
        <v>0</v>
      </c>
      <c r="AV374" s="103"/>
      <c r="AW374" s="105"/>
      <c r="AX374" s="47" t="s">
        <v>0</v>
      </c>
      <c r="AY374" s="259" t="str">
        <f t="shared" si="503"/>
        <v/>
      </c>
      <c r="AZ374" s="47" t="s">
        <v>0</v>
      </c>
      <c r="BA374" s="52" t="str">
        <f t="shared" si="433"/>
        <v/>
      </c>
      <c r="BB374" s="73" t="str">
        <f>IF(AV374&amp;AW374="","",MAX(BB$12:BB373)+1)</f>
        <v/>
      </c>
      <c r="BC374" s="272" t="str">
        <f t="shared" si="441"/>
        <v/>
      </c>
      <c r="BD374" s="53" t="str">
        <f>IF(AND(AM374="NEMA",AN374="NEMA",OR(AV374&amp;AW374="",BC374="NEMA")),MAX(BD$12:BD373)+1,"")</f>
        <v/>
      </c>
      <c r="BE374" s="47" t="s">
        <v>0</v>
      </c>
      <c r="BF374" s="52" t="str">
        <f t="shared" si="481"/>
        <v/>
      </c>
      <c r="BG374" s="66" t="str">
        <f t="shared" si="482"/>
        <v/>
      </c>
      <c r="BH374" s="47" t="s">
        <v>0</v>
      </c>
      <c r="BI374" s="52" t="str">
        <f t="shared" si="442"/>
        <v/>
      </c>
      <c r="BJ374" s="31" t="str">
        <f t="shared" si="443"/>
        <v/>
      </c>
      <c r="BK374" s="73" t="str">
        <f t="shared" si="444"/>
        <v/>
      </c>
      <c r="BL374" s="31" t="str" cm="1">
        <f t="array" ref="BL374">IF(BK374="",""&amp;BJ374,IF(BK374="NEMA",BJ374,INDEX(regKlub_naziv,MATCH(INDEX(regKlub_alias_klubId,BK374),regKlub_id,0))))</f>
        <v/>
      </c>
      <c r="BM374" s="31" t="str" cm="1">
        <f t="array" ref="BM374">IFERROR(""&amp;INDEX(regNatjecatelj_klub,DV374),"")</f>
        <v/>
      </c>
      <c r="BN374" s="88" t="str">
        <f t="shared" si="483"/>
        <v/>
      </c>
      <c r="BO374" s="66" t="str">
        <f t="shared" si="484"/>
        <v/>
      </c>
      <c r="BP374" s="47" t="s">
        <v>0</v>
      </c>
      <c r="BQ374" s="52" t="str">
        <f>IF(X374&lt;&gt;"NEMA","",IF(IFERROR(MATCH(W374,W$12:W373,0),0)&lt;&gt;0,"",W374))</f>
        <v/>
      </c>
      <c r="BR374" s="73" t="str">
        <f t="shared" si="485"/>
        <v/>
      </c>
      <c r="BS374" s="31" t="str">
        <f>IF(OR(BR374="",BR374&lt;&gt;"NEMA"),"",MAX(BS$12:BS373)+1)</f>
        <v/>
      </c>
      <c r="BT374" s="66" t="str">
        <f t="shared" si="486"/>
        <v/>
      </c>
      <c r="BU374" s="47" t="s">
        <v>0</v>
      </c>
      <c r="BV374" s="19" t="str">
        <f t="shared" si="487"/>
        <v/>
      </c>
      <c r="BW374" s="47" t="s">
        <v>0</v>
      </c>
      <c r="BX374" s="82" t="str">
        <f>IF(BK374&lt;&gt;"NEMA","",IF(IFERROR(MATCH(BJ374,BJ$12:BJ373,0),0)&lt;&gt;0,"",BJ374))</f>
        <v/>
      </c>
      <c r="BY374" s="47" t="s">
        <v>0</v>
      </c>
      <c r="BZ374" s="125"/>
      <c r="CA374" s="47" t="s">
        <v>0</v>
      </c>
      <c r="CB374" s="58" t="str">
        <f t="shared" si="488"/>
        <v/>
      </c>
      <c r="CC374" s="31" t="str">
        <f t="shared" si="489"/>
        <v/>
      </c>
      <c r="CD374" s="31" t="str">
        <f>IF(CC374="","",MAX(CD$12:CD373)+1)</f>
        <v/>
      </c>
      <c r="CE374" s="31" t="str">
        <f t="shared" si="445"/>
        <v/>
      </c>
      <c r="CF374" s="31" t="str">
        <f t="shared" si="490"/>
        <v/>
      </c>
      <c r="CG374" s="31" t="str">
        <f>IF(BZ374="","",MAX(CG$12:CG373)+1)</f>
        <v/>
      </c>
      <c r="CH374" s="31" t="str">
        <f t="shared" si="491"/>
        <v/>
      </c>
      <c r="CI374" s="66" t="str">
        <f t="shared" si="492"/>
        <v/>
      </c>
      <c r="CJ374" s="47" t="s">
        <v>0</v>
      </c>
      <c r="CK374" s="73" t="str">
        <f t="shared" si="446"/>
        <v/>
      </c>
      <c r="CL374" s="47"/>
      <c r="CM374" s="19" t="str">
        <f t="shared" si="493"/>
        <v/>
      </c>
      <c r="CN374" s="47" t="s">
        <v>0</v>
      </c>
      <c r="CO374" s="143" t="str">
        <f t="shared" si="494"/>
        <v/>
      </c>
      <c r="CP374" s="47" t="s">
        <v>0</v>
      </c>
      <c r="CQ374" s="58" t="str">
        <f t="shared" si="510"/>
        <v/>
      </c>
      <c r="CR374" s="73" t="str">
        <f t="shared" si="511"/>
        <v/>
      </c>
      <c r="CS374" s="229" t="str">
        <f t="shared" si="447"/>
        <v/>
      </c>
      <c r="CT374" s="230" t="str">
        <f t="shared" si="432"/>
        <v/>
      </c>
      <c r="CU374" s="163" t="str">
        <f t="shared" si="448"/>
        <v/>
      </c>
      <c r="CV374" s="47" t="s">
        <v>0</v>
      </c>
      <c r="CW374" s="222" t="str">
        <f t="shared" si="495"/>
        <v xml:space="preserve">
</v>
      </c>
      <c r="CX374" s="223" t="str">
        <f t="shared" si="496"/>
        <v/>
      </c>
      <c r="CY374" s="47" t="s">
        <v>0</v>
      </c>
      <c r="CZ374" s="47"/>
      <c r="DA374" s="47"/>
      <c r="DB374" s="47"/>
      <c r="DC374" s="47" t="s">
        <v>0</v>
      </c>
      <c r="DD374" s="53" t="str">
        <f t="shared" si="504"/>
        <v/>
      </c>
      <c r="DE374" t="s">
        <v>0</v>
      </c>
      <c r="DF374" s="128" t="str">
        <f t="shared" si="505"/>
        <v/>
      </c>
      <c r="DG374" t="s">
        <v>0</v>
      </c>
      <c r="DH374" s="52" t="str">
        <f t="shared" si="506"/>
        <v/>
      </c>
      <c r="DI374" s="66" t="str">
        <f t="shared" si="507"/>
        <v/>
      </c>
      <c r="DJ374" t="s">
        <v>0</v>
      </c>
      <c r="DK374" s="19" t="str">
        <f t="shared" si="508"/>
        <v/>
      </c>
      <c r="DL374" s="47" t="s">
        <v>0</v>
      </c>
      <c r="DM374" s="19" t="str">
        <f t="shared" si="509"/>
        <v/>
      </c>
      <c r="DN374" s="47" t="s">
        <v>0</v>
      </c>
      <c r="DO374" s="52" t="str">
        <f t="shared" si="449"/>
        <v/>
      </c>
      <c r="DP374" s="53" t="str">
        <f t="shared" si="450"/>
        <v/>
      </c>
      <c r="DQ374" s="47" t="s">
        <v>0</v>
      </c>
      <c r="DR374" s="52" t="str">
        <f t="shared" si="451"/>
        <v/>
      </c>
      <c r="DS374" s="53" t="str">
        <f t="shared" si="452"/>
        <v/>
      </c>
      <c r="DT374" s="47" t="s">
        <v>0</v>
      </c>
      <c r="DU374" s="52" t="str">
        <f t="shared" si="453"/>
        <v/>
      </c>
      <c r="DV374" s="53" t="str">
        <f t="shared" si="454"/>
        <v/>
      </c>
      <c r="DW374" s="47" t="s">
        <v>0</v>
      </c>
      <c r="DX374" s="58" t="str">
        <f t="shared" si="497"/>
        <v/>
      </c>
      <c r="DY374" s="53" t="str" cm="1">
        <f t="array" ref="DY374">IF(DX374&lt;&gt;"",INDEX(regNatjecatelj_id,DX374,0),IF(BD374&lt;&gt;"",BD374,""))</f>
        <v/>
      </c>
      <c r="DZ374" s="47" t="s">
        <v>0</v>
      </c>
      <c r="EA374" s="58" t="str">
        <f t="shared" si="455"/>
        <v/>
      </c>
      <c r="EB374" s="73" t="str">
        <f t="shared" si="456"/>
        <v/>
      </c>
      <c r="EC374" s="73" t="str">
        <f t="shared" si="457"/>
        <v/>
      </c>
      <c r="ED374" s="73" t="str">
        <f t="shared" si="458"/>
        <v/>
      </c>
      <c r="EE374" s="66" t="str">
        <f t="shared" si="459"/>
        <v/>
      </c>
      <c r="EF374" s="47" t="s">
        <v>0</v>
      </c>
      <c r="EG374" s="58" t="str">
        <f>IF(AL374="","",MAX(EG$12:EG373)+1)</f>
        <v/>
      </c>
      <c r="EH374" s="73" t="str">
        <f t="shared" si="460"/>
        <v/>
      </c>
      <c r="EI374" s="73" t="str">
        <f t="shared" si="498"/>
        <v/>
      </c>
      <c r="EJ374" s="73" t="str">
        <f t="shared" si="461"/>
        <v/>
      </c>
      <c r="EK374" s="73" t="str">
        <f t="shared" si="462"/>
        <v/>
      </c>
      <c r="EL374" s="73" t="str">
        <f t="shared" si="499"/>
        <v/>
      </c>
      <c r="EM374" s="73" t="str">
        <f t="shared" si="500"/>
        <v/>
      </c>
      <c r="EN374" s="73" t="str">
        <f t="shared" si="463"/>
        <v/>
      </c>
      <c r="EO374" s="73" t="str">
        <f t="shared" si="464"/>
        <v/>
      </c>
      <c r="EP374" s="73" t="str">
        <f t="shared" si="465"/>
        <v/>
      </c>
      <c r="EQ374" s="53" t="str">
        <f t="shared" si="466"/>
        <v/>
      </c>
      <c r="ER374" s="47" t="s">
        <v>0</v>
      </c>
      <c r="ES374" s="19" t="str">
        <f t="shared" si="501"/>
        <v/>
      </c>
      <c r="ET374" s="47" t="s">
        <v>0</v>
      </c>
      <c r="EU374" s="19" t="str">
        <f t="shared" si="502"/>
        <v/>
      </c>
      <c r="EV374" s="47" t="s">
        <v>0</v>
      </c>
      <c r="EW374" s="180" t="str">
        <f t="shared" si="467"/>
        <v/>
      </c>
      <c r="EX374" s="47" t="s">
        <v>0</v>
      </c>
    </row>
    <row r="375" spans="1:154" x14ac:dyDescent="0.25">
      <c r="A375" t="s">
        <v>0</v>
      </c>
      <c r="B375" s="52" t="str">
        <f>IF(csv!F365="","",csv!T365)</f>
        <v/>
      </c>
      <c r="C375" s="31" t="s">
        <v>0</v>
      </c>
      <c r="D375" s="31" t="str">
        <f>IF(csv!F365="","",csv!F365)</f>
        <v/>
      </c>
      <c r="E375" s="31" t="str">
        <f>IF(csv!E365="","",csv!E365)</f>
        <v/>
      </c>
      <c r="F375" s="31" t="s">
        <v>0</v>
      </c>
      <c r="G375" s="73" t="str">
        <f>IF(csv!M365="","",csv!M365)</f>
        <v/>
      </c>
      <c r="H375" s="73" t="str">
        <f>IF(csv!N365="","",csv!N365)</f>
        <v/>
      </c>
      <c r="I375" s="31" t="s">
        <v>0</v>
      </c>
      <c r="J375" s="31" t="str">
        <f>IF(csv!P365="","",csv!P365)</f>
        <v/>
      </c>
      <c r="K375" s="31" t="str">
        <f>IF(csv!Q365="","",csv!Q365)</f>
        <v/>
      </c>
      <c r="L375" s="31" t="s">
        <v>0</v>
      </c>
      <c r="M375" s="66" t="str">
        <f>IF(csv!R365="","",csv!R365)</f>
        <v/>
      </c>
      <c r="N375" s="47" t="s">
        <v>0</v>
      </c>
      <c r="O375" s="246" t="str">
        <f t="shared" si="468"/>
        <v/>
      </c>
      <c r="P375" s="47"/>
      <c r="Q375" s="52" t="str">
        <f t="shared" si="469"/>
        <v/>
      </c>
      <c r="R375" s="73" t="str">
        <f>IF(Q375="","",IF(COUNTIF(Q$12:Q374,Q375)=0,R374+1,R374))</f>
        <v/>
      </c>
      <c r="S375" s="73" t="str">
        <f t="shared" si="470"/>
        <v/>
      </c>
      <c r="T375" s="73" t="str">
        <f t="shared" si="434"/>
        <v/>
      </c>
      <c r="U375" s="66" t="str">
        <f t="shared" si="435"/>
        <v/>
      </c>
      <c r="V375" s="47" t="s">
        <v>0</v>
      </c>
      <c r="W375" s="222" t="str">
        <f t="shared" si="436"/>
        <v/>
      </c>
      <c r="X375" s="223" t="str">
        <f t="shared" si="437"/>
        <v/>
      </c>
      <c r="Y375" s="47" t="s">
        <v>0</v>
      </c>
      <c r="Z375" s="52" t="str">
        <f t="shared" si="471"/>
        <v/>
      </c>
      <c r="AA375" s="73" t="str">
        <f t="shared" si="438"/>
        <v/>
      </c>
      <c r="AB375" s="31" t="str">
        <f t="shared" si="472"/>
        <v/>
      </c>
      <c r="AC375" s="66" t="str">
        <f>IF(AB375="","",MAX(AC$12:AC374)+1)</f>
        <v/>
      </c>
      <c r="AD375" s="47" t="s">
        <v>0</v>
      </c>
      <c r="AE375" s="125"/>
      <c r="AF375" s="47" t="s">
        <v>0</v>
      </c>
      <c r="AG375" s="19" t="str">
        <f t="shared" si="473"/>
        <v/>
      </c>
      <c r="AH375" s="47" t="s">
        <v>0</v>
      </c>
      <c r="AI375" s="143" t="str">
        <f t="shared" si="474"/>
        <v/>
      </c>
      <c r="AJ375" s="47"/>
      <c r="AK375" s="52" t="str">
        <f t="shared" si="475"/>
        <v/>
      </c>
      <c r="AL375" s="31" t="str">
        <f t="shared" si="476"/>
        <v/>
      </c>
      <c r="AM375" s="73" t="str">
        <f t="shared" si="477"/>
        <v/>
      </c>
      <c r="AN375" s="73" t="str">
        <f t="shared" si="478"/>
        <v/>
      </c>
      <c r="AO375" s="31" t="str">
        <f t="shared" si="439"/>
        <v/>
      </c>
      <c r="AP375" s="66" t="str">
        <f t="shared" si="440"/>
        <v/>
      </c>
      <c r="AQ375" s="47" t="s">
        <v>0</v>
      </c>
      <c r="AR375" s="82" t="str">
        <f t="shared" si="479"/>
        <v/>
      </c>
      <c r="AS375" s="47" t="s">
        <v>0</v>
      </c>
      <c r="AT375" s="19" t="str">
        <f t="shared" si="480"/>
        <v/>
      </c>
      <c r="AU375" s="47" t="s">
        <v>0</v>
      </c>
      <c r="AV375" s="103"/>
      <c r="AW375" s="105"/>
      <c r="AX375" s="47" t="s">
        <v>0</v>
      </c>
      <c r="AY375" s="259" t="str">
        <f t="shared" si="503"/>
        <v/>
      </c>
      <c r="AZ375" s="47" t="s">
        <v>0</v>
      </c>
      <c r="BA375" s="52" t="str">
        <f t="shared" si="433"/>
        <v/>
      </c>
      <c r="BB375" s="73" t="str">
        <f>IF(AV375&amp;AW375="","",MAX(BB$12:BB374)+1)</f>
        <v/>
      </c>
      <c r="BC375" s="272" t="str">
        <f t="shared" si="441"/>
        <v/>
      </c>
      <c r="BD375" s="53" t="str">
        <f>IF(AND(AM375="NEMA",AN375="NEMA",OR(AV375&amp;AW375="",BC375="NEMA")),MAX(BD$12:BD374)+1,"")</f>
        <v/>
      </c>
      <c r="BE375" s="47" t="s">
        <v>0</v>
      </c>
      <c r="BF375" s="52" t="str">
        <f t="shared" si="481"/>
        <v/>
      </c>
      <c r="BG375" s="66" t="str">
        <f t="shared" si="482"/>
        <v/>
      </c>
      <c r="BH375" s="47" t="s">
        <v>0</v>
      </c>
      <c r="BI375" s="52" t="str">
        <f t="shared" si="442"/>
        <v/>
      </c>
      <c r="BJ375" s="31" t="str">
        <f t="shared" si="443"/>
        <v/>
      </c>
      <c r="BK375" s="73" t="str">
        <f t="shared" si="444"/>
        <v/>
      </c>
      <c r="BL375" s="31" t="str" cm="1">
        <f t="array" ref="BL375">IF(BK375="",""&amp;BJ375,IF(BK375="NEMA",BJ375,INDEX(regKlub_naziv,MATCH(INDEX(regKlub_alias_klubId,BK375),regKlub_id,0))))</f>
        <v/>
      </c>
      <c r="BM375" s="31" t="str" cm="1">
        <f t="array" ref="BM375">IFERROR(""&amp;INDEX(regNatjecatelj_klub,DV375),"")</f>
        <v/>
      </c>
      <c r="BN375" s="88" t="str">
        <f t="shared" si="483"/>
        <v/>
      </c>
      <c r="BO375" s="66" t="str">
        <f t="shared" si="484"/>
        <v/>
      </c>
      <c r="BP375" s="47" t="s">
        <v>0</v>
      </c>
      <c r="BQ375" s="52" t="str">
        <f>IF(X375&lt;&gt;"NEMA","",IF(IFERROR(MATCH(W375,W$12:W374,0),0)&lt;&gt;0,"",W375))</f>
        <v/>
      </c>
      <c r="BR375" s="73" t="str">
        <f t="shared" si="485"/>
        <v/>
      </c>
      <c r="BS375" s="31" t="str">
        <f>IF(OR(BR375="",BR375&lt;&gt;"NEMA"),"",MAX(BS$12:BS374)+1)</f>
        <v/>
      </c>
      <c r="BT375" s="66" t="str">
        <f t="shared" si="486"/>
        <v/>
      </c>
      <c r="BU375" s="47" t="s">
        <v>0</v>
      </c>
      <c r="BV375" s="19" t="str">
        <f t="shared" si="487"/>
        <v/>
      </c>
      <c r="BW375" s="47" t="s">
        <v>0</v>
      </c>
      <c r="BX375" s="82" t="str">
        <f>IF(BK375&lt;&gt;"NEMA","",IF(IFERROR(MATCH(BJ375,BJ$12:BJ374,0),0)&lt;&gt;0,"",BJ375))</f>
        <v/>
      </c>
      <c r="BY375" s="47" t="s">
        <v>0</v>
      </c>
      <c r="BZ375" s="125"/>
      <c r="CA375" s="47" t="s">
        <v>0</v>
      </c>
      <c r="CB375" s="58" t="str">
        <f t="shared" si="488"/>
        <v/>
      </c>
      <c r="CC375" s="31" t="str">
        <f t="shared" si="489"/>
        <v/>
      </c>
      <c r="CD375" s="31" t="str">
        <f>IF(CC375="","",MAX(CD$12:CD374)+1)</f>
        <v/>
      </c>
      <c r="CE375" s="31" t="str">
        <f t="shared" si="445"/>
        <v/>
      </c>
      <c r="CF375" s="31" t="str">
        <f t="shared" si="490"/>
        <v/>
      </c>
      <c r="CG375" s="31" t="str">
        <f>IF(BZ375="","",MAX(CG$12:CG374)+1)</f>
        <v/>
      </c>
      <c r="CH375" s="31" t="str">
        <f t="shared" si="491"/>
        <v/>
      </c>
      <c r="CI375" s="66" t="str">
        <f t="shared" si="492"/>
        <v/>
      </c>
      <c r="CJ375" s="47" t="s">
        <v>0</v>
      </c>
      <c r="CK375" s="73" t="str">
        <f t="shared" si="446"/>
        <v/>
      </c>
      <c r="CL375" s="47"/>
      <c r="CM375" s="19" t="str">
        <f t="shared" si="493"/>
        <v/>
      </c>
      <c r="CN375" s="47" t="s">
        <v>0</v>
      </c>
      <c r="CO375" s="143" t="str">
        <f t="shared" si="494"/>
        <v/>
      </c>
      <c r="CP375" s="47" t="s">
        <v>0</v>
      </c>
      <c r="CQ375" s="58" t="str">
        <f t="shared" si="510"/>
        <v/>
      </c>
      <c r="CR375" s="73" t="str">
        <f t="shared" si="511"/>
        <v/>
      </c>
      <c r="CS375" s="229" t="str">
        <f t="shared" si="447"/>
        <v/>
      </c>
      <c r="CT375" s="230" t="str">
        <f t="shared" si="432"/>
        <v/>
      </c>
      <c r="CU375" s="163" t="str">
        <f t="shared" si="448"/>
        <v/>
      </c>
      <c r="CV375" s="47" t="s">
        <v>0</v>
      </c>
      <c r="CW375" s="222" t="str">
        <f t="shared" si="495"/>
        <v xml:space="preserve">
</v>
      </c>
      <c r="CX375" s="223" t="str">
        <f t="shared" si="496"/>
        <v/>
      </c>
      <c r="CY375" s="47" t="s">
        <v>0</v>
      </c>
      <c r="CZ375" s="47"/>
      <c r="DA375" s="47"/>
      <c r="DB375" s="47"/>
      <c r="DC375" s="47" t="s">
        <v>0</v>
      </c>
      <c r="DD375" s="53" t="str">
        <f t="shared" si="504"/>
        <v/>
      </c>
      <c r="DE375" t="s">
        <v>0</v>
      </c>
      <c r="DF375" s="128" t="str">
        <f t="shared" si="505"/>
        <v/>
      </c>
      <c r="DG375" t="s">
        <v>0</v>
      </c>
      <c r="DH375" s="52" t="str">
        <f t="shared" si="506"/>
        <v/>
      </c>
      <c r="DI375" s="66" t="str">
        <f t="shared" si="507"/>
        <v/>
      </c>
      <c r="DJ375" t="s">
        <v>0</v>
      </c>
      <c r="DK375" s="19" t="str">
        <f t="shared" si="508"/>
        <v/>
      </c>
      <c r="DL375" s="47" t="s">
        <v>0</v>
      </c>
      <c r="DM375" s="19" t="str">
        <f t="shared" si="509"/>
        <v/>
      </c>
      <c r="DN375" s="47" t="s">
        <v>0</v>
      </c>
      <c r="DO375" s="52" t="str">
        <f t="shared" si="449"/>
        <v/>
      </c>
      <c r="DP375" s="53" t="str">
        <f t="shared" si="450"/>
        <v/>
      </c>
      <c r="DQ375" s="47" t="s">
        <v>0</v>
      </c>
      <c r="DR375" s="52" t="str">
        <f t="shared" si="451"/>
        <v/>
      </c>
      <c r="DS375" s="53" t="str">
        <f t="shared" si="452"/>
        <v/>
      </c>
      <c r="DT375" s="47" t="s">
        <v>0</v>
      </c>
      <c r="DU375" s="52" t="str">
        <f t="shared" si="453"/>
        <v/>
      </c>
      <c r="DV375" s="53" t="str">
        <f t="shared" si="454"/>
        <v/>
      </c>
      <c r="DW375" s="47" t="s">
        <v>0</v>
      </c>
      <c r="DX375" s="58" t="str">
        <f t="shared" si="497"/>
        <v/>
      </c>
      <c r="DY375" s="53" t="str" cm="1">
        <f t="array" ref="DY375">IF(DX375&lt;&gt;"",INDEX(regNatjecatelj_id,DX375,0),IF(BD375&lt;&gt;"",BD375,""))</f>
        <v/>
      </c>
      <c r="DZ375" s="47" t="s">
        <v>0</v>
      </c>
      <c r="EA375" s="58" t="str">
        <f t="shared" si="455"/>
        <v/>
      </c>
      <c r="EB375" s="73" t="str">
        <f t="shared" si="456"/>
        <v/>
      </c>
      <c r="EC375" s="73" t="str">
        <f t="shared" si="457"/>
        <v/>
      </c>
      <c r="ED375" s="73" t="str">
        <f t="shared" si="458"/>
        <v/>
      </c>
      <c r="EE375" s="66" t="str">
        <f t="shared" si="459"/>
        <v/>
      </c>
      <c r="EF375" s="47" t="s">
        <v>0</v>
      </c>
      <c r="EG375" s="58" t="str">
        <f>IF(AL375="","",MAX(EG$12:EG374)+1)</f>
        <v/>
      </c>
      <c r="EH375" s="73" t="str">
        <f t="shared" si="460"/>
        <v/>
      </c>
      <c r="EI375" s="73" t="str">
        <f t="shared" si="498"/>
        <v/>
      </c>
      <c r="EJ375" s="73" t="str">
        <f t="shared" si="461"/>
        <v/>
      </c>
      <c r="EK375" s="73" t="str">
        <f t="shared" si="462"/>
        <v/>
      </c>
      <c r="EL375" s="73" t="str">
        <f t="shared" si="499"/>
        <v/>
      </c>
      <c r="EM375" s="73" t="str">
        <f t="shared" si="500"/>
        <v/>
      </c>
      <c r="EN375" s="73" t="str">
        <f t="shared" si="463"/>
        <v/>
      </c>
      <c r="EO375" s="73" t="str">
        <f t="shared" si="464"/>
        <v/>
      </c>
      <c r="EP375" s="73" t="str">
        <f t="shared" si="465"/>
        <v/>
      </c>
      <c r="EQ375" s="53" t="str">
        <f t="shared" si="466"/>
        <v/>
      </c>
      <c r="ER375" s="47" t="s">
        <v>0</v>
      </c>
      <c r="ES375" s="19" t="str">
        <f t="shared" si="501"/>
        <v/>
      </c>
      <c r="ET375" s="47" t="s">
        <v>0</v>
      </c>
      <c r="EU375" s="19" t="str">
        <f t="shared" si="502"/>
        <v/>
      </c>
      <c r="EV375" s="47" t="s">
        <v>0</v>
      </c>
      <c r="EW375" s="180" t="str">
        <f t="shared" si="467"/>
        <v/>
      </c>
      <c r="EX375" s="47" t="s">
        <v>0</v>
      </c>
    </row>
    <row r="376" spans="1:154" x14ac:dyDescent="0.25">
      <c r="A376" t="s">
        <v>0</v>
      </c>
      <c r="B376" s="52" t="str">
        <f>IF(csv!F366="","",csv!T366)</f>
        <v/>
      </c>
      <c r="C376" s="31" t="s">
        <v>0</v>
      </c>
      <c r="D376" s="31" t="str">
        <f>IF(csv!F366="","",csv!F366)</f>
        <v/>
      </c>
      <c r="E376" s="31" t="str">
        <f>IF(csv!E366="","",csv!E366)</f>
        <v/>
      </c>
      <c r="F376" s="31" t="s">
        <v>0</v>
      </c>
      <c r="G376" s="73" t="str">
        <f>IF(csv!M366="","",csv!M366)</f>
        <v/>
      </c>
      <c r="H376" s="73" t="str">
        <f>IF(csv!N366="","",csv!N366)</f>
        <v/>
      </c>
      <c r="I376" s="31" t="s">
        <v>0</v>
      </c>
      <c r="J376" s="31" t="str">
        <f>IF(csv!P366="","",csv!P366)</f>
        <v/>
      </c>
      <c r="K376" s="31" t="str">
        <f>IF(csv!Q366="","",csv!Q366)</f>
        <v/>
      </c>
      <c r="L376" s="31" t="s">
        <v>0</v>
      </c>
      <c r="M376" s="66" t="str">
        <f>IF(csv!R366="","",csv!R366)</f>
        <v/>
      </c>
      <c r="N376" s="47" t="s">
        <v>0</v>
      </c>
      <c r="O376" s="246" t="str">
        <f t="shared" si="468"/>
        <v/>
      </c>
      <c r="P376" s="47"/>
      <c r="Q376" s="52" t="str">
        <f t="shared" si="469"/>
        <v/>
      </c>
      <c r="R376" s="73" t="str">
        <f>IF(Q376="","",IF(COUNTIF(Q$12:Q375,Q376)=0,R375+1,R375))</f>
        <v/>
      </c>
      <c r="S376" s="73" t="str">
        <f t="shared" si="470"/>
        <v/>
      </c>
      <c r="T376" s="73" t="str">
        <f t="shared" si="434"/>
        <v/>
      </c>
      <c r="U376" s="66" t="str">
        <f t="shared" si="435"/>
        <v/>
      </c>
      <c r="V376" s="47" t="s">
        <v>0</v>
      </c>
      <c r="W376" s="222" t="str">
        <f t="shared" si="436"/>
        <v/>
      </c>
      <c r="X376" s="223" t="str">
        <f t="shared" si="437"/>
        <v/>
      </c>
      <c r="Y376" s="47" t="s">
        <v>0</v>
      </c>
      <c r="Z376" s="52" t="str">
        <f t="shared" si="471"/>
        <v/>
      </c>
      <c r="AA376" s="73" t="str">
        <f t="shared" si="438"/>
        <v/>
      </c>
      <c r="AB376" s="31" t="str">
        <f t="shared" si="472"/>
        <v/>
      </c>
      <c r="AC376" s="66" t="str">
        <f>IF(AB376="","",MAX(AC$12:AC375)+1)</f>
        <v/>
      </c>
      <c r="AD376" s="47" t="s">
        <v>0</v>
      </c>
      <c r="AE376" s="125"/>
      <c r="AF376" s="47" t="s">
        <v>0</v>
      </c>
      <c r="AG376" s="19" t="str">
        <f t="shared" si="473"/>
        <v/>
      </c>
      <c r="AH376" s="47" t="s">
        <v>0</v>
      </c>
      <c r="AI376" s="143" t="str">
        <f t="shared" si="474"/>
        <v/>
      </c>
      <c r="AJ376" s="47"/>
      <c r="AK376" s="52" t="str">
        <f t="shared" si="475"/>
        <v/>
      </c>
      <c r="AL376" s="31" t="str">
        <f t="shared" si="476"/>
        <v/>
      </c>
      <c r="AM376" s="73" t="str">
        <f t="shared" si="477"/>
        <v/>
      </c>
      <c r="AN376" s="73" t="str">
        <f t="shared" si="478"/>
        <v/>
      </c>
      <c r="AO376" s="31" t="str">
        <f t="shared" si="439"/>
        <v/>
      </c>
      <c r="AP376" s="66" t="str">
        <f t="shared" si="440"/>
        <v/>
      </c>
      <c r="AQ376" s="47" t="s">
        <v>0</v>
      </c>
      <c r="AR376" s="82" t="str">
        <f t="shared" si="479"/>
        <v/>
      </c>
      <c r="AS376" s="47" t="s">
        <v>0</v>
      </c>
      <c r="AT376" s="19" t="str">
        <f t="shared" si="480"/>
        <v/>
      </c>
      <c r="AU376" s="47" t="s">
        <v>0</v>
      </c>
      <c r="AV376" s="103"/>
      <c r="AW376" s="105"/>
      <c r="AX376" s="47" t="s">
        <v>0</v>
      </c>
      <c r="AY376" s="259" t="str">
        <f t="shared" si="503"/>
        <v/>
      </c>
      <c r="AZ376" s="47" t="s">
        <v>0</v>
      </c>
      <c r="BA376" s="52" t="str">
        <f t="shared" si="433"/>
        <v/>
      </c>
      <c r="BB376" s="73" t="str">
        <f>IF(AV376&amp;AW376="","",MAX(BB$12:BB375)+1)</f>
        <v/>
      </c>
      <c r="BC376" s="272" t="str">
        <f t="shared" si="441"/>
        <v/>
      </c>
      <c r="BD376" s="53" t="str">
        <f>IF(AND(AM376="NEMA",AN376="NEMA",OR(AV376&amp;AW376="",BC376="NEMA")),MAX(BD$12:BD375)+1,"")</f>
        <v/>
      </c>
      <c r="BE376" s="47" t="s">
        <v>0</v>
      </c>
      <c r="BF376" s="52" t="str">
        <f t="shared" si="481"/>
        <v/>
      </c>
      <c r="BG376" s="66" t="str">
        <f t="shared" si="482"/>
        <v/>
      </c>
      <c r="BH376" s="47" t="s">
        <v>0</v>
      </c>
      <c r="BI376" s="52" t="str">
        <f t="shared" si="442"/>
        <v/>
      </c>
      <c r="BJ376" s="31" t="str">
        <f t="shared" si="443"/>
        <v/>
      </c>
      <c r="BK376" s="73" t="str">
        <f t="shared" si="444"/>
        <v/>
      </c>
      <c r="BL376" s="31" t="str" cm="1">
        <f t="array" ref="BL376">IF(BK376="",""&amp;BJ376,IF(BK376="NEMA",BJ376,INDEX(regKlub_naziv,MATCH(INDEX(regKlub_alias_klubId,BK376),regKlub_id,0))))</f>
        <v/>
      </c>
      <c r="BM376" s="31" t="str" cm="1">
        <f t="array" ref="BM376">IFERROR(""&amp;INDEX(regNatjecatelj_klub,DV376),"")</f>
        <v/>
      </c>
      <c r="BN376" s="88" t="str">
        <f t="shared" si="483"/>
        <v/>
      </c>
      <c r="BO376" s="66" t="str">
        <f t="shared" si="484"/>
        <v/>
      </c>
      <c r="BP376" s="47" t="s">
        <v>0</v>
      </c>
      <c r="BQ376" s="52" t="str">
        <f>IF(X376&lt;&gt;"NEMA","",IF(IFERROR(MATCH(W376,W$12:W375,0),0)&lt;&gt;0,"",W376))</f>
        <v/>
      </c>
      <c r="BR376" s="73" t="str">
        <f t="shared" si="485"/>
        <v/>
      </c>
      <c r="BS376" s="31" t="str">
        <f>IF(OR(BR376="",BR376&lt;&gt;"NEMA"),"",MAX(BS$12:BS375)+1)</f>
        <v/>
      </c>
      <c r="BT376" s="66" t="str">
        <f t="shared" si="486"/>
        <v/>
      </c>
      <c r="BU376" s="47" t="s">
        <v>0</v>
      </c>
      <c r="BV376" s="19" t="str">
        <f t="shared" si="487"/>
        <v/>
      </c>
      <c r="BW376" s="47" t="s">
        <v>0</v>
      </c>
      <c r="BX376" s="82" t="str">
        <f>IF(BK376&lt;&gt;"NEMA","",IF(IFERROR(MATCH(BJ376,BJ$12:BJ375,0),0)&lt;&gt;0,"",BJ376))</f>
        <v/>
      </c>
      <c r="BY376" s="47" t="s">
        <v>0</v>
      </c>
      <c r="BZ376" s="125"/>
      <c r="CA376" s="47" t="s">
        <v>0</v>
      </c>
      <c r="CB376" s="58" t="str">
        <f t="shared" si="488"/>
        <v/>
      </c>
      <c r="CC376" s="31" t="str">
        <f t="shared" si="489"/>
        <v/>
      </c>
      <c r="CD376" s="31" t="str">
        <f>IF(CC376="","",MAX(CD$12:CD375)+1)</f>
        <v/>
      </c>
      <c r="CE376" s="31" t="str">
        <f t="shared" si="445"/>
        <v/>
      </c>
      <c r="CF376" s="31" t="str">
        <f t="shared" si="490"/>
        <v/>
      </c>
      <c r="CG376" s="31" t="str">
        <f>IF(BZ376="","",MAX(CG$12:CG375)+1)</f>
        <v/>
      </c>
      <c r="CH376" s="31" t="str">
        <f t="shared" si="491"/>
        <v/>
      </c>
      <c r="CI376" s="66" t="str">
        <f t="shared" si="492"/>
        <v/>
      </c>
      <c r="CJ376" s="47" t="s">
        <v>0</v>
      </c>
      <c r="CK376" s="73" t="str">
        <f t="shared" si="446"/>
        <v/>
      </c>
      <c r="CL376" s="47"/>
      <c r="CM376" s="19" t="str">
        <f t="shared" si="493"/>
        <v/>
      </c>
      <c r="CN376" s="47" t="s">
        <v>0</v>
      </c>
      <c r="CO376" s="143" t="str">
        <f t="shared" si="494"/>
        <v/>
      </c>
      <c r="CP376" s="47" t="s">
        <v>0</v>
      </c>
      <c r="CQ376" s="58" t="str">
        <f t="shared" si="510"/>
        <v/>
      </c>
      <c r="CR376" s="73" t="str">
        <f t="shared" si="511"/>
        <v/>
      </c>
      <c r="CS376" s="229" t="str">
        <f t="shared" si="447"/>
        <v/>
      </c>
      <c r="CT376" s="230" t="str">
        <f t="shared" si="432"/>
        <v/>
      </c>
      <c r="CU376" s="163" t="str">
        <f t="shared" si="448"/>
        <v/>
      </c>
      <c r="CV376" s="47" t="s">
        <v>0</v>
      </c>
      <c r="CW376" s="222" t="str">
        <f t="shared" si="495"/>
        <v xml:space="preserve">
</v>
      </c>
      <c r="CX376" s="223" t="str">
        <f t="shared" si="496"/>
        <v/>
      </c>
      <c r="CY376" s="47" t="s">
        <v>0</v>
      </c>
      <c r="CZ376" s="47"/>
      <c r="DA376" s="47"/>
      <c r="DB376" s="47"/>
      <c r="DC376" s="47" t="s">
        <v>0</v>
      </c>
      <c r="DD376" s="53" t="str">
        <f t="shared" si="504"/>
        <v/>
      </c>
      <c r="DE376" t="s">
        <v>0</v>
      </c>
      <c r="DF376" s="128" t="str">
        <f t="shared" si="505"/>
        <v/>
      </c>
      <c r="DG376" t="s">
        <v>0</v>
      </c>
      <c r="DH376" s="52" t="str">
        <f t="shared" si="506"/>
        <v/>
      </c>
      <c r="DI376" s="66" t="str">
        <f t="shared" si="507"/>
        <v/>
      </c>
      <c r="DJ376" t="s">
        <v>0</v>
      </c>
      <c r="DK376" s="19" t="str">
        <f t="shared" si="508"/>
        <v/>
      </c>
      <c r="DL376" s="47" t="s">
        <v>0</v>
      </c>
      <c r="DM376" s="19" t="str">
        <f t="shared" si="509"/>
        <v/>
      </c>
      <c r="DN376" s="47" t="s">
        <v>0</v>
      </c>
      <c r="DO376" s="52" t="str">
        <f t="shared" si="449"/>
        <v/>
      </c>
      <c r="DP376" s="53" t="str">
        <f t="shared" si="450"/>
        <v/>
      </c>
      <c r="DQ376" s="47" t="s">
        <v>0</v>
      </c>
      <c r="DR376" s="52" t="str">
        <f t="shared" si="451"/>
        <v/>
      </c>
      <c r="DS376" s="53" t="str">
        <f t="shared" si="452"/>
        <v/>
      </c>
      <c r="DT376" s="47" t="s">
        <v>0</v>
      </c>
      <c r="DU376" s="52" t="str">
        <f t="shared" si="453"/>
        <v/>
      </c>
      <c r="DV376" s="53" t="str">
        <f t="shared" si="454"/>
        <v/>
      </c>
      <c r="DW376" s="47" t="s">
        <v>0</v>
      </c>
      <c r="DX376" s="58" t="str">
        <f t="shared" si="497"/>
        <v/>
      </c>
      <c r="DY376" s="53" t="str" cm="1">
        <f t="array" ref="DY376">IF(DX376&lt;&gt;"",INDEX(regNatjecatelj_id,DX376,0),IF(BD376&lt;&gt;"",BD376,""))</f>
        <v/>
      </c>
      <c r="DZ376" s="47" t="s">
        <v>0</v>
      </c>
      <c r="EA376" s="58" t="str">
        <f t="shared" si="455"/>
        <v/>
      </c>
      <c r="EB376" s="73" t="str">
        <f t="shared" si="456"/>
        <v/>
      </c>
      <c r="EC376" s="73" t="str">
        <f t="shared" si="457"/>
        <v/>
      </c>
      <c r="ED376" s="73" t="str">
        <f t="shared" si="458"/>
        <v/>
      </c>
      <c r="EE376" s="66" t="str">
        <f t="shared" si="459"/>
        <v/>
      </c>
      <c r="EF376" s="47" t="s">
        <v>0</v>
      </c>
      <c r="EG376" s="58" t="str">
        <f>IF(AL376="","",MAX(EG$12:EG375)+1)</f>
        <v/>
      </c>
      <c r="EH376" s="73" t="str">
        <f t="shared" si="460"/>
        <v/>
      </c>
      <c r="EI376" s="73" t="str">
        <f t="shared" si="498"/>
        <v/>
      </c>
      <c r="EJ376" s="73" t="str">
        <f t="shared" si="461"/>
        <v/>
      </c>
      <c r="EK376" s="73" t="str">
        <f t="shared" si="462"/>
        <v/>
      </c>
      <c r="EL376" s="73" t="str">
        <f t="shared" si="499"/>
        <v/>
      </c>
      <c r="EM376" s="73" t="str">
        <f t="shared" si="500"/>
        <v/>
      </c>
      <c r="EN376" s="73" t="str">
        <f t="shared" si="463"/>
        <v/>
      </c>
      <c r="EO376" s="73" t="str">
        <f t="shared" si="464"/>
        <v/>
      </c>
      <c r="EP376" s="73" t="str">
        <f t="shared" si="465"/>
        <v/>
      </c>
      <c r="EQ376" s="53" t="str">
        <f t="shared" si="466"/>
        <v/>
      </c>
      <c r="ER376" s="47" t="s">
        <v>0</v>
      </c>
      <c r="ES376" s="19" t="str">
        <f t="shared" si="501"/>
        <v/>
      </c>
      <c r="ET376" s="47" t="s">
        <v>0</v>
      </c>
      <c r="EU376" s="19" t="str">
        <f t="shared" si="502"/>
        <v/>
      </c>
      <c r="EV376" s="47" t="s">
        <v>0</v>
      </c>
      <c r="EW376" s="180" t="str">
        <f t="shared" si="467"/>
        <v/>
      </c>
      <c r="EX376" s="47" t="s">
        <v>0</v>
      </c>
    </row>
    <row r="377" spans="1:154" x14ac:dyDescent="0.25">
      <c r="A377" t="s">
        <v>0</v>
      </c>
      <c r="B377" s="52" t="str">
        <f>IF(csv!F367="","",csv!T367)</f>
        <v/>
      </c>
      <c r="C377" s="31" t="s">
        <v>0</v>
      </c>
      <c r="D377" s="31" t="str">
        <f>IF(csv!F367="","",csv!F367)</f>
        <v/>
      </c>
      <c r="E377" s="31" t="str">
        <f>IF(csv!E367="","",csv!E367)</f>
        <v/>
      </c>
      <c r="F377" s="31" t="s">
        <v>0</v>
      </c>
      <c r="G377" s="73" t="str">
        <f>IF(csv!M367="","",csv!M367)</f>
        <v/>
      </c>
      <c r="H377" s="73" t="str">
        <f>IF(csv!N367="","",csv!N367)</f>
        <v/>
      </c>
      <c r="I377" s="31" t="s">
        <v>0</v>
      </c>
      <c r="J377" s="31" t="str">
        <f>IF(csv!P367="","",csv!P367)</f>
        <v/>
      </c>
      <c r="K377" s="31" t="str">
        <f>IF(csv!Q367="","",csv!Q367)</f>
        <v/>
      </c>
      <c r="L377" s="31" t="s">
        <v>0</v>
      </c>
      <c r="M377" s="66" t="str">
        <f>IF(csv!R367="","",csv!R367)</f>
        <v/>
      </c>
      <c r="N377" s="47" t="s">
        <v>0</v>
      </c>
      <c r="O377" s="246" t="str">
        <f t="shared" si="468"/>
        <v/>
      </c>
      <c r="P377" s="47"/>
      <c r="Q377" s="52" t="str">
        <f t="shared" si="469"/>
        <v/>
      </c>
      <c r="R377" s="73" t="str">
        <f>IF(Q377="","",IF(COUNTIF(Q$12:Q376,Q377)=0,R376+1,R376))</f>
        <v/>
      </c>
      <c r="S377" s="73" t="str">
        <f t="shared" si="470"/>
        <v/>
      </c>
      <c r="T377" s="73" t="str">
        <f t="shared" si="434"/>
        <v/>
      </c>
      <c r="U377" s="66" t="str">
        <f t="shared" si="435"/>
        <v/>
      </c>
      <c r="V377" s="47" t="s">
        <v>0</v>
      </c>
      <c r="W377" s="222" t="str">
        <f t="shared" si="436"/>
        <v/>
      </c>
      <c r="X377" s="223" t="str">
        <f t="shared" si="437"/>
        <v/>
      </c>
      <c r="Y377" s="47" t="s">
        <v>0</v>
      </c>
      <c r="Z377" s="52" t="str">
        <f t="shared" si="471"/>
        <v/>
      </c>
      <c r="AA377" s="73" t="str">
        <f t="shared" si="438"/>
        <v/>
      </c>
      <c r="AB377" s="31" t="str">
        <f t="shared" si="472"/>
        <v/>
      </c>
      <c r="AC377" s="66" t="str">
        <f>IF(AB377="","",MAX(AC$12:AC376)+1)</f>
        <v/>
      </c>
      <c r="AD377" s="47" t="s">
        <v>0</v>
      </c>
      <c r="AE377" s="125"/>
      <c r="AF377" s="47" t="s">
        <v>0</v>
      </c>
      <c r="AG377" s="19" t="str">
        <f t="shared" si="473"/>
        <v/>
      </c>
      <c r="AH377" s="47" t="s">
        <v>0</v>
      </c>
      <c r="AI377" s="143" t="str">
        <f t="shared" si="474"/>
        <v/>
      </c>
      <c r="AJ377" s="47"/>
      <c r="AK377" s="52" t="str">
        <f t="shared" si="475"/>
        <v/>
      </c>
      <c r="AL377" s="31" t="str">
        <f t="shared" si="476"/>
        <v/>
      </c>
      <c r="AM377" s="73" t="str">
        <f t="shared" si="477"/>
        <v/>
      </c>
      <c r="AN377" s="73" t="str">
        <f t="shared" si="478"/>
        <v/>
      </c>
      <c r="AO377" s="31" t="str">
        <f t="shared" si="439"/>
        <v/>
      </c>
      <c r="AP377" s="66" t="str">
        <f t="shared" si="440"/>
        <v/>
      </c>
      <c r="AQ377" s="47" t="s">
        <v>0</v>
      </c>
      <c r="AR377" s="82" t="str">
        <f t="shared" si="479"/>
        <v/>
      </c>
      <c r="AS377" s="47" t="s">
        <v>0</v>
      </c>
      <c r="AT377" s="19" t="str">
        <f t="shared" si="480"/>
        <v/>
      </c>
      <c r="AU377" s="47" t="s">
        <v>0</v>
      </c>
      <c r="AV377" s="103"/>
      <c r="AW377" s="105"/>
      <c r="AX377" s="47" t="s">
        <v>0</v>
      </c>
      <c r="AY377" s="259" t="str">
        <f t="shared" si="503"/>
        <v/>
      </c>
      <c r="AZ377" s="47" t="s">
        <v>0</v>
      </c>
      <c r="BA377" s="52" t="str">
        <f t="shared" si="433"/>
        <v/>
      </c>
      <c r="BB377" s="73" t="str">
        <f>IF(AV377&amp;AW377="","",MAX(BB$12:BB376)+1)</f>
        <v/>
      </c>
      <c r="BC377" s="272" t="str">
        <f t="shared" si="441"/>
        <v/>
      </c>
      <c r="BD377" s="53" t="str">
        <f>IF(AND(AM377="NEMA",AN377="NEMA",OR(AV377&amp;AW377="",BC377="NEMA")),MAX(BD$12:BD376)+1,"")</f>
        <v/>
      </c>
      <c r="BE377" s="47" t="s">
        <v>0</v>
      </c>
      <c r="BF377" s="52" t="str">
        <f t="shared" si="481"/>
        <v/>
      </c>
      <c r="BG377" s="66" t="str">
        <f t="shared" si="482"/>
        <v/>
      </c>
      <c r="BH377" s="47" t="s">
        <v>0</v>
      </c>
      <c r="BI377" s="52" t="str">
        <f t="shared" si="442"/>
        <v/>
      </c>
      <c r="BJ377" s="31" t="str">
        <f t="shared" si="443"/>
        <v/>
      </c>
      <c r="BK377" s="73" t="str">
        <f t="shared" si="444"/>
        <v/>
      </c>
      <c r="BL377" s="31" t="str" cm="1">
        <f t="array" ref="BL377">IF(BK377="",""&amp;BJ377,IF(BK377="NEMA",BJ377,INDEX(regKlub_naziv,MATCH(INDEX(regKlub_alias_klubId,BK377),regKlub_id,0))))</f>
        <v/>
      </c>
      <c r="BM377" s="31" t="str" cm="1">
        <f t="array" ref="BM377">IFERROR(""&amp;INDEX(regNatjecatelj_klub,DV377),"")</f>
        <v/>
      </c>
      <c r="BN377" s="88" t="str">
        <f t="shared" si="483"/>
        <v/>
      </c>
      <c r="BO377" s="66" t="str">
        <f t="shared" si="484"/>
        <v/>
      </c>
      <c r="BP377" s="47" t="s">
        <v>0</v>
      </c>
      <c r="BQ377" s="52" t="str">
        <f>IF(X377&lt;&gt;"NEMA","",IF(IFERROR(MATCH(W377,W$12:W376,0),0)&lt;&gt;0,"",W377))</f>
        <v/>
      </c>
      <c r="BR377" s="73" t="str">
        <f t="shared" si="485"/>
        <v/>
      </c>
      <c r="BS377" s="31" t="str">
        <f>IF(OR(BR377="",BR377&lt;&gt;"NEMA"),"",MAX(BS$12:BS376)+1)</f>
        <v/>
      </c>
      <c r="BT377" s="66" t="str">
        <f t="shared" si="486"/>
        <v/>
      </c>
      <c r="BU377" s="47" t="s">
        <v>0</v>
      </c>
      <c r="BV377" s="19" t="str">
        <f t="shared" si="487"/>
        <v/>
      </c>
      <c r="BW377" s="47" t="s">
        <v>0</v>
      </c>
      <c r="BX377" s="82" t="str">
        <f>IF(BK377&lt;&gt;"NEMA","",IF(IFERROR(MATCH(BJ377,BJ$12:BJ376,0),0)&lt;&gt;0,"",BJ377))</f>
        <v/>
      </c>
      <c r="BY377" s="47" t="s">
        <v>0</v>
      </c>
      <c r="BZ377" s="125"/>
      <c r="CA377" s="47" t="s">
        <v>0</v>
      </c>
      <c r="CB377" s="58" t="str">
        <f t="shared" si="488"/>
        <v/>
      </c>
      <c r="CC377" s="31" t="str">
        <f t="shared" si="489"/>
        <v/>
      </c>
      <c r="CD377" s="31" t="str">
        <f>IF(CC377="","",MAX(CD$12:CD376)+1)</f>
        <v/>
      </c>
      <c r="CE377" s="31" t="str">
        <f t="shared" si="445"/>
        <v/>
      </c>
      <c r="CF377" s="31" t="str">
        <f t="shared" si="490"/>
        <v/>
      </c>
      <c r="CG377" s="31" t="str">
        <f>IF(BZ377="","",MAX(CG$12:CG376)+1)</f>
        <v/>
      </c>
      <c r="CH377" s="31" t="str">
        <f t="shared" si="491"/>
        <v/>
      </c>
      <c r="CI377" s="66" t="str">
        <f t="shared" si="492"/>
        <v/>
      </c>
      <c r="CJ377" s="47" t="s">
        <v>0</v>
      </c>
      <c r="CK377" s="73" t="str">
        <f t="shared" si="446"/>
        <v/>
      </c>
      <c r="CL377" s="47"/>
      <c r="CM377" s="19" t="str">
        <f t="shared" si="493"/>
        <v/>
      </c>
      <c r="CN377" s="47" t="s">
        <v>0</v>
      </c>
      <c r="CO377" s="143" t="str">
        <f t="shared" si="494"/>
        <v/>
      </c>
      <c r="CP377" s="47" t="s">
        <v>0</v>
      </c>
      <c r="CQ377" s="58" t="str">
        <f t="shared" si="510"/>
        <v/>
      </c>
      <c r="CR377" s="73" t="str">
        <f t="shared" si="511"/>
        <v/>
      </c>
      <c r="CS377" s="229" t="str">
        <f t="shared" si="447"/>
        <v/>
      </c>
      <c r="CT377" s="230" t="str">
        <f t="shared" si="432"/>
        <v/>
      </c>
      <c r="CU377" s="163" t="str">
        <f t="shared" si="448"/>
        <v/>
      </c>
      <c r="CV377" s="47" t="s">
        <v>0</v>
      </c>
      <c r="CW377" s="222" t="str">
        <f t="shared" si="495"/>
        <v xml:space="preserve">
</v>
      </c>
      <c r="CX377" s="223" t="str">
        <f t="shared" si="496"/>
        <v/>
      </c>
      <c r="CY377" s="47" t="s">
        <v>0</v>
      </c>
      <c r="CZ377" s="47"/>
      <c r="DA377" s="47"/>
      <c r="DB377" s="47"/>
      <c r="DC377" s="47" t="s">
        <v>0</v>
      </c>
      <c r="DD377" s="53" t="str">
        <f t="shared" si="504"/>
        <v/>
      </c>
      <c r="DE377" t="s">
        <v>0</v>
      </c>
      <c r="DF377" s="128" t="str">
        <f t="shared" si="505"/>
        <v/>
      </c>
      <c r="DG377" t="s">
        <v>0</v>
      </c>
      <c r="DH377" s="52" t="str">
        <f t="shared" si="506"/>
        <v/>
      </c>
      <c r="DI377" s="66" t="str">
        <f t="shared" si="507"/>
        <v/>
      </c>
      <c r="DJ377" t="s">
        <v>0</v>
      </c>
      <c r="DK377" s="19" t="str">
        <f t="shared" si="508"/>
        <v/>
      </c>
      <c r="DL377" s="47" t="s">
        <v>0</v>
      </c>
      <c r="DM377" s="19" t="str">
        <f t="shared" si="509"/>
        <v/>
      </c>
      <c r="DN377" s="47" t="s">
        <v>0</v>
      </c>
      <c r="DO377" s="52" t="str">
        <f t="shared" si="449"/>
        <v/>
      </c>
      <c r="DP377" s="53" t="str">
        <f t="shared" si="450"/>
        <v/>
      </c>
      <c r="DQ377" s="47" t="s">
        <v>0</v>
      </c>
      <c r="DR377" s="52" t="str">
        <f t="shared" si="451"/>
        <v/>
      </c>
      <c r="DS377" s="53" t="str">
        <f t="shared" si="452"/>
        <v/>
      </c>
      <c r="DT377" s="47" t="s">
        <v>0</v>
      </c>
      <c r="DU377" s="52" t="str">
        <f t="shared" si="453"/>
        <v/>
      </c>
      <c r="DV377" s="53" t="str">
        <f t="shared" si="454"/>
        <v/>
      </c>
      <c r="DW377" s="47" t="s">
        <v>0</v>
      </c>
      <c r="DX377" s="58" t="str">
        <f t="shared" si="497"/>
        <v/>
      </c>
      <c r="DY377" s="53" t="str" cm="1">
        <f t="array" ref="DY377">IF(DX377&lt;&gt;"",INDEX(regNatjecatelj_id,DX377,0),IF(BD377&lt;&gt;"",BD377,""))</f>
        <v/>
      </c>
      <c r="DZ377" s="47" t="s">
        <v>0</v>
      </c>
      <c r="EA377" s="58" t="str">
        <f t="shared" si="455"/>
        <v/>
      </c>
      <c r="EB377" s="73" t="str">
        <f t="shared" si="456"/>
        <v/>
      </c>
      <c r="EC377" s="73" t="str">
        <f t="shared" si="457"/>
        <v/>
      </c>
      <c r="ED377" s="73" t="str">
        <f t="shared" si="458"/>
        <v/>
      </c>
      <c r="EE377" s="66" t="str">
        <f t="shared" si="459"/>
        <v/>
      </c>
      <c r="EF377" s="47" t="s">
        <v>0</v>
      </c>
      <c r="EG377" s="58" t="str">
        <f>IF(AL377="","",MAX(EG$12:EG376)+1)</f>
        <v/>
      </c>
      <c r="EH377" s="73" t="str">
        <f t="shared" si="460"/>
        <v/>
      </c>
      <c r="EI377" s="73" t="str">
        <f t="shared" si="498"/>
        <v/>
      </c>
      <c r="EJ377" s="73" t="str">
        <f t="shared" si="461"/>
        <v/>
      </c>
      <c r="EK377" s="73" t="str">
        <f t="shared" si="462"/>
        <v/>
      </c>
      <c r="EL377" s="73" t="str">
        <f t="shared" si="499"/>
        <v/>
      </c>
      <c r="EM377" s="73" t="str">
        <f t="shared" si="500"/>
        <v/>
      </c>
      <c r="EN377" s="73" t="str">
        <f t="shared" si="463"/>
        <v/>
      </c>
      <c r="EO377" s="73" t="str">
        <f t="shared" si="464"/>
        <v/>
      </c>
      <c r="EP377" s="73" t="str">
        <f t="shared" si="465"/>
        <v/>
      </c>
      <c r="EQ377" s="53" t="str">
        <f t="shared" si="466"/>
        <v/>
      </c>
      <c r="ER377" s="47" t="s">
        <v>0</v>
      </c>
      <c r="ES377" s="19" t="str">
        <f t="shared" si="501"/>
        <v/>
      </c>
      <c r="ET377" s="47" t="s">
        <v>0</v>
      </c>
      <c r="EU377" s="19" t="str">
        <f t="shared" si="502"/>
        <v/>
      </c>
      <c r="EV377" s="47" t="s">
        <v>0</v>
      </c>
      <c r="EW377" s="180" t="str">
        <f t="shared" si="467"/>
        <v/>
      </c>
      <c r="EX377" s="47" t="s">
        <v>0</v>
      </c>
    </row>
    <row r="378" spans="1:154" x14ac:dyDescent="0.25">
      <c r="A378" t="s">
        <v>0</v>
      </c>
      <c r="B378" s="52" t="str">
        <f>IF(csv!F368="","",csv!T368)</f>
        <v/>
      </c>
      <c r="C378" s="31" t="s">
        <v>0</v>
      </c>
      <c r="D378" s="31" t="str">
        <f>IF(csv!F368="","",csv!F368)</f>
        <v/>
      </c>
      <c r="E378" s="31" t="str">
        <f>IF(csv!E368="","",csv!E368)</f>
        <v/>
      </c>
      <c r="F378" s="31" t="s">
        <v>0</v>
      </c>
      <c r="G378" s="73" t="str">
        <f>IF(csv!M368="","",csv!M368)</f>
        <v/>
      </c>
      <c r="H378" s="73" t="str">
        <f>IF(csv!N368="","",csv!N368)</f>
        <v/>
      </c>
      <c r="I378" s="31" t="s">
        <v>0</v>
      </c>
      <c r="J378" s="31" t="str">
        <f>IF(csv!P368="","",csv!P368)</f>
        <v/>
      </c>
      <c r="K378" s="31" t="str">
        <f>IF(csv!Q368="","",csv!Q368)</f>
        <v/>
      </c>
      <c r="L378" s="31" t="s">
        <v>0</v>
      </c>
      <c r="M378" s="66" t="str">
        <f>IF(csv!R368="","",csv!R368)</f>
        <v/>
      </c>
      <c r="N378" s="47" t="s">
        <v>0</v>
      </c>
      <c r="O378" s="246" t="str">
        <f t="shared" si="468"/>
        <v/>
      </c>
      <c r="P378" s="47"/>
      <c r="Q378" s="52" t="str">
        <f t="shared" si="469"/>
        <v/>
      </c>
      <c r="R378" s="73" t="str">
        <f>IF(Q378="","",IF(COUNTIF(Q$12:Q377,Q378)=0,R377+1,R377))</f>
        <v/>
      </c>
      <c r="S378" s="73" t="str">
        <f t="shared" si="470"/>
        <v/>
      </c>
      <c r="T378" s="73" t="str">
        <f t="shared" si="434"/>
        <v/>
      </c>
      <c r="U378" s="66" t="str">
        <f t="shared" si="435"/>
        <v/>
      </c>
      <c r="V378" s="47" t="s">
        <v>0</v>
      </c>
      <c r="W378" s="222" t="str">
        <f t="shared" si="436"/>
        <v/>
      </c>
      <c r="X378" s="223" t="str">
        <f t="shared" si="437"/>
        <v/>
      </c>
      <c r="Y378" s="47" t="s">
        <v>0</v>
      </c>
      <c r="Z378" s="52" t="str">
        <f t="shared" si="471"/>
        <v/>
      </c>
      <c r="AA378" s="73" t="str">
        <f t="shared" si="438"/>
        <v/>
      </c>
      <c r="AB378" s="31" t="str">
        <f t="shared" si="472"/>
        <v/>
      </c>
      <c r="AC378" s="66" t="str">
        <f>IF(AB378="","",MAX(AC$12:AC377)+1)</f>
        <v/>
      </c>
      <c r="AD378" s="47" t="s">
        <v>0</v>
      </c>
      <c r="AE378" s="125"/>
      <c r="AF378" s="47" t="s">
        <v>0</v>
      </c>
      <c r="AG378" s="19" t="str">
        <f t="shared" si="473"/>
        <v/>
      </c>
      <c r="AH378" s="47" t="s">
        <v>0</v>
      </c>
      <c r="AI378" s="143" t="str">
        <f t="shared" si="474"/>
        <v/>
      </c>
      <c r="AJ378" s="47"/>
      <c r="AK378" s="52" t="str">
        <f t="shared" si="475"/>
        <v/>
      </c>
      <c r="AL378" s="31" t="str">
        <f t="shared" si="476"/>
        <v/>
      </c>
      <c r="AM378" s="73" t="str">
        <f t="shared" si="477"/>
        <v/>
      </c>
      <c r="AN378" s="73" t="str">
        <f t="shared" si="478"/>
        <v/>
      </c>
      <c r="AO378" s="31" t="str">
        <f t="shared" si="439"/>
        <v/>
      </c>
      <c r="AP378" s="66" t="str">
        <f t="shared" si="440"/>
        <v/>
      </c>
      <c r="AQ378" s="47" t="s">
        <v>0</v>
      </c>
      <c r="AR378" s="82" t="str">
        <f t="shared" si="479"/>
        <v/>
      </c>
      <c r="AS378" s="47" t="s">
        <v>0</v>
      </c>
      <c r="AT378" s="19" t="str">
        <f t="shared" si="480"/>
        <v/>
      </c>
      <c r="AU378" s="47" t="s">
        <v>0</v>
      </c>
      <c r="AV378" s="103"/>
      <c r="AW378" s="105"/>
      <c r="AX378" s="47" t="s">
        <v>0</v>
      </c>
      <c r="AY378" s="259" t="str">
        <f t="shared" si="503"/>
        <v/>
      </c>
      <c r="AZ378" s="47" t="s">
        <v>0</v>
      </c>
      <c r="BA378" s="52" t="str">
        <f t="shared" si="433"/>
        <v/>
      </c>
      <c r="BB378" s="73" t="str">
        <f>IF(AV378&amp;AW378="","",MAX(BB$12:BB377)+1)</f>
        <v/>
      </c>
      <c r="BC378" s="272" t="str">
        <f t="shared" si="441"/>
        <v/>
      </c>
      <c r="BD378" s="53" t="str">
        <f>IF(AND(AM378="NEMA",AN378="NEMA",OR(AV378&amp;AW378="",BC378="NEMA")),MAX(BD$12:BD377)+1,"")</f>
        <v/>
      </c>
      <c r="BE378" s="47" t="s">
        <v>0</v>
      </c>
      <c r="BF378" s="52" t="str">
        <f t="shared" si="481"/>
        <v/>
      </c>
      <c r="BG378" s="66" t="str">
        <f t="shared" si="482"/>
        <v/>
      </c>
      <c r="BH378" s="47" t="s">
        <v>0</v>
      </c>
      <c r="BI378" s="52" t="str">
        <f t="shared" si="442"/>
        <v/>
      </c>
      <c r="BJ378" s="31" t="str">
        <f t="shared" si="443"/>
        <v/>
      </c>
      <c r="BK378" s="73" t="str">
        <f t="shared" si="444"/>
        <v/>
      </c>
      <c r="BL378" s="31" t="str" cm="1">
        <f t="array" ref="BL378">IF(BK378="",""&amp;BJ378,IF(BK378="NEMA",BJ378,INDEX(regKlub_naziv,MATCH(INDEX(regKlub_alias_klubId,BK378),regKlub_id,0))))</f>
        <v/>
      </c>
      <c r="BM378" s="31" t="str" cm="1">
        <f t="array" ref="BM378">IFERROR(""&amp;INDEX(regNatjecatelj_klub,DV378),"")</f>
        <v/>
      </c>
      <c r="BN378" s="88" t="str">
        <f t="shared" si="483"/>
        <v/>
      </c>
      <c r="BO378" s="66" t="str">
        <f t="shared" si="484"/>
        <v/>
      </c>
      <c r="BP378" s="47" t="s">
        <v>0</v>
      </c>
      <c r="BQ378" s="52" t="str">
        <f>IF(X378&lt;&gt;"NEMA","",IF(IFERROR(MATCH(W378,W$12:W377,0),0)&lt;&gt;0,"",W378))</f>
        <v/>
      </c>
      <c r="BR378" s="73" t="str">
        <f t="shared" si="485"/>
        <v/>
      </c>
      <c r="BS378" s="31" t="str">
        <f>IF(OR(BR378="",BR378&lt;&gt;"NEMA"),"",MAX(BS$12:BS377)+1)</f>
        <v/>
      </c>
      <c r="BT378" s="66" t="str">
        <f t="shared" si="486"/>
        <v/>
      </c>
      <c r="BU378" s="47" t="s">
        <v>0</v>
      </c>
      <c r="BV378" s="19" t="str">
        <f t="shared" si="487"/>
        <v/>
      </c>
      <c r="BW378" s="47" t="s">
        <v>0</v>
      </c>
      <c r="BX378" s="82" t="str">
        <f>IF(BK378&lt;&gt;"NEMA","",IF(IFERROR(MATCH(BJ378,BJ$12:BJ377,0),0)&lt;&gt;0,"",BJ378))</f>
        <v/>
      </c>
      <c r="BY378" s="47" t="s">
        <v>0</v>
      </c>
      <c r="BZ378" s="125"/>
      <c r="CA378" s="47" t="s">
        <v>0</v>
      </c>
      <c r="CB378" s="58" t="str">
        <f t="shared" si="488"/>
        <v/>
      </c>
      <c r="CC378" s="31" t="str">
        <f t="shared" si="489"/>
        <v/>
      </c>
      <c r="CD378" s="31" t="str">
        <f>IF(CC378="","",MAX(CD$12:CD377)+1)</f>
        <v/>
      </c>
      <c r="CE378" s="31" t="str">
        <f t="shared" si="445"/>
        <v/>
      </c>
      <c r="CF378" s="31" t="str">
        <f t="shared" si="490"/>
        <v/>
      </c>
      <c r="CG378" s="31" t="str">
        <f>IF(BZ378="","",MAX(CG$12:CG377)+1)</f>
        <v/>
      </c>
      <c r="CH378" s="31" t="str">
        <f t="shared" si="491"/>
        <v/>
      </c>
      <c r="CI378" s="66" t="str">
        <f t="shared" si="492"/>
        <v/>
      </c>
      <c r="CJ378" s="47" t="s">
        <v>0</v>
      </c>
      <c r="CK378" s="73" t="str">
        <f t="shared" si="446"/>
        <v/>
      </c>
      <c r="CL378" s="47"/>
      <c r="CM378" s="19" t="str">
        <f t="shared" si="493"/>
        <v/>
      </c>
      <c r="CN378" s="47" t="s">
        <v>0</v>
      </c>
      <c r="CO378" s="143" t="str">
        <f t="shared" si="494"/>
        <v/>
      </c>
      <c r="CP378" s="47" t="s">
        <v>0</v>
      </c>
      <c r="CQ378" s="58" t="str">
        <f t="shared" si="510"/>
        <v/>
      </c>
      <c r="CR378" s="73" t="str">
        <f t="shared" si="511"/>
        <v/>
      </c>
      <c r="CS378" s="229" t="str">
        <f t="shared" si="447"/>
        <v/>
      </c>
      <c r="CT378" s="230" t="str">
        <f t="shared" si="432"/>
        <v/>
      </c>
      <c r="CU378" s="163" t="str">
        <f t="shared" si="448"/>
        <v/>
      </c>
      <c r="CV378" s="47" t="s">
        <v>0</v>
      </c>
      <c r="CW378" s="222" t="str">
        <f t="shared" si="495"/>
        <v xml:space="preserve">
</v>
      </c>
      <c r="CX378" s="223" t="str">
        <f t="shared" si="496"/>
        <v/>
      </c>
      <c r="CY378" s="47" t="s">
        <v>0</v>
      </c>
      <c r="CZ378" s="47"/>
      <c r="DA378" s="47"/>
      <c r="DB378" s="47"/>
      <c r="DC378" s="47" t="s">
        <v>0</v>
      </c>
      <c r="DD378" s="53" t="str">
        <f t="shared" si="504"/>
        <v/>
      </c>
      <c r="DE378" t="s">
        <v>0</v>
      </c>
      <c r="DF378" s="128" t="str">
        <f t="shared" si="505"/>
        <v/>
      </c>
      <c r="DG378" t="s">
        <v>0</v>
      </c>
      <c r="DH378" s="52" t="str">
        <f t="shared" si="506"/>
        <v/>
      </c>
      <c r="DI378" s="66" t="str">
        <f t="shared" si="507"/>
        <v/>
      </c>
      <c r="DJ378" t="s">
        <v>0</v>
      </c>
      <c r="DK378" s="19" t="str">
        <f t="shared" si="508"/>
        <v/>
      </c>
      <c r="DL378" s="47" t="s">
        <v>0</v>
      </c>
      <c r="DM378" s="19" t="str">
        <f t="shared" si="509"/>
        <v/>
      </c>
      <c r="DN378" s="47" t="s">
        <v>0</v>
      </c>
      <c r="DO378" s="52" t="str">
        <f t="shared" si="449"/>
        <v/>
      </c>
      <c r="DP378" s="53" t="str">
        <f t="shared" si="450"/>
        <v/>
      </c>
      <c r="DQ378" s="47" t="s">
        <v>0</v>
      </c>
      <c r="DR378" s="52" t="str">
        <f t="shared" si="451"/>
        <v/>
      </c>
      <c r="DS378" s="53" t="str">
        <f t="shared" si="452"/>
        <v/>
      </c>
      <c r="DT378" s="47" t="s">
        <v>0</v>
      </c>
      <c r="DU378" s="52" t="str">
        <f t="shared" si="453"/>
        <v/>
      </c>
      <c r="DV378" s="53" t="str">
        <f t="shared" si="454"/>
        <v/>
      </c>
      <c r="DW378" s="47" t="s">
        <v>0</v>
      </c>
      <c r="DX378" s="58" t="str">
        <f t="shared" si="497"/>
        <v/>
      </c>
      <c r="DY378" s="53" t="str" cm="1">
        <f t="array" ref="DY378">IF(DX378&lt;&gt;"",INDEX(regNatjecatelj_id,DX378,0),IF(BD378&lt;&gt;"",BD378,""))</f>
        <v/>
      </c>
      <c r="DZ378" s="47" t="s">
        <v>0</v>
      </c>
      <c r="EA378" s="58" t="str">
        <f t="shared" si="455"/>
        <v/>
      </c>
      <c r="EB378" s="73" t="str">
        <f t="shared" si="456"/>
        <v/>
      </c>
      <c r="EC378" s="73" t="str">
        <f t="shared" si="457"/>
        <v/>
      </c>
      <c r="ED378" s="73" t="str">
        <f t="shared" si="458"/>
        <v/>
      </c>
      <c r="EE378" s="66" t="str">
        <f t="shared" si="459"/>
        <v/>
      </c>
      <c r="EF378" s="47" t="s">
        <v>0</v>
      </c>
      <c r="EG378" s="58" t="str">
        <f>IF(AL378="","",MAX(EG$12:EG377)+1)</f>
        <v/>
      </c>
      <c r="EH378" s="73" t="str">
        <f t="shared" si="460"/>
        <v/>
      </c>
      <c r="EI378" s="73" t="str">
        <f t="shared" si="498"/>
        <v/>
      </c>
      <c r="EJ378" s="73" t="str">
        <f t="shared" si="461"/>
        <v/>
      </c>
      <c r="EK378" s="73" t="str">
        <f t="shared" si="462"/>
        <v/>
      </c>
      <c r="EL378" s="73" t="str">
        <f t="shared" si="499"/>
        <v/>
      </c>
      <c r="EM378" s="73" t="str">
        <f t="shared" si="500"/>
        <v/>
      </c>
      <c r="EN378" s="73" t="str">
        <f t="shared" si="463"/>
        <v/>
      </c>
      <c r="EO378" s="73" t="str">
        <f t="shared" si="464"/>
        <v/>
      </c>
      <c r="EP378" s="73" t="str">
        <f t="shared" si="465"/>
        <v/>
      </c>
      <c r="EQ378" s="53" t="str">
        <f t="shared" si="466"/>
        <v/>
      </c>
      <c r="ER378" s="47" t="s">
        <v>0</v>
      </c>
      <c r="ES378" s="19" t="str">
        <f t="shared" si="501"/>
        <v/>
      </c>
      <c r="ET378" s="47" t="s">
        <v>0</v>
      </c>
      <c r="EU378" s="19" t="str">
        <f t="shared" si="502"/>
        <v/>
      </c>
      <c r="EV378" s="47" t="s">
        <v>0</v>
      </c>
      <c r="EW378" s="180" t="str">
        <f t="shared" si="467"/>
        <v/>
      </c>
      <c r="EX378" s="47" t="s">
        <v>0</v>
      </c>
    </row>
    <row r="379" spans="1:154" x14ac:dyDescent="0.25">
      <c r="A379" t="s">
        <v>0</v>
      </c>
      <c r="B379" s="52" t="str">
        <f>IF(csv!F369="","",csv!T369)</f>
        <v/>
      </c>
      <c r="C379" s="31" t="s">
        <v>0</v>
      </c>
      <c r="D379" s="31" t="str">
        <f>IF(csv!F369="","",csv!F369)</f>
        <v/>
      </c>
      <c r="E379" s="31" t="str">
        <f>IF(csv!E369="","",csv!E369)</f>
        <v/>
      </c>
      <c r="F379" s="31" t="s">
        <v>0</v>
      </c>
      <c r="G379" s="73" t="str">
        <f>IF(csv!M369="","",csv!M369)</f>
        <v/>
      </c>
      <c r="H379" s="73" t="str">
        <f>IF(csv!N369="","",csv!N369)</f>
        <v/>
      </c>
      <c r="I379" s="31" t="s">
        <v>0</v>
      </c>
      <c r="J379" s="31" t="str">
        <f>IF(csv!P369="","",csv!P369)</f>
        <v/>
      </c>
      <c r="K379" s="31" t="str">
        <f>IF(csv!Q369="","",csv!Q369)</f>
        <v/>
      </c>
      <c r="L379" s="31" t="s">
        <v>0</v>
      </c>
      <c r="M379" s="66" t="str">
        <f>IF(csv!R369="","",csv!R369)</f>
        <v/>
      </c>
      <c r="N379" s="47" t="s">
        <v>0</v>
      </c>
      <c r="O379" s="246" t="str">
        <f t="shared" si="468"/>
        <v/>
      </c>
      <c r="P379" s="47"/>
      <c r="Q379" s="52" t="str">
        <f t="shared" si="469"/>
        <v/>
      </c>
      <c r="R379" s="73" t="str">
        <f>IF(Q379="","",IF(COUNTIF(Q$12:Q378,Q379)=0,R378+1,R378))</f>
        <v/>
      </c>
      <c r="S379" s="73" t="str">
        <f t="shared" si="470"/>
        <v/>
      </c>
      <c r="T379" s="73" t="str">
        <f t="shared" si="434"/>
        <v/>
      </c>
      <c r="U379" s="66" t="str">
        <f t="shared" si="435"/>
        <v/>
      </c>
      <c r="V379" s="47" t="s">
        <v>0</v>
      </c>
      <c r="W379" s="222" t="str">
        <f t="shared" si="436"/>
        <v/>
      </c>
      <c r="X379" s="223" t="str">
        <f t="shared" si="437"/>
        <v/>
      </c>
      <c r="Y379" s="47" t="s">
        <v>0</v>
      </c>
      <c r="Z379" s="52" t="str">
        <f t="shared" si="471"/>
        <v/>
      </c>
      <c r="AA379" s="73" t="str">
        <f t="shared" si="438"/>
        <v/>
      </c>
      <c r="AB379" s="31" t="str">
        <f t="shared" si="472"/>
        <v/>
      </c>
      <c r="AC379" s="66" t="str">
        <f>IF(AB379="","",MAX(AC$12:AC378)+1)</f>
        <v/>
      </c>
      <c r="AD379" s="47" t="s">
        <v>0</v>
      </c>
      <c r="AE379" s="125"/>
      <c r="AF379" s="47" t="s">
        <v>0</v>
      </c>
      <c r="AG379" s="19" t="str">
        <f t="shared" si="473"/>
        <v/>
      </c>
      <c r="AH379" s="47" t="s">
        <v>0</v>
      </c>
      <c r="AI379" s="143" t="str">
        <f t="shared" si="474"/>
        <v/>
      </c>
      <c r="AJ379" s="47"/>
      <c r="AK379" s="52" t="str">
        <f t="shared" si="475"/>
        <v/>
      </c>
      <c r="AL379" s="31" t="str">
        <f t="shared" si="476"/>
        <v/>
      </c>
      <c r="AM379" s="73" t="str">
        <f t="shared" si="477"/>
        <v/>
      </c>
      <c r="AN379" s="73" t="str">
        <f t="shared" si="478"/>
        <v/>
      </c>
      <c r="AO379" s="31" t="str">
        <f t="shared" si="439"/>
        <v/>
      </c>
      <c r="AP379" s="66" t="str">
        <f t="shared" si="440"/>
        <v/>
      </c>
      <c r="AQ379" s="47" t="s">
        <v>0</v>
      </c>
      <c r="AR379" s="82" t="str">
        <f t="shared" si="479"/>
        <v/>
      </c>
      <c r="AS379" s="47" t="s">
        <v>0</v>
      </c>
      <c r="AT379" s="19" t="str">
        <f t="shared" si="480"/>
        <v/>
      </c>
      <c r="AU379" s="47" t="s">
        <v>0</v>
      </c>
      <c r="AV379" s="103"/>
      <c r="AW379" s="105"/>
      <c r="AX379" s="47" t="s">
        <v>0</v>
      </c>
      <c r="AY379" s="259" t="str">
        <f t="shared" si="503"/>
        <v/>
      </c>
      <c r="AZ379" s="47" t="s">
        <v>0</v>
      </c>
      <c r="BA379" s="52" t="str">
        <f t="shared" si="433"/>
        <v/>
      </c>
      <c r="BB379" s="73" t="str">
        <f>IF(AV379&amp;AW379="","",MAX(BB$12:BB378)+1)</f>
        <v/>
      </c>
      <c r="BC379" s="272" t="str">
        <f t="shared" si="441"/>
        <v/>
      </c>
      <c r="BD379" s="53" t="str">
        <f>IF(AND(AM379="NEMA",AN379="NEMA",OR(AV379&amp;AW379="",BC379="NEMA")),MAX(BD$12:BD378)+1,"")</f>
        <v/>
      </c>
      <c r="BE379" s="47" t="s">
        <v>0</v>
      </c>
      <c r="BF379" s="52" t="str">
        <f t="shared" si="481"/>
        <v/>
      </c>
      <c r="BG379" s="66" t="str">
        <f t="shared" si="482"/>
        <v/>
      </c>
      <c r="BH379" s="47" t="s">
        <v>0</v>
      </c>
      <c r="BI379" s="52" t="str">
        <f t="shared" si="442"/>
        <v/>
      </c>
      <c r="BJ379" s="31" t="str">
        <f t="shared" si="443"/>
        <v/>
      </c>
      <c r="BK379" s="73" t="str">
        <f t="shared" si="444"/>
        <v/>
      </c>
      <c r="BL379" s="31" t="str" cm="1">
        <f t="array" ref="BL379">IF(BK379="",""&amp;BJ379,IF(BK379="NEMA",BJ379,INDEX(regKlub_naziv,MATCH(INDEX(regKlub_alias_klubId,BK379),regKlub_id,0))))</f>
        <v/>
      </c>
      <c r="BM379" s="31" t="str" cm="1">
        <f t="array" ref="BM379">IFERROR(""&amp;INDEX(regNatjecatelj_klub,DV379),"")</f>
        <v/>
      </c>
      <c r="BN379" s="88" t="str">
        <f t="shared" si="483"/>
        <v/>
      </c>
      <c r="BO379" s="66" t="str">
        <f t="shared" si="484"/>
        <v/>
      </c>
      <c r="BP379" s="47" t="s">
        <v>0</v>
      </c>
      <c r="BQ379" s="52" t="str">
        <f>IF(X379&lt;&gt;"NEMA","",IF(IFERROR(MATCH(W379,W$12:W378,0),0)&lt;&gt;0,"",W379))</f>
        <v/>
      </c>
      <c r="BR379" s="73" t="str">
        <f t="shared" si="485"/>
        <v/>
      </c>
      <c r="BS379" s="31" t="str">
        <f>IF(OR(BR379="",BR379&lt;&gt;"NEMA"),"",MAX(BS$12:BS378)+1)</f>
        <v/>
      </c>
      <c r="BT379" s="66" t="str">
        <f t="shared" si="486"/>
        <v/>
      </c>
      <c r="BU379" s="47" t="s">
        <v>0</v>
      </c>
      <c r="BV379" s="19" t="str">
        <f t="shared" si="487"/>
        <v/>
      </c>
      <c r="BW379" s="47" t="s">
        <v>0</v>
      </c>
      <c r="BX379" s="82" t="str">
        <f>IF(BK379&lt;&gt;"NEMA","",IF(IFERROR(MATCH(BJ379,BJ$12:BJ378,0),0)&lt;&gt;0,"",BJ379))</f>
        <v/>
      </c>
      <c r="BY379" s="47" t="s">
        <v>0</v>
      </c>
      <c r="BZ379" s="125"/>
      <c r="CA379" s="47" t="s">
        <v>0</v>
      </c>
      <c r="CB379" s="58" t="str">
        <f t="shared" si="488"/>
        <v/>
      </c>
      <c r="CC379" s="31" t="str">
        <f t="shared" si="489"/>
        <v/>
      </c>
      <c r="CD379" s="31" t="str">
        <f>IF(CC379="","",MAX(CD$12:CD378)+1)</f>
        <v/>
      </c>
      <c r="CE379" s="31" t="str">
        <f t="shared" si="445"/>
        <v/>
      </c>
      <c r="CF379" s="31" t="str">
        <f t="shared" si="490"/>
        <v/>
      </c>
      <c r="CG379" s="31" t="str">
        <f>IF(BZ379="","",MAX(CG$12:CG378)+1)</f>
        <v/>
      </c>
      <c r="CH379" s="31" t="str">
        <f t="shared" si="491"/>
        <v/>
      </c>
      <c r="CI379" s="66" t="str">
        <f t="shared" si="492"/>
        <v/>
      </c>
      <c r="CJ379" s="47" t="s">
        <v>0</v>
      </c>
      <c r="CK379" s="73" t="str">
        <f t="shared" si="446"/>
        <v/>
      </c>
      <c r="CL379" s="47"/>
      <c r="CM379" s="19" t="str">
        <f t="shared" si="493"/>
        <v/>
      </c>
      <c r="CN379" s="47" t="s">
        <v>0</v>
      </c>
      <c r="CO379" s="143" t="str">
        <f t="shared" si="494"/>
        <v/>
      </c>
      <c r="CP379" s="47" t="s">
        <v>0</v>
      </c>
      <c r="CQ379" s="58" t="str">
        <f t="shared" si="510"/>
        <v/>
      </c>
      <c r="CR379" s="73" t="str">
        <f t="shared" si="511"/>
        <v/>
      </c>
      <c r="CS379" s="229" t="str">
        <f t="shared" si="447"/>
        <v/>
      </c>
      <c r="CT379" s="230" t="str">
        <f t="shared" si="432"/>
        <v/>
      </c>
      <c r="CU379" s="163" t="str">
        <f t="shared" si="448"/>
        <v/>
      </c>
      <c r="CV379" s="47" t="s">
        <v>0</v>
      </c>
      <c r="CW379" s="222" t="str">
        <f t="shared" si="495"/>
        <v xml:space="preserve">
</v>
      </c>
      <c r="CX379" s="223" t="str">
        <f t="shared" si="496"/>
        <v/>
      </c>
      <c r="CY379" s="47" t="s">
        <v>0</v>
      </c>
      <c r="CZ379" s="47"/>
      <c r="DA379" s="47"/>
      <c r="DB379" s="47"/>
      <c r="DC379" s="47" t="s">
        <v>0</v>
      </c>
      <c r="DD379" s="53" t="str">
        <f t="shared" si="504"/>
        <v/>
      </c>
      <c r="DE379" t="s">
        <v>0</v>
      </c>
      <c r="DF379" s="128" t="str">
        <f t="shared" si="505"/>
        <v/>
      </c>
      <c r="DG379" t="s">
        <v>0</v>
      </c>
      <c r="DH379" s="52" t="str">
        <f t="shared" si="506"/>
        <v/>
      </c>
      <c r="DI379" s="66" t="str">
        <f t="shared" si="507"/>
        <v/>
      </c>
      <c r="DJ379" t="s">
        <v>0</v>
      </c>
      <c r="DK379" s="19" t="str">
        <f t="shared" si="508"/>
        <v/>
      </c>
      <c r="DL379" s="47" t="s">
        <v>0</v>
      </c>
      <c r="DM379" s="19" t="str">
        <f t="shared" si="509"/>
        <v/>
      </c>
      <c r="DN379" s="47" t="s">
        <v>0</v>
      </c>
      <c r="DO379" s="52" t="str">
        <f t="shared" si="449"/>
        <v/>
      </c>
      <c r="DP379" s="53" t="str">
        <f t="shared" si="450"/>
        <v/>
      </c>
      <c r="DQ379" s="47" t="s">
        <v>0</v>
      </c>
      <c r="DR379" s="52" t="str">
        <f t="shared" si="451"/>
        <v/>
      </c>
      <c r="DS379" s="53" t="str">
        <f t="shared" si="452"/>
        <v/>
      </c>
      <c r="DT379" s="47" t="s">
        <v>0</v>
      </c>
      <c r="DU379" s="52" t="str">
        <f t="shared" si="453"/>
        <v/>
      </c>
      <c r="DV379" s="53" t="str">
        <f t="shared" si="454"/>
        <v/>
      </c>
      <c r="DW379" s="47" t="s">
        <v>0</v>
      </c>
      <c r="DX379" s="58" t="str">
        <f t="shared" si="497"/>
        <v/>
      </c>
      <c r="DY379" s="53" t="str" cm="1">
        <f t="array" ref="DY379">IF(DX379&lt;&gt;"",INDEX(regNatjecatelj_id,DX379,0),IF(BD379&lt;&gt;"",BD379,""))</f>
        <v/>
      </c>
      <c r="DZ379" s="47" t="s">
        <v>0</v>
      </c>
      <c r="EA379" s="58" t="str">
        <f t="shared" si="455"/>
        <v/>
      </c>
      <c r="EB379" s="73" t="str">
        <f t="shared" si="456"/>
        <v/>
      </c>
      <c r="EC379" s="73" t="str">
        <f t="shared" si="457"/>
        <v/>
      </c>
      <c r="ED379" s="73" t="str">
        <f t="shared" si="458"/>
        <v/>
      </c>
      <c r="EE379" s="66" t="str">
        <f t="shared" si="459"/>
        <v/>
      </c>
      <c r="EF379" s="47" t="s">
        <v>0</v>
      </c>
      <c r="EG379" s="58" t="str">
        <f>IF(AL379="","",MAX(EG$12:EG378)+1)</f>
        <v/>
      </c>
      <c r="EH379" s="73" t="str">
        <f t="shared" si="460"/>
        <v/>
      </c>
      <c r="EI379" s="73" t="str">
        <f t="shared" si="498"/>
        <v/>
      </c>
      <c r="EJ379" s="73" t="str">
        <f t="shared" si="461"/>
        <v/>
      </c>
      <c r="EK379" s="73" t="str">
        <f t="shared" si="462"/>
        <v/>
      </c>
      <c r="EL379" s="73" t="str">
        <f t="shared" si="499"/>
        <v/>
      </c>
      <c r="EM379" s="73" t="str">
        <f t="shared" si="500"/>
        <v/>
      </c>
      <c r="EN379" s="73" t="str">
        <f t="shared" si="463"/>
        <v/>
      </c>
      <c r="EO379" s="73" t="str">
        <f t="shared" si="464"/>
        <v/>
      </c>
      <c r="EP379" s="73" t="str">
        <f t="shared" si="465"/>
        <v/>
      </c>
      <c r="EQ379" s="53" t="str">
        <f t="shared" si="466"/>
        <v/>
      </c>
      <c r="ER379" s="47" t="s">
        <v>0</v>
      </c>
      <c r="ES379" s="19" t="str">
        <f t="shared" si="501"/>
        <v/>
      </c>
      <c r="ET379" s="47" t="s">
        <v>0</v>
      </c>
      <c r="EU379" s="19" t="str">
        <f t="shared" si="502"/>
        <v/>
      </c>
      <c r="EV379" s="47" t="s">
        <v>0</v>
      </c>
      <c r="EW379" s="180" t="str">
        <f t="shared" si="467"/>
        <v/>
      </c>
      <c r="EX379" s="47" t="s">
        <v>0</v>
      </c>
    </row>
    <row r="380" spans="1:154" x14ac:dyDescent="0.25">
      <c r="A380" t="s">
        <v>0</v>
      </c>
      <c r="B380" s="52" t="str">
        <f>IF(csv!F370="","",csv!T370)</f>
        <v/>
      </c>
      <c r="C380" s="31" t="s">
        <v>0</v>
      </c>
      <c r="D380" s="31" t="str">
        <f>IF(csv!F370="","",csv!F370)</f>
        <v/>
      </c>
      <c r="E380" s="31" t="str">
        <f>IF(csv!E370="","",csv!E370)</f>
        <v/>
      </c>
      <c r="F380" s="31" t="s">
        <v>0</v>
      </c>
      <c r="G380" s="73" t="str">
        <f>IF(csv!M370="","",csv!M370)</f>
        <v/>
      </c>
      <c r="H380" s="73" t="str">
        <f>IF(csv!N370="","",csv!N370)</f>
        <v/>
      </c>
      <c r="I380" s="31" t="s">
        <v>0</v>
      </c>
      <c r="J380" s="31" t="str">
        <f>IF(csv!P370="","",csv!P370)</f>
        <v/>
      </c>
      <c r="K380" s="31" t="str">
        <f>IF(csv!Q370="","",csv!Q370)</f>
        <v/>
      </c>
      <c r="L380" s="31" t="s">
        <v>0</v>
      </c>
      <c r="M380" s="66" t="str">
        <f>IF(csv!R370="","",csv!R370)</f>
        <v/>
      </c>
      <c r="N380" s="47" t="s">
        <v>0</v>
      </c>
      <c r="O380" s="246" t="str">
        <f t="shared" si="468"/>
        <v/>
      </c>
      <c r="P380" s="47"/>
      <c r="Q380" s="52" t="str">
        <f t="shared" si="469"/>
        <v/>
      </c>
      <c r="R380" s="73" t="str">
        <f>IF(Q380="","",IF(COUNTIF(Q$12:Q379,Q380)=0,R379+1,R379))</f>
        <v/>
      </c>
      <c r="S380" s="73" t="str">
        <f t="shared" si="470"/>
        <v/>
      </c>
      <c r="T380" s="73" t="str">
        <f t="shared" si="434"/>
        <v/>
      </c>
      <c r="U380" s="66" t="str">
        <f t="shared" si="435"/>
        <v/>
      </c>
      <c r="V380" s="47" t="s">
        <v>0</v>
      </c>
      <c r="W380" s="222" t="str">
        <f t="shared" si="436"/>
        <v/>
      </c>
      <c r="X380" s="223" t="str">
        <f t="shared" si="437"/>
        <v/>
      </c>
      <c r="Y380" s="47" t="s">
        <v>0</v>
      </c>
      <c r="Z380" s="52" t="str">
        <f t="shared" si="471"/>
        <v/>
      </c>
      <c r="AA380" s="73" t="str">
        <f t="shared" si="438"/>
        <v/>
      </c>
      <c r="AB380" s="31" t="str">
        <f t="shared" si="472"/>
        <v/>
      </c>
      <c r="AC380" s="66" t="str">
        <f>IF(AB380="","",MAX(AC$12:AC379)+1)</f>
        <v/>
      </c>
      <c r="AD380" s="47" t="s">
        <v>0</v>
      </c>
      <c r="AE380" s="125"/>
      <c r="AF380" s="47" t="s">
        <v>0</v>
      </c>
      <c r="AG380" s="19" t="str">
        <f t="shared" si="473"/>
        <v/>
      </c>
      <c r="AH380" s="47" t="s">
        <v>0</v>
      </c>
      <c r="AI380" s="143" t="str">
        <f t="shared" si="474"/>
        <v/>
      </c>
      <c r="AJ380" s="47"/>
      <c r="AK380" s="52" t="str">
        <f t="shared" si="475"/>
        <v/>
      </c>
      <c r="AL380" s="31" t="str">
        <f t="shared" si="476"/>
        <v/>
      </c>
      <c r="AM380" s="73" t="str">
        <f t="shared" si="477"/>
        <v/>
      </c>
      <c r="AN380" s="73" t="str">
        <f t="shared" si="478"/>
        <v/>
      </c>
      <c r="AO380" s="31" t="str">
        <f t="shared" si="439"/>
        <v/>
      </c>
      <c r="AP380" s="66" t="str">
        <f t="shared" si="440"/>
        <v/>
      </c>
      <c r="AQ380" s="47" t="s">
        <v>0</v>
      </c>
      <c r="AR380" s="82" t="str">
        <f t="shared" si="479"/>
        <v/>
      </c>
      <c r="AS380" s="47" t="s">
        <v>0</v>
      </c>
      <c r="AT380" s="19" t="str">
        <f t="shared" si="480"/>
        <v/>
      </c>
      <c r="AU380" s="47" t="s">
        <v>0</v>
      </c>
      <c r="AV380" s="103"/>
      <c r="AW380" s="105"/>
      <c r="AX380" s="47" t="s">
        <v>0</v>
      </c>
      <c r="AY380" s="259" t="str">
        <f t="shared" si="503"/>
        <v/>
      </c>
      <c r="AZ380" s="47" t="s">
        <v>0</v>
      </c>
      <c r="BA380" s="52" t="str">
        <f t="shared" si="433"/>
        <v/>
      </c>
      <c r="BB380" s="73" t="str">
        <f>IF(AV380&amp;AW380="","",MAX(BB$12:BB379)+1)</f>
        <v/>
      </c>
      <c r="BC380" s="272" t="str">
        <f t="shared" si="441"/>
        <v/>
      </c>
      <c r="BD380" s="53" t="str">
        <f>IF(AND(AM380="NEMA",AN380="NEMA",OR(AV380&amp;AW380="",BC380="NEMA")),MAX(BD$12:BD379)+1,"")</f>
        <v/>
      </c>
      <c r="BE380" s="47" t="s">
        <v>0</v>
      </c>
      <c r="BF380" s="52" t="str">
        <f t="shared" si="481"/>
        <v/>
      </c>
      <c r="BG380" s="66" t="str">
        <f t="shared" si="482"/>
        <v/>
      </c>
      <c r="BH380" s="47" t="s">
        <v>0</v>
      </c>
      <c r="BI380" s="52" t="str">
        <f t="shared" si="442"/>
        <v/>
      </c>
      <c r="BJ380" s="31" t="str">
        <f t="shared" si="443"/>
        <v/>
      </c>
      <c r="BK380" s="73" t="str">
        <f t="shared" si="444"/>
        <v/>
      </c>
      <c r="BL380" s="31" t="str" cm="1">
        <f t="array" ref="BL380">IF(BK380="",""&amp;BJ380,IF(BK380="NEMA",BJ380,INDEX(regKlub_naziv,MATCH(INDEX(regKlub_alias_klubId,BK380),regKlub_id,0))))</f>
        <v/>
      </c>
      <c r="BM380" s="31" t="str" cm="1">
        <f t="array" ref="BM380">IFERROR(""&amp;INDEX(regNatjecatelj_klub,DV380),"")</f>
        <v/>
      </c>
      <c r="BN380" s="88" t="str">
        <f t="shared" si="483"/>
        <v/>
      </c>
      <c r="BO380" s="66" t="str">
        <f t="shared" si="484"/>
        <v/>
      </c>
      <c r="BP380" s="47" t="s">
        <v>0</v>
      </c>
      <c r="BQ380" s="52" t="str">
        <f>IF(X380&lt;&gt;"NEMA","",IF(IFERROR(MATCH(W380,W$12:W379,0),0)&lt;&gt;0,"",W380))</f>
        <v/>
      </c>
      <c r="BR380" s="73" t="str">
        <f t="shared" si="485"/>
        <v/>
      </c>
      <c r="BS380" s="31" t="str">
        <f>IF(OR(BR380="",BR380&lt;&gt;"NEMA"),"",MAX(BS$12:BS379)+1)</f>
        <v/>
      </c>
      <c r="BT380" s="66" t="str">
        <f t="shared" si="486"/>
        <v/>
      </c>
      <c r="BU380" s="47" t="s">
        <v>0</v>
      </c>
      <c r="BV380" s="19" t="str">
        <f t="shared" si="487"/>
        <v/>
      </c>
      <c r="BW380" s="47" t="s">
        <v>0</v>
      </c>
      <c r="BX380" s="82" t="str">
        <f>IF(BK380&lt;&gt;"NEMA","",IF(IFERROR(MATCH(BJ380,BJ$12:BJ379,0),0)&lt;&gt;0,"",BJ380))</f>
        <v/>
      </c>
      <c r="BY380" s="47" t="s">
        <v>0</v>
      </c>
      <c r="BZ380" s="125"/>
      <c r="CA380" s="47" t="s">
        <v>0</v>
      </c>
      <c r="CB380" s="58" t="str">
        <f t="shared" si="488"/>
        <v/>
      </c>
      <c r="CC380" s="31" t="str">
        <f t="shared" si="489"/>
        <v/>
      </c>
      <c r="CD380" s="31" t="str">
        <f>IF(CC380="","",MAX(CD$12:CD379)+1)</f>
        <v/>
      </c>
      <c r="CE380" s="31" t="str">
        <f t="shared" si="445"/>
        <v/>
      </c>
      <c r="CF380" s="31" t="str">
        <f t="shared" si="490"/>
        <v/>
      </c>
      <c r="CG380" s="31" t="str">
        <f>IF(BZ380="","",MAX(CG$12:CG379)+1)</f>
        <v/>
      </c>
      <c r="CH380" s="31" t="str">
        <f t="shared" si="491"/>
        <v/>
      </c>
      <c r="CI380" s="66" t="str">
        <f t="shared" si="492"/>
        <v/>
      </c>
      <c r="CJ380" s="47" t="s">
        <v>0</v>
      </c>
      <c r="CK380" s="73" t="str">
        <f t="shared" si="446"/>
        <v/>
      </c>
      <c r="CL380" s="47"/>
      <c r="CM380" s="19" t="str">
        <f t="shared" si="493"/>
        <v/>
      </c>
      <c r="CN380" s="47" t="s">
        <v>0</v>
      </c>
      <c r="CO380" s="143" t="str">
        <f t="shared" si="494"/>
        <v/>
      </c>
      <c r="CP380" s="47" t="s">
        <v>0</v>
      </c>
      <c r="CQ380" s="58" t="str">
        <f t="shared" si="510"/>
        <v/>
      </c>
      <c r="CR380" s="73" t="str">
        <f t="shared" si="511"/>
        <v/>
      </c>
      <c r="CS380" s="229" t="str">
        <f t="shared" si="447"/>
        <v/>
      </c>
      <c r="CT380" s="230" t="str">
        <f t="shared" si="432"/>
        <v/>
      </c>
      <c r="CU380" s="163" t="str">
        <f t="shared" si="448"/>
        <v/>
      </c>
      <c r="CV380" s="47" t="s">
        <v>0</v>
      </c>
      <c r="CW380" s="222" t="str">
        <f t="shared" si="495"/>
        <v xml:space="preserve">
</v>
      </c>
      <c r="CX380" s="223" t="str">
        <f t="shared" si="496"/>
        <v/>
      </c>
      <c r="CY380" s="47" t="s">
        <v>0</v>
      </c>
      <c r="CZ380" s="47"/>
      <c r="DA380" s="47"/>
      <c r="DB380" s="47"/>
      <c r="DC380" s="47" t="s">
        <v>0</v>
      </c>
      <c r="DD380" s="53" t="str">
        <f t="shared" si="504"/>
        <v/>
      </c>
      <c r="DE380" t="s">
        <v>0</v>
      </c>
      <c r="DF380" s="128" t="str">
        <f t="shared" si="505"/>
        <v/>
      </c>
      <c r="DG380" t="s">
        <v>0</v>
      </c>
      <c r="DH380" s="52" t="str">
        <f t="shared" si="506"/>
        <v/>
      </c>
      <c r="DI380" s="66" t="str">
        <f t="shared" si="507"/>
        <v/>
      </c>
      <c r="DJ380" t="s">
        <v>0</v>
      </c>
      <c r="DK380" s="19" t="str">
        <f t="shared" si="508"/>
        <v/>
      </c>
      <c r="DL380" s="47" t="s">
        <v>0</v>
      </c>
      <c r="DM380" s="19" t="str">
        <f t="shared" si="509"/>
        <v/>
      </c>
      <c r="DN380" s="47" t="s">
        <v>0</v>
      </c>
      <c r="DO380" s="52" t="str">
        <f t="shared" si="449"/>
        <v/>
      </c>
      <c r="DP380" s="53" t="str">
        <f t="shared" si="450"/>
        <v/>
      </c>
      <c r="DQ380" s="47" t="s">
        <v>0</v>
      </c>
      <c r="DR380" s="52" t="str">
        <f t="shared" si="451"/>
        <v/>
      </c>
      <c r="DS380" s="53" t="str">
        <f t="shared" si="452"/>
        <v/>
      </c>
      <c r="DT380" s="47" t="s">
        <v>0</v>
      </c>
      <c r="DU380" s="52" t="str">
        <f t="shared" si="453"/>
        <v/>
      </c>
      <c r="DV380" s="53" t="str">
        <f t="shared" si="454"/>
        <v/>
      </c>
      <c r="DW380" s="47" t="s">
        <v>0</v>
      </c>
      <c r="DX380" s="58" t="str">
        <f t="shared" si="497"/>
        <v/>
      </c>
      <c r="DY380" s="53" t="str" cm="1">
        <f t="array" ref="DY380">IF(DX380&lt;&gt;"",INDEX(regNatjecatelj_id,DX380,0),IF(BD380&lt;&gt;"",BD380,""))</f>
        <v/>
      </c>
      <c r="DZ380" s="47" t="s">
        <v>0</v>
      </c>
      <c r="EA380" s="58" t="str">
        <f t="shared" si="455"/>
        <v/>
      </c>
      <c r="EB380" s="73" t="str">
        <f t="shared" si="456"/>
        <v/>
      </c>
      <c r="EC380" s="73" t="str">
        <f t="shared" si="457"/>
        <v/>
      </c>
      <c r="ED380" s="73" t="str">
        <f t="shared" si="458"/>
        <v/>
      </c>
      <c r="EE380" s="66" t="str">
        <f t="shared" si="459"/>
        <v/>
      </c>
      <c r="EF380" s="47" t="s">
        <v>0</v>
      </c>
      <c r="EG380" s="58" t="str">
        <f>IF(AL380="","",MAX(EG$12:EG379)+1)</f>
        <v/>
      </c>
      <c r="EH380" s="73" t="str">
        <f t="shared" si="460"/>
        <v/>
      </c>
      <c r="EI380" s="73" t="str">
        <f t="shared" si="498"/>
        <v/>
      </c>
      <c r="EJ380" s="73" t="str">
        <f t="shared" si="461"/>
        <v/>
      </c>
      <c r="EK380" s="73" t="str">
        <f t="shared" si="462"/>
        <v/>
      </c>
      <c r="EL380" s="73" t="str">
        <f t="shared" si="499"/>
        <v/>
      </c>
      <c r="EM380" s="73" t="str">
        <f t="shared" si="500"/>
        <v/>
      </c>
      <c r="EN380" s="73" t="str">
        <f t="shared" si="463"/>
        <v/>
      </c>
      <c r="EO380" s="73" t="str">
        <f t="shared" si="464"/>
        <v/>
      </c>
      <c r="EP380" s="73" t="str">
        <f t="shared" si="465"/>
        <v/>
      </c>
      <c r="EQ380" s="53" t="str">
        <f t="shared" si="466"/>
        <v/>
      </c>
      <c r="ER380" s="47" t="s">
        <v>0</v>
      </c>
      <c r="ES380" s="19" t="str">
        <f t="shared" si="501"/>
        <v/>
      </c>
      <c r="ET380" s="47" t="s">
        <v>0</v>
      </c>
      <c r="EU380" s="19" t="str">
        <f t="shared" si="502"/>
        <v/>
      </c>
      <c r="EV380" s="47" t="s">
        <v>0</v>
      </c>
      <c r="EW380" s="180" t="str">
        <f t="shared" si="467"/>
        <v/>
      </c>
      <c r="EX380" s="47" t="s">
        <v>0</v>
      </c>
    </row>
    <row r="381" spans="1:154" x14ac:dyDescent="0.25">
      <c r="A381" t="s">
        <v>0</v>
      </c>
      <c r="B381" s="52" t="str">
        <f>IF(csv!F371="","",csv!T371)</f>
        <v/>
      </c>
      <c r="C381" s="31" t="s">
        <v>0</v>
      </c>
      <c r="D381" s="31" t="str">
        <f>IF(csv!F371="","",csv!F371)</f>
        <v/>
      </c>
      <c r="E381" s="31" t="str">
        <f>IF(csv!E371="","",csv!E371)</f>
        <v/>
      </c>
      <c r="F381" s="31" t="s">
        <v>0</v>
      </c>
      <c r="G381" s="73" t="str">
        <f>IF(csv!M371="","",csv!M371)</f>
        <v/>
      </c>
      <c r="H381" s="73" t="str">
        <f>IF(csv!N371="","",csv!N371)</f>
        <v/>
      </c>
      <c r="I381" s="31" t="s">
        <v>0</v>
      </c>
      <c r="J381" s="31" t="str">
        <f>IF(csv!P371="","",csv!P371)</f>
        <v/>
      </c>
      <c r="K381" s="31" t="str">
        <f>IF(csv!Q371="","",csv!Q371)</f>
        <v/>
      </c>
      <c r="L381" s="31" t="s">
        <v>0</v>
      </c>
      <c r="M381" s="66" t="str">
        <f>IF(csv!R371="","",csv!R371)</f>
        <v/>
      </c>
      <c r="N381" s="47" t="s">
        <v>0</v>
      </c>
      <c r="O381" s="246" t="str">
        <f t="shared" si="468"/>
        <v/>
      </c>
      <c r="P381" s="47"/>
      <c r="Q381" s="52" t="str">
        <f t="shared" si="469"/>
        <v/>
      </c>
      <c r="R381" s="73" t="str">
        <f>IF(Q381="","",IF(COUNTIF(Q$12:Q380,Q381)=0,R380+1,R380))</f>
        <v/>
      </c>
      <c r="S381" s="73" t="str">
        <f t="shared" si="470"/>
        <v/>
      </c>
      <c r="T381" s="73" t="str">
        <f t="shared" si="434"/>
        <v/>
      </c>
      <c r="U381" s="66" t="str">
        <f t="shared" si="435"/>
        <v/>
      </c>
      <c r="V381" s="47" t="s">
        <v>0</v>
      </c>
      <c r="W381" s="222" t="str">
        <f t="shared" si="436"/>
        <v/>
      </c>
      <c r="X381" s="223" t="str">
        <f t="shared" si="437"/>
        <v/>
      </c>
      <c r="Y381" s="47" t="s">
        <v>0</v>
      </c>
      <c r="Z381" s="52" t="str">
        <f t="shared" si="471"/>
        <v/>
      </c>
      <c r="AA381" s="73" t="str">
        <f t="shared" si="438"/>
        <v/>
      </c>
      <c r="AB381" s="31" t="str">
        <f t="shared" si="472"/>
        <v/>
      </c>
      <c r="AC381" s="66" t="str">
        <f>IF(AB381="","",MAX(AC$12:AC380)+1)</f>
        <v/>
      </c>
      <c r="AD381" s="47" t="s">
        <v>0</v>
      </c>
      <c r="AE381" s="125"/>
      <c r="AF381" s="47" t="s">
        <v>0</v>
      </c>
      <c r="AG381" s="19" t="str">
        <f t="shared" si="473"/>
        <v/>
      </c>
      <c r="AH381" s="47" t="s">
        <v>0</v>
      </c>
      <c r="AI381" s="143" t="str">
        <f t="shared" si="474"/>
        <v/>
      </c>
      <c r="AJ381" s="47"/>
      <c r="AK381" s="52" t="str">
        <f t="shared" si="475"/>
        <v/>
      </c>
      <c r="AL381" s="31" t="str">
        <f t="shared" si="476"/>
        <v/>
      </c>
      <c r="AM381" s="73" t="str">
        <f t="shared" si="477"/>
        <v/>
      </c>
      <c r="AN381" s="73" t="str">
        <f t="shared" si="478"/>
        <v/>
      </c>
      <c r="AO381" s="31" t="str">
        <f t="shared" si="439"/>
        <v/>
      </c>
      <c r="AP381" s="66" t="str">
        <f t="shared" si="440"/>
        <v/>
      </c>
      <c r="AQ381" s="47" t="s">
        <v>0</v>
      </c>
      <c r="AR381" s="82" t="str">
        <f t="shared" si="479"/>
        <v/>
      </c>
      <c r="AS381" s="47" t="s">
        <v>0</v>
      </c>
      <c r="AT381" s="19" t="str">
        <f t="shared" si="480"/>
        <v/>
      </c>
      <c r="AU381" s="47" t="s">
        <v>0</v>
      </c>
      <c r="AV381" s="103"/>
      <c r="AW381" s="105"/>
      <c r="AX381" s="47" t="s">
        <v>0</v>
      </c>
      <c r="AY381" s="259" t="str">
        <f t="shared" si="503"/>
        <v/>
      </c>
      <c r="AZ381" s="47" t="s">
        <v>0</v>
      </c>
      <c r="BA381" s="52" t="str">
        <f t="shared" si="433"/>
        <v/>
      </c>
      <c r="BB381" s="73" t="str">
        <f>IF(AV381&amp;AW381="","",MAX(BB$12:BB380)+1)</f>
        <v/>
      </c>
      <c r="BC381" s="272" t="str">
        <f t="shared" si="441"/>
        <v/>
      </c>
      <c r="BD381" s="53" t="str">
        <f>IF(AND(AM381="NEMA",AN381="NEMA",OR(AV381&amp;AW381="",BC381="NEMA")),MAX(BD$12:BD380)+1,"")</f>
        <v/>
      </c>
      <c r="BE381" s="47" t="s">
        <v>0</v>
      </c>
      <c r="BF381" s="52" t="str">
        <f t="shared" si="481"/>
        <v/>
      </c>
      <c r="BG381" s="66" t="str">
        <f t="shared" si="482"/>
        <v/>
      </c>
      <c r="BH381" s="47" t="s">
        <v>0</v>
      </c>
      <c r="BI381" s="52" t="str">
        <f t="shared" si="442"/>
        <v/>
      </c>
      <c r="BJ381" s="31" t="str">
        <f t="shared" si="443"/>
        <v/>
      </c>
      <c r="BK381" s="73" t="str">
        <f t="shared" si="444"/>
        <v/>
      </c>
      <c r="BL381" s="31" t="str" cm="1">
        <f t="array" ref="BL381">IF(BK381="",""&amp;BJ381,IF(BK381="NEMA",BJ381,INDEX(regKlub_naziv,MATCH(INDEX(regKlub_alias_klubId,BK381),regKlub_id,0))))</f>
        <v/>
      </c>
      <c r="BM381" s="31" t="str" cm="1">
        <f t="array" ref="BM381">IFERROR(""&amp;INDEX(regNatjecatelj_klub,DV381),"")</f>
        <v/>
      </c>
      <c r="BN381" s="88" t="str">
        <f t="shared" si="483"/>
        <v/>
      </c>
      <c r="BO381" s="66" t="str">
        <f t="shared" si="484"/>
        <v/>
      </c>
      <c r="BP381" s="47" t="s">
        <v>0</v>
      </c>
      <c r="BQ381" s="52" t="str">
        <f>IF(X381&lt;&gt;"NEMA","",IF(IFERROR(MATCH(W381,W$12:W380,0),0)&lt;&gt;0,"",W381))</f>
        <v/>
      </c>
      <c r="BR381" s="73" t="str">
        <f t="shared" si="485"/>
        <v/>
      </c>
      <c r="BS381" s="31" t="str">
        <f>IF(OR(BR381="",BR381&lt;&gt;"NEMA"),"",MAX(BS$12:BS380)+1)</f>
        <v/>
      </c>
      <c r="BT381" s="66" t="str">
        <f t="shared" si="486"/>
        <v/>
      </c>
      <c r="BU381" s="47" t="s">
        <v>0</v>
      </c>
      <c r="BV381" s="19" t="str">
        <f t="shared" si="487"/>
        <v/>
      </c>
      <c r="BW381" s="47" t="s">
        <v>0</v>
      </c>
      <c r="BX381" s="82" t="str">
        <f>IF(BK381&lt;&gt;"NEMA","",IF(IFERROR(MATCH(BJ381,BJ$12:BJ380,0),0)&lt;&gt;0,"",BJ381))</f>
        <v/>
      </c>
      <c r="BY381" s="47" t="s">
        <v>0</v>
      </c>
      <c r="BZ381" s="125"/>
      <c r="CA381" s="47" t="s">
        <v>0</v>
      </c>
      <c r="CB381" s="58" t="str">
        <f t="shared" si="488"/>
        <v/>
      </c>
      <c r="CC381" s="31" t="str">
        <f t="shared" si="489"/>
        <v/>
      </c>
      <c r="CD381" s="31" t="str">
        <f>IF(CC381="","",MAX(CD$12:CD380)+1)</f>
        <v/>
      </c>
      <c r="CE381" s="31" t="str">
        <f t="shared" si="445"/>
        <v/>
      </c>
      <c r="CF381" s="31" t="str">
        <f t="shared" si="490"/>
        <v/>
      </c>
      <c r="CG381" s="31" t="str">
        <f>IF(BZ381="","",MAX(CG$12:CG380)+1)</f>
        <v/>
      </c>
      <c r="CH381" s="31" t="str">
        <f t="shared" si="491"/>
        <v/>
      </c>
      <c r="CI381" s="66" t="str">
        <f t="shared" si="492"/>
        <v/>
      </c>
      <c r="CJ381" s="47" t="s">
        <v>0</v>
      </c>
      <c r="CK381" s="73" t="str">
        <f t="shared" si="446"/>
        <v/>
      </c>
      <c r="CL381" s="47"/>
      <c r="CM381" s="19" t="str">
        <f t="shared" si="493"/>
        <v/>
      </c>
      <c r="CN381" s="47" t="s">
        <v>0</v>
      </c>
      <c r="CO381" s="143" t="str">
        <f t="shared" si="494"/>
        <v/>
      </c>
      <c r="CP381" s="47" t="s">
        <v>0</v>
      </c>
      <c r="CQ381" s="58" t="str">
        <f t="shared" si="510"/>
        <v/>
      </c>
      <c r="CR381" s="73" t="str">
        <f t="shared" si="511"/>
        <v/>
      </c>
      <c r="CS381" s="229" t="str">
        <f t="shared" si="447"/>
        <v/>
      </c>
      <c r="CT381" s="230" t="str">
        <f t="shared" ref="CT381:CT412" si="512">IF(CQ381="","",VALUE(LEFT(CQ381,SEARCH(":",CQ381)-1))*60+VALUE(RIGHT(CQ381,2)))</f>
        <v/>
      </c>
      <c r="CU381" s="163" t="str">
        <f t="shared" si="448"/>
        <v/>
      </c>
      <c r="CV381" s="47" t="s">
        <v>0</v>
      </c>
      <c r="CW381" s="222" t="str">
        <f t="shared" si="495"/>
        <v xml:space="preserve">
</v>
      </c>
      <c r="CX381" s="223" t="str">
        <f t="shared" si="496"/>
        <v/>
      </c>
      <c r="CY381" s="47" t="s">
        <v>0</v>
      </c>
      <c r="CZ381" s="47"/>
      <c r="DA381" s="47"/>
      <c r="DB381" s="47"/>
      <c r="DC381" s="47" t="s">
        <v>0</v>
      </c>
      <c r="DD381" s="53" t="str">
        <f t="shared" si="504"/>
        <v/>
      </c>
      <c r="DE381" t="s">
        <v>0</v>
      </c>
      <c r="DF381" s="128" t="str">
        <f t="shared" si="505"/>
        <v/>
      </c>
      <c r="DG381" t="s">
        <v>0</v>
      </c>
      <c r="DH381" s="52" t="str">
        <f t="shared" si="506"/>
        <v/>
      </c>
      <c r="DI381" s="66" t="str">
        <f t="shared" si="507"/>
        <v/>
      </c>
      <c r="DJ381" t="s">
        <v>0</v>
      </c>
      <c r="DK381" s="19" t="str">
        <f t="shared" si="508"/>
        <v/>
      </c>
      <c r="DL381" s="47" t="s">
        <v>0</v>
      </c>
      <c r="DM381" s="19" t="str">
        <f t="shared" si="509"/>
        <v/>
      </c>
      <c r="DN381" s="47" t="s">
        <v>0</v>
      </c>
      <c r="DO381" s="52" t="str">
        <f t="shared" si="449"/>
        <v/>
      </c>
      <c r="DP381" s="53" t="str">
        <f t="shared" si="450"/>
        <v/>
      </c>
      <c r="DQ381" s="47" t="s">
        <v>0</v>
      </c>
      <c r="DR381" s="52" t="str">
        <f t="shared" si="451"/>
        <v/>
      </c>
      <c r="DS381" s="53" t="str">
        <f t="shared" si="452"/>
        <v/>
      </c>
      <c r="DT381" s="47" t="s">
        <v>0</v>
      </c>
      <c r="DU381" s="52" t="str">
        <f t="shared" si="453"/>
        <v/>
      </c>
      <c r="DV381" s="53" t="str">
        <f t="shared" si="454"/>
        <v/>
      </c>
      <c r="DW381" s="47" t="s">
        <v>0</v>
      </c>
      <c r="DX381" s="58" t="str">
        <f t="shared" si="497"/>
        <v/>
      </c>
      <c r="DY381" s="53" t="str" cm="1">
        <f t="array" ref="DY381">IF(DX381&lt;&gt;"",INDEX(regNatjecatelj_id,DX381,0),IF(BD381&lt;&gt;"",BD381,""))</f>
        <v/>
      </c>
      <c r="DZ381" s="47" t="s">
        <v>0</v>
      </c>
      <c r="EA381" s="58" t="str">
        <f t="shared" si="455"/>
        <v/>
      </c>
      <c r="EB381" s="73" t="str">
        <f t="shared" si="456"/>
        <v/>
      </c>
      <c r="EC381" s="73" t="str">
        <f t="shared" si="457"/>
        <v/>
      </c>
      <c r="ED381" s="73" t="str">
        <f t="shared" si="458"/>
        <v/>
      </c>
      <c r="EE381" s="66" t="str">
        <f t="shared" si="459"/>
        <v/>
      </c>
      <c r="EF381" s="47" t="s">
        <v>0</v>
      </c>
      <c r="EG381" s="58" t="str">
        <f>IF(AL381="","",MAX(EG$12:EG380)+1)</f>
        <v/>
      </c>
      <c r="EH381" s="73" t="str">
        <f t="shared" si="460"/>
        <v/>
      </c>
      <c r="EI381" s="73" t="str">
        <f t="shared" si="498"/>
        <v/>
      </c>
      <c r="EJ381" s="73" t="str">
        <f t="shared" si="461"/>
        <v/>
      </c>
      <c r="EK381" s="73" t="str">
        <f t="shared" si="462"/>
        <v/>
      </c>
      <c r="EL381" s="73" t="str">
        <f t="shared" si="499"/>
        <v/>
      </c>
      <c r="EM381" s="73" t="str">
        <f t="shared" si="500"/>
        <v/>
      </c>
      <c r="EN381" s="73" t="str">
        <f t="shared" si="463"/>
        <v/>
      </c>
      <c r="EO381" s="73" t="str">
        <f t="shared" si="464"/>
        <v/>
      </c>
      <c r="EP381" s="73" t="str">
        <f t="shared" si="465"/>
        <v/>
      </c>
      <c r="EQ381" s="53" t="str">
        <f t="shared" si="466"/>
        <v/>
      </c>
      <c r="ER381" s="47" t="s">
        <v>0</v>
      </c>
      <c r="ES381" s="19" t="str">
        <f t="shared" si="501"/>
        <v/>
      </c>
      <c r="ET381" s="47" t="s">
        <v>0</v>
      </c>
      <c r="EU381" s="19" t="str">
        <f t="shared" si="502"/>
        <v/>
      </c>
      <c r="EV381" s="47" t="s">
        <v>0</v>
      </c>
      <c r="EW381" s="180" t="str">
        <f t="shared" si="467"/>
        <v/>
      </c>
      <c r="EX381" s="47" t="s">
        <v>0</v>
      </c>
    </row>
    <row r="382" spans="1:154" x14ac:dyDescent="0.25">
      <c r="A382" t="s">
        <v>0</v>
      </c>
      <c r="B382" s="52" t="str">
        <f>IF(csv!F372="","",csv!T372)</f>
        <v/>
      </c>
      <c r="C382" s="31" t="s">
        <v>0</v>
      </c>
      <c r="D382" s="31" t="str">
        <f>IF(csv!F372="","",csv!F372)</f>
        <v/>
      </c>
      <c r="E382" s="31" t="str">
        <f>IF(csv!E372="","",csv!E372)</f>
        <v/>
      </c>
      <c r="F382" s="31" t="s">
        <v>0</v>
      </c>
      <c r="G382" s="73" t="str">
        <f>IF(csv!M372="","",csv!M372)</f>
        <v/>
      </c>
      <c r="H382" s="73" t="str">
        <f>IF(csv!N372="","",csv!N372)</f>
        <v/>
      </c>
      <c r="I382" s="31" t="s">
        <v>0</v>
      </c>
      <c r="J382" s="31" t="str">
        <f>IF(csv!P372="","",csv!P372)</f>
        <v/>
      </c>
      <c r="K382" s="31" t="str">
        <f>IF(csv!Q372="","",csv!Q372)</f>
        <v/>
      </c>
      <c r="L382" s="31" t="s">
        <v>0</v>
      </c>
      <c r="M382" s="66" t="str">
        <f>IF(csv!R372="","",csv!R372)</f>
        <v/>
      </c>
      <c r="N382" s="47" t="s">
        <v>0</v>
      </c>
      <c r="O382" s="246" t="str">
        <f t="shared" si="468"/>
        <v/>
      </c>
      <c r="P382" s="47"/>
      <c r="Q382" s="52" t="str">
        <f t="shared" si="469"/>
        <v/>
      </c>
      <c r="R382" s="73" t="str">
        <f>IF(Q382="","",IF(COUNTIF(Q$12:Q381,Q382)=0,R381+1,R381))</f>
        <v/>
      </c>
      <c r="S382" s="73" t="str">
        <f t="shared" si="470"/>
        <v/>
      </c>
      <c r="T382" s="73" t="str">
        <f t="shared" si="434"/>
        <v/>
      </c>
      <c r="U382" s="66" t="str">
        <f t="shared" si="435"/>
        <v/>
      </c>
      <c r="V382" s="47" t="s">
        <v>0</v>
      </c>
      <c r="W382" s="222" t="str">
        <f t="shared" si="436"/>
        <v/>
      </c>
      <c r="X382" s="223" t="str">
        <f t="shared" si="437"/>
        <v/>
      </c>
      <c r="Y382" s="47" t="s">
        <v>0</v>
      </c>
      <c r="Z382" s="52" t="str">
        <f t="shared" si="471"/>
        <v/>
      </c>
      <c r="AA382" s="73" t="str">
        <f t="shared" si="438"/>
        <v/>
      </c>
      <c r="AB382" s="31" t="str">
        <f t="shared" si="472"/>
        <v/>
      </c>
      <c r="AC382" s="66" t="str">
        <f>IF(AB382="","",MAX(AC$12:AC381)+1)</f>
        <v/>
      </c>
      <c r="AD382" s="47" t="s">
        <v>0</v>
      </c>
      <c r="AE382" s="125"/>
      <c r="AF382" s="47" t="s">
        <v>0</v>
      </c>
      <c r="AG382" s="19" t="str">
        <f t="shared" si="473"/>
        <v/>
      </c>
      <c r="AH382" s="47" t="s">
        <v>0</v>
      </c>
      <c r="AI382" s="143" t="str">
        <f t="shared" si="474"/>
        <v/>
      </c>
      <c r="AJ382" s="47"/>
      <c r="AK382" s="52" t="str">
        <f t="shared" si="475"/>
        <v/>
      </c>
      <c r="AL382" s="31" t="str">
        <f t="shared" si="476"/>
        <v/>
      </c>
      <c r="AM382" s="73" t="str">
        <f t="shared" si="477"/>
        <v/>
      </c>
      <c r="AN382" s="73" t="str">
        <f t="shared" si="478"/>
        <v/>
      </c>
      <c r="AO382" s="31" t="str">
        <f t="shared" si="439"/>
        <v/>
      </c>
      <c r="AP382" s="66" t="str">
        <f t="shared" si="440"/>
        <v/>
      </c>
      <c r="AQ382" s="47" t="s">
        <v>0</v>
      </c>
      <c r="AR382" s="82" t="str">
        <f t="shared" si="479"/>
        <v/>
      </c>
      <c r="AS382" s="47" t="s">
        <v>0</v>
      </c>
      <c r="AT382" s="19" t="str">
        <f t="shared" si="480"/>
        <v/>
      </c>
      <c r="AU382" s="47" t="s">
        <v>0</v>
      </c>
      <c r="AV382" s="103"/>
      <c r="AW382" s="105"/>
      <c r="AX382" s="47" t="s">
        <v>0</v>
      </c>
      <c r="AY382" s="259" t="str">
        <f t="shared" si="503"/>
        <v/>
      </c>
      <c r="AZ382" s="47" t="s">
        <v>0</v>
      </c>
      <c r="BA382" s="52" t="str">
        <f t="shared" si="433"/>
        <v/>
      </c>
      <c r="BB382" s="73" t="str">
        <f>IF(AV382&amp;AW382="","",MAX(BB$12:BB381)+1)</f>
        <v/>
      </c>
      <c r="BC382" s="272" t="str">
        <f t="shared" si="441"/>
        <v/>
      </c>
      <c r="BD382" s="53" t="str">
        <f>IF(AND(AM382="NEMA",AN382="NEMA",OR(AV382&amp;AW382="",BC382="NEMA")),MAX(BD$12:BD381)+1,"")</f>
        <v/>
      </c>
      <c r="BE382" s="47" t="s">
        <v>0</v>
      </c>
      <c r="BF382" s="52" t="str">
        <f t="shared" si="481"/>
        <v/>
      </c>
      <c r="BG382" s="66" t="str">
        <f t="shared" si="482"/>
        <v/>
      </c>
      <c r="BH382" s="47" t="s">
        <v>0</v>
      </c>
      <c r="BI382" s="52" t="str">
        <f t="shared" si="442"/>
        <v/>
      </c>
      <c r="BJ382" s="31" t="str">
        <f t="shared" si="443"/>
        <v/>
      </c>
      <c r="BK382" s="73" t="str">
        <f t="shared" si="444"/>
        <v/>
      </c>
      <c r="BL382" s="31" t="str" cm="1">
        <f t="array" ref="BL382">IF(BK382="",""&amp;BJ382,IF(BK382="NEMA",BJ382,INDEX(regKlub_naziv,MATCH(INDEX(regKlub_alias_klubId,BK382),regKlub_id,0))))</f>
        <v/>
      </c>
      <c r="BM382" s="31" t="str" cm="1">
        <f t="array" ref="BM382">IFERROR(""&amp;INDEX(regNatjecatelj_klub,DV382),"")</f>
        <v/>
      </c>
      <c r="BN382" s="88" t="str">
        <f t="shared" si="483"/>
        <v/>
      </c>
      <c r="BO382" s="66" t="str">
        <f t="shared" si="484"/>
        <v/>
      </c>
      <c r="BP382" s="47" t="s">
        <v>0</v>
      </c>
      <c r="BQ382" s="52" t="str">
        <f>IF(X382&lt;&gt;"NEMA","",IF(IFERROR(MATCH(W382,W$12:W381,0),0)&lt;&gt;0,"",W382))</f>
        <v/>
      </c>
      <c r="BR382" s="73" t="str">
        <f t="shared" si="485"/>
        <v/>
      </c>
      <c r="BS382" s="31" t="str">
        <f>IF(OR(BR382="",BR382&lt;&gt;"NEMA"),"",MAX(BS$12:BS381)+1)</f>
        <v/>
      </c>
      <c r="BT382" s="66" t="str">
        <f t="shared" si="486"/>
        <v/>
      </c>
      <c r="BU382" s="47" t="s">
        <v>0</v>
      </c>
      <c r="BV382" s="19" t="str">
        <f t="shared" si="487"/>
        <v/>
      </c>
      <c r="BW382" s="47" t="s">
        <v>0</v>
      </c>
      <c r="BX382" s="82" t="str">
        <f>IF(BK382&lt;&gt;"NEMA","",IF(IFERROR(MATCH(BJ382,BJ$12:BJ381,0),0)&lt;&gt;0,"",BJ382))</f>
        <v/>
      </c>
      <c r="BY382" s="47" t="s">
        <v>0</v>
      </c>
      <c r="BZ382" s="125"/>
      <c r="CA382" s="47" t="s">
        <v>0</v>
      </c>
      <c r="CB382" s="58" t="str">
        <f t="shared" si="488"/>
        <v/>
      </c>
      <c r="CC382" s="31" t="str">
        <f t="shared" si="489"/>
        <v/>
      </c>
      <c r="CD382" s="31" t="str">
        <f>IF(CC382="","",MAX(CD$12:CD381)+1)</f>
        <v/>
      </c>
      <c r="CE382" s="31" t="str">
        <f t="shared" si="445"/>
        <v/>
      </c>
      <c r="CF382" s="31" t="str">
        <f t="shared" si="490"/>
        <v/>
      </c>
      <c r="CG382" s="31" t="str">
        <f>IF(BZ382="","",MAX(CG$12:CG381)+1)</f>
        <v/>
      </c>
      <c r="CH382" s="31" t="str">
        <f t="shared" si="491"/>
        <v/>
      </c>
      <c r="CI382" s="66" t="str">
        <f t="shared" si="492"/>
        <v/>
      </c>
      <c r="CJ382" s="47" t="s">
        <v>0</v>
      </c>
      <c r="CK382" s="73" t="str">
        <f t="shared" si="446"/>
        <v/>
      </c>
      <c r="CL382" s="47"/>
      <c r="CM382" s="19" t="str">
        <f t="shared" si="493"/>
        <v/>
      </c>
      <c r="CN382" s="47" t="s">
        <v>0</v>
      </c>
      <c r="CO382" s="143" t="str">
        <f t="shared" si="494"/>
        <v/>
      </c>
      <c r="CP382" s="47" t="s">
        <v>0</v>
      </c>
      <c r="CQ382" s="58" t="str">
        <f t="shared" si="510"/>
        <v/>
      </c>
      <c r="CR382" s="73" t="str">
        <f t="shared" si="511"/>
        <v/>
      </c>
      <c r="CS382" s="229" t="str">
        <f t="shared" si="447"/>
        <v/>
      </c>
      <c r="CT382" s="230" t="str">
        <f t="shared" si="512"/>
        <v/>
      </c>
      <c r="CU382" s="163" t="str">
        <f t="shared" si="448"/>
        <v/>
      </c>
      <c r="CV382" s="47" t="s">
        <v>0</v>
      </c>
      <c r="CW382" s="222" t="str">
        <f t="shared" si="495"/>
        <v xml:space="preserve">
</v>
      </c>
      <c r="CX382" s="223" t="str">
        <f t="shared" si="496"/>
        <v/>
      </c>
      <c r="CY382" s="47" t="s">
        <v>0</v>
      </c>
      <c r="CZ382" s="47"/>
      <c r="DA382" s="47"/>
      <c r="DB382" s="47"/>
      <c r="DC382" s="47" t="s">
        <v>0</v>
      </c>
      <c r="DD382" s="53" t="str">
        <f t="shared" si="504"/>
        <v/>
      </c>
      <c r="DE382" t="s">
        <v>0</v>
      </c>
      <c r="DF382" s="128" t="str">
        <f t="shared" si="505"/>
        <v/>
      </c>
      <c r="DG382" t="s">
        <v>0</v>
      </c>
      <c r="DH382" s="52" t="str">
        <f t="shared" si="506"/>
        <v/>
      </c>
      <c r="DI382" s="66" t="str">
        <f t="shared" si="507"/>
        <v/>
      </c>
      <c r="DJ382" t="s">
        <v>0</v>
      </c>
      <c r="DK382" s="19" t="str">
        <f t="shared" si="508"/>
        <v/>
      </c>
      <c r="DL382" s="47" t="s">
        <v>0</v>
      </c>
      <c r="DM382" s="19" t="str">
        <f t="shared" si="509"/>
        <v/>
      </c>
      <c r="DN382" s="47" t="s">
        <v>0</v>
      </c>
      <c r="DO382" s="52" t="str">
        <f t="shared" si="449"/>
        <v/>
      </c>
      <c r="DP382" s="53" t="str">
        <f t="shared" si="450"/>
        <v/>
      </c>
      <c r="DQ382" s="47" t="s">
        <v>0</v>
      </c>
      <c r="DR382" s="52" t="str">
        <f t="shared" si="451"/>
        <v/>
      </c>
      <c r="DS382" s="53" t="str">
        <f t="shared" si="452"/>
        <v/>
      </c>
      <c r="DT382" s="47" t="s">
        <v>0</v>
      </c>
      <c r="DU382" s="52" t="str">
        <f t="shared" si="453"/>
        <v/>
      </c>
      <c r="DV382" s="53" t="str">
        <f t="shared" si="454"/>
        <v/>
      </c>
      <c r="DW382" s="47" t="s">
        <v>0</v>
      </c>
      <c r="DX382" s="58" t="str">
        <f t="shared" si="497"/>
        <v/>
      </c>
      <c r="DY382" s="53" t="str" cm="1">
        <f t="array" ref="DY382">IF(DX382&lt;&gt;"",INDEX(regNatjecatelj_id,DX382,0),IF(BD382&lt;&gt;"",BD382,""))</f>
        <v/>
      </c>
      <c r="DZ382" s="47" t="s">
        <v>0</v>
      </c>
      <c r="EA382" s="58" t="str">
        <f t="shared" si="455"/>
        <v/>
      </c>
      <c r="EB382" s="73" t="str">
        <f t="shared" si="456"/>
        <v/>
      </c>
      <c r="EC382" s="73" t="str">
        <f t="shared" si="457"/>
        <v/>
      </c>
      <c r="ED382" s="73" t="str">
        <f t="shared" si="458"/>
        <v/>
      </c>
      <c r="EE382" s="66" t="str">
        <f t="shared" si="459"/>
        <v/>
      </c>
      <c r="EF382" s="47" t="s">
        <v>0</v>
      </c>
      <c r="EG382" s="58" t="str">
        <f>IF(AL382="","",MAX(EG$12:EG381)+1)</f>
        <v/>
      </c>
      <c r="EH382" s="73" t="str">
        <f t="shared" si="460"/>
        <v/>
      </c>
      <c r="EI382" s="73" t="str">
        <f t="shared" si="498"/>
        <v/>
      </c>
      <c r="EJ382" s="73" t="str">
        <f t="shared" si="461"/>
        <v/>
      </c>
      <c r="EK382" s="73" t="str">
        <f t="shared" si="462"/>
        <v/>
      </c>
      <c r="EL382" s="73" t="str">
        <f t="shared" si="499"/>
        <v/>
      </c>
      <c r="EM382" s="73" t="str">
        <f t="shared" si="500"/>
        <v/>
      </c>
      <c r="EN382" s="73" t="str">
        <f t="shared" si="463"/>
        <v/>
      </c>
      <c r="EO382" s="73" t="str">
        <f t="shared" si="464"/>
        <v/>
      </c>
      <c r="EP382" s="73" t="str">
        <f t="shared" si="465"/>
        <v/>
      </c>
      <c r="EQ382" s="53" t="str">
        <f t="shared" si="466"/>
        <v/>
      </c>
      <c r="ER382" s="47" t="s">
        <v>0</v>
      </c>
      <c r="ES382" s="19" t="str">
        <f t="shared" si="501"/>
        <v/>
      </c>
      <c r="ET382" s="47" t="s">
        <v>0</v>
      </c>
      <c r="EU382" s="19" t="str">
        <f t="shared" si="502"/>
        <v/>
      </c>
      <c r="EV382" s="47" t="s">
        <v>0</v>
      </c>
      <c r="EW382" s="180" t="str">
        <f t="shared" si="467"/>
        <v/>
      </c>
      <c r="EX382" s="47" t="s">
        <v>0</v>
      </c>
    </row>
    <row r="383" spans="1:154" x14ac:dyDescent="0.25">
      <c r="A383" t="s">
        <v>0</v>
      </c>
      <c r="B383" s="52" t="str">
        <f>IF(csv!F373="","",csv!T373)</f>
        <v/>
      </c>
      <c r="C383" s="31" t="s">
        <v>0</v>
      </c>
      <c r="D383" s="31" t="str">
        <f>IF(csv!F373="","",csv!F373)</f>
        <v/>
      </c>
      <c r="E383" s="31" t="str">
        <f>IF(csv!E373="","",csv!E373)</f>
        <v/>
      </c>
      <c r="F383" s="31" t="s">
        <v>0</v>
      </c>
      <c r="G383" s="73" t="str">
        <f>IF(csv!M373="","",csv!M373)</f>
        <v/>
      </c>
      <c r="H383" s="73" t="str">
        <f>IF(csv!N373="","",csv!N373)</f>
        <v/>
      </c>
      <c r="I383" s="31" t="s">
        <v>0</v>
      </c>
      <c r="J383" s="31" t="str">
        <f>IF(csv!P373="","",csv!P373)</f>
        <v/>
      </c>
      <c r="K383" s="31" t="str">
        <f>IF(csv!Q373="","",csv!Q373)</f>
        <v/>
      </c>
      <c r="L383" s="31" t="s">
        <v>0</v>
      </c>
      <c r="M383" s="66" t="str">
        <f>IF(csv!R373="","",csv!R373)</f>
        <v/>
      </c>
      <c r="N383" s="47" t="s">
        <v>0</v>
      </c>
      <c r="O383" s="246" t="str">
        <f t="shared" si="468"/>
        <v/>
      </c>
      <c r="P383" s="47"/>
      <c r="Q383" s="52" t="str">
        <f t="shared" si="469"/>
        <v/>
      </c>
      <c r="R383" s="73" t="str">
        <f>IF(Q383="","",IF(COUNTIF(Q$12:Q382,Q383)=0,R382+1,R382))</f>
        <v/>
      </c>
      <c r="S383" s="73" t="str">
        <f t="shared" si="470"/>
        <v/>
      </c>
      <c r="T383" s="73" t="str">
        <f t="shared" si="434"/>
        <v/>
      </c>
      <c r="U383" s="66" t="str">
        <f t="shared" si="435"/>
        <v/>
      </c>
      <c r="V383" s="47" t="s">
        <v>0</v>
      </c>
      <c r="W383" s="222" t="str">
        <f t="shared" si="436"/>
        <v/>
      </c>
      <c r="X383" s="223" t="str">
        <f t="shared" si="437"/>
        <v/>
      </c>
      <c r="Y383" s="47" t="s">
        <v>0</v>
      </c>
      <c r="Z383" s="52" t="str">
        <f t="shared" si="471"/>
        <v/>
      </c>
      <c r="AA383" s="73" t="str">
        <f t="shared" si="438"/>
        <v/>
      </c>
      <c r="AB383" s="31" t="str">
        <f t="shared" si="472"/>
        <v/>
      </c>
      <c r="AC383" s="66" t="str">
        <f>IF(AB383="","",MAX(AC$12:AC382)+1)</f>
        <v/>
      </c>
      <c r="AD383" s="47" t="s">
        <v>0</v>
      </c>
      <c r="AE383" s="125"/>
      <c r="AF383" s="47" t="s">
        <v>0</v>
      </c>
      <c r="AG383" s="19" t="str">
        <f t="shared" si="473"/>
        <v/>
      </c>
      <c r="AH383" s="47" t="s">
        <v>0</v>
      </c>
      <c r="AI383" s="143" t="str">
        <f t="shared" si="474"/>
        <v/>
      </c>
      <c r="AJ383" s="47"/>
      <c r="AK383" s="52" t="str">
        <f t="shared" si="475"/>
        <v/>
      </c>
      <c r="AL383" s="31" t="str">
        <f t="shared" si="476"/>
        <v/>
      </c>
      <c r="AM383" s="73" t="str">
        <f t="shared" si="477"/>
        <v/>
      </c>
      <c r="AN383" s="73" t="str">
        <f t="shared" si="478"/>
        <v/>
      </c>
      <c r="AO383" s="31" t="str">
        <f t="shared" si="439"/>
        <v/>
      </c>
      <c r="AP383" s="66" t="str">
        <f t="shared" si="440"/>
        <v/>
      </c>
      <c r="AQ383" s="47" t="s">
        <v>0</v>
      </c>
      <c r="AR383" s="82" t="str">
        <f t="shared" si="479"/>
        <v/>
      </c>
      <c r="AS383" s="47" t="s">
        <v>0</v>
      </c>
      <c r="AT383" s="19" t="str">
        <f t="shared" si="480"/>
        <v/>
      </c>
      <c r="AU383" s="47" t="s">
        <v>0</v>
      </c>
      <c r="AV383" s="103"/>
      <c r="AW383" s="105"/>
      <c r="AX383" s="47" t="s">
        <v>0</v>
      </c>
      <c r="AY383" s="259" t="str">
        <f t="shared" si="503"/>
        <v/>
      </c>
      <c r="AZ383" s="47" t="s">
        <v>0</v>
      </c>
      <c r="BA383" s="52" t="str">
        <f t="shared" si="433"/>
        <v/>
      </c>
      <c r="BB383" s="73" t="str">
        <f>IF(AV383&amp;AW383="","",MAX(BB$12:BB382)+1)</f>
        <v/>
      </c>
      <c r="BC383" s="272" t="str">
        <f t="shared" si="441"/>
        <v/>
      </c>
      <c r="BD383" s="53" t="str">
        <f>IF(AND(AM383="NEMA",AN383="NEMA",OR(AV383&amp;AW383="",BC383="NEMA")),MAX(BD$12:BD382)+1,"")</f>
        <v/>
      </c>
      <c r="BE383" s="47" t="s">
        <v>0</v>
      </c>
      <c r="BF383" s="52" t="str">
        <f t="shared" si="481"/>
        <v/>
      </c>
      <c r="BG383" s="66" t="str">
        <f t="shared" si="482"/>
        <v/>
      </c>
      <c r="BH383" s="47" t="s">
        <v>0</v>
      </c>
      <c r="BI383" s="52" t="str">
        <f t="shared" si="442"/>
        <v/>
      </c>
      <c r="BJ383" s="31" t="str">
        <f t="shared" si="443"/>
        <v/>
      </c>
      <c r="BK383" s="73" t="str">
        <f t="shared" si="444"/>
        <v/>
      </c>
      <c r="BL383" s="31" t="str" cm="1">
        <f t="array" ref="BL383">IF(BK383="",""&amp;BJ383,IF(BK383="NEMA",BJ383,INDEX(regKlub_naziv,MATCH(INDEX(regKlub_alias_klubId,BK383),regKlub_id,0))))</f>
        <v/>
      </c>
      <c r="BM383" s="31" t="str" cm="1">
        <f t="array" ref="BM383">IFERROR(""&amp;INDEX(regNatjecatelj_klub,DV383),"")</f>
        <v/>
      </c>
      <c r="BN383" s="88" t="str">
        <f t="shared" si="483"/>
        <v/>
      </c>
      <c r="BO383" s="66" t="str">
        <f t="shared" si="484"/>
        <v/>
      </c>
      <c r="BP383" s="47" t="s">
        <v>0</v>
      </c>
      <c r="BQ383" s="52" t="str">
        <f>IF(X383&lt;&gt;"NEMA","",IF(IFERROR(MATCH(W383,W$12:W382,0),0)&lt;&gt;0,"",W383))</f>
        <v/>
      </c>
      <c r="BR383" s="73" t="str">
        <f t="shared" si="485"/>
        <v/>
      </c>
      <c r="BS383" s="31" t="str">
        <f>IF(OR(BR383="",BR383&lt;&gt;"NEMA"),"",MAX(BS$12:BS382)+1)</f>
        <v/>
      </c>
      <c r="BT383" s="66" t="str">
        <f t="shared" si="486"/>
        <v/>
      </c>
      <c r="BU383" s="47" t="s">
        <v>0</v>
      </c>
      <c r="BV383" s="19" t="str">
        <f t="shared" si="487"/>
        <v/>
      </c>
      <c r="BW383" s="47" t="s">
        <v>0</v>
      </c>
      <c r="BX383" s="82" t="str">
        <f>IF(BK383&lt;&gt;"NEMA","",IF(IFERROR(MATCH(BJ383,BJ$12:BJ382,0),0)&lt;&gt;0,"",BJ383))</f>
        <v/>
      </c>
      <c r="BY383" s="47" t="s">
        <v>0</v>
      </c>
      <c r="BZ383" s="125"/>
      <c r="CA383" s="47" t="s">
        <v>0</v>
      </c>
      <c r="CB383" s="58" t="str">
        <f t="shared" si="488"/>
        <v/>
      </c>
      <c r="CC383" s="31" t="str">
        <f t="shared" si="489"/>
        <v/>
      </c>
      <c r="CD383" s="31" t="str">
        <f>IF(CC383="","",MAX(CD$12:CD382)+1)</f>
        <v/>
      </c>
      <c r="CE383" s="31" t="str">
        <f t="shared" si="445"/>
        <v/>
      </c>
      <c r="CF383" s="31" t="str">
        <f t="shared" si="490"/>
        <v/>
      </c>
      <c r="CG383" s="31" t="str">
        <f>IF(BZ383="","",MAX(CG$12:CG382)+1)</f>
        <v/>
      </c>
      <c r="CH383" s="31" t="str">
        <f t="shared" si="491"/>
        <v/>
      </c>
      <c r="CI383" s="66" t="str">
        <f t="shared" si="492"/>
        <v/>
      </c>
      <c r="CJ383" s="47" t="s">
        <v>0</v>
      </c>
      <c r="CK383" s="73" t="str">
        <f t="shared" si="446"/>
        <v/>
      </c>
      <c r="CL383" s="47"/>
      <c r="CM383" s="19" t="str">
        <f t="shared" si="493"/>
        <v/>
      </c>
      <c r="CN383" s="47" t="s">
        <v>0</v>
      </c>
      <c r="CO383" s="143" t="str">
        <f t="shared" si="494"/>
        <v/>
      </c>
      <c r="CP383" s="47" t="s">
        <v>0</v>
      </c>
      <c r="CQ383" s="58" t="str">
        <f t="shared" si="510"/>
        <v/>
      </c>
      <c r="CR383" s="73" t="str">
        <f t="shared" si="511"/>
        <v/>
      </c>
      <c r="CS383" s="229" t="str">
        <f t="shared" si="447"/>
        <v/>
      </c>
      <c r="CT383" s="230" t="str">
        <f t="shared" si="512"/>
        <v/>
      </c>
      <c r="CU383" s="163" t="str">
        <f t="shared" si="448"/>
        <v/>
      </c>
      <c r="CV383" s="47" t="s">
        <v>0</v>
      </c>
      <c r="CW383" s="222" t="str">
        <f t="shared" si="495"/>
        <v xml:space="preserve">
</v>
      </c>
      <c r="CX383" s="223" t="str">
        <f t="shared" si="496"/>
        <v/>
      </c>
      <c r="CY383" s="47" t="s">
        <v>0</v>
      </c>
      <c r="CZ383" s="47"/>
      <c r="DA383" s="47"/>
      <c r="DB383" s="47"/>
      <c r="DC383" s="47" t="s">
        <v>0</v>
      </c>
      <c r="DD383" s="53" t="str">
        <f t="shared" si="504"/>
        <v/>
      </c>
      <c r="DE383" t="s">
        <v>0</v>
      </c>
      <c r="DF383" s="128" t="str">
        <f t="shared" si="505"/>
        <v/>
      </c>
      <c r="DG383" t="s">
        <v>0</v>
      </c>
      <c r="DH383" s="52" t="str">
        <f t="shared" si="506"/>
        <v/>
      </c>
      <c r="DI383" s="66" t="str">
        <f t="shared" si="507"/>
        <v/>
      </c>
      <c r="DJ383" t="s">
        <v>0</v>
      </c>
      <c r="DK383" s="19" t="str">
        <f t="shared" si="508"/>
        <v/>
      </c>
      <c r="DL383" s="47" t="s">
        <v>0</v>
      </c>
      <c r="DM383" s="19" t="str">
        <f t="shared" si="509"/>
        <v/>
      </c>
      <c r="DN383" s="47" t="s">
        <v>0</v>
      </c>
      <c r="DO383" s="52" t="str">
        <f t="shared" si="449"/>
        <v/>
      </c>
      <c r="DP383" s="53" t="str">
        <f t="shared" si="450"/>
        <v/>
      </c>
      <c r="DQ383" s="47" t="s">
        <v>0</v>
      </c>
      <c r="DR383" s="52" t="str">
        <f t="shared" si="451"/>
        <v/>
      </c>
      <c r="DS383" s="53" t="str">
        <f t="shared" si="452"/>
        <v/>
      </c>
      <c r="DT383" s="47" t="s">
        <v>0</v>
      </c>
      <c r="DU383" s="52" t="str">
        <f t="shared" si="453"/>
        <v/>
      </c>
      <c r="DV383" s="53" t="str">
        <f t="shared" si="454"/>
        <v/>
      </c>
      <c r="DW383" s="47" t="s">
        <v>0</v>
      </c>
      <c r="DX383" s="58" t="str">
        <f t="shared" si="497"/>
        <v/>
      </c>
      <c r="DY383" s="53" t="str" cm="1">
        <f t="array" ref="DY383">IF(DX383&lt;&gt;"",INDEX(regNatjecatelj_id,DX383,0),IF(BD383&lt;&gt;"",BD383,""))</f>
        <v/>
      </c>
      <c r="DZ383" s="47" t="s">
        <v>0</v>
      </c>
      <c r="EA383" s="58" t="str">
        <f t="shared" si="455"/>
        <v/>
      </c>
      <c r="EB383" s="73" t="str">
        <f t="shared" si="456"/>
        <v/>
      </c>
      <c r="EC383" s="73" t="str">
        <f t="shared" si="457"/>
        <v/>
      </c>
      <c r="ED383" s="73" t="str">
        <f t="shared" si="458"/>
        <v/>
      </c>
      <c r="EE383" s="66" t="str">
        <f t="shared" si="459"/>
        <v/>
      </c>
      <c r="EF383" s="47" t="s">
        <v>0</v>
      </c>
      <c r="EG383" s="58" t="str">
        <f>IF(AL383="","",MAX(EG$12:EG382)+1)</f>
        <v/>
      </c>
      <c r="EH383" s="73" t="str">
        <f t="shared" si="460"/>
        <v/>
      </c>
      <c r="EI383" s="73" t="str">
        <f t="shared" si="498"/>
        <v/>
      </c>
      <c r="EJ383" s="73" t="str">
        <f t="shared" si="461"/>
        <v/>
      </c>
      <c r="EK383" s="73" t="str">
        <f t="shared" si="462"/>
        <v/>
      </c>
      <c r="EL383" s="73" t="str">
        <f t="shared" si="499"/>
        <v/>
      </c>
      <c r="EM383" s="73" t="str">
        <f t="shared" si="500"/>
        <v/>
      </c>
      <c r="EN383" s="73" t="str">
        <f t="shared" si="463"/>
        <v/>
      </c>
      <c r="EO383" s="73" t="str">
        <f t="shared" si="464"/>
        <v/>
      </c>
      <c r="EP383" s="73" t="str">
        <f t="shared" si="465"/>
        <v/>
      </c>
      <c r="EQ383" s="53" t="str">
        <f t="shared" si="466"/>
        <v/>
      </c>
      <c r="ER383" s="47" t="s">
        <v>0</v>
      </c>
      <c r="ES383" s="19" t="str">
        <f t="shared" si="501"/>
        <v/>
      </c>
      <c r="ET383" s="47" t="s">
        <v>0</v>
      </c>
      <c r="EU383" s="19" t="str">
        <f t="shared" si="502"/>
        <v/>
      </c>
      <c r="EV383" s="47" t="s">
        <v>0</v>
      </c>
      <c r="EW383" s="180" t="str">
        <f t="shared" si="467"/>
        <v/>
      </c>
      <c r="EX383" s="47" t="s">
        <v>0</v>
      </c>
    </row>
    <row r="384" spans="1:154" x14ac:dyDescent="0.25">
      <c r="A384" t="s">
        <v>0</v>
      </c>
      <c r="B384" s="52" t="str">
        <f>IF(csv!F374="","",csv!T374)</f>
        <v/>
      </c>
      <c r="C384" s="31" t="s">
        <v>0</v>
      </c>
      <c r="D384" s="31" t="str">
        <f>IF(csv!F374="","",csv!F374)</f>
        <v/>
      </c>
      <c r="E384" s="31" t="str">
        <f>IF(csv!E374="","",csv!E374)</f>
        <v/>
      </c>
      <c r="F384" s="31" t="s">
        <v>0</v>
      </c>
      <c r="G384" s="73" t="str">
        <f>IF(csv!M374="","",csv!M374)</f>
        <v/>
      </c>
      <c r="H384" s="73" t="str">
        <f>IF(csv!N374="","",csv!N374)</f>
        <v/>
      </c>
      <c r="I384" s="31" t="s">
        <v>0</v>
      </c>
      <c r="J384" s="31" t="str">
        <f>IF(csv!P374="","",csv!P374)</f>
        <v/>
      </c>
      <c r="K384" s="31" t="str">
        <f>IF(csv!Q374="","",csv!Q374)</f>
        <v/>
      </c>
      <c r="L384" s="31" t="s">
        <v>0</v>
      </c>
      <c r="M384" s="66" t="str">
        <f>IF(csv!R374="","",csv!R374)</f>
        <v/>
      </c>
      <c r="N384" s="47" t="s">
        <v>0</v>
      </c>
      <c r="O384" s="246" t="str">
        <f t="shared" si="468"/>
        <v/>
      </c>
      <c r="P384" s="47"/>
      <c r="Q384" s="52" t="str">
        <f t="shared" si="469"/>
        <v/>
      </c>
      <c r="R384" s="73" t="str">
        <f>IF(Q384="","",IF(COUNTIF(Q$12:Q383,Q384)=0,R383+1,R383))</f>
        <v/>
      </c>
      <c r="S384" s="73" t="str">
        <f t="shared" si="470"/>
        <v/>
      </c>
      <c r="T384" s="73" t="str">
        <f t="shared" si="434"/>
        <v/>
      </c>
      <c r="U384" s="66" t="str">
        <f t="shared" si="435"/>
        <v/>
      </c>
      <c r="V384" s="47" t="s">
        <v>0</v>
      </c>
      <c r="W384" s="222" t="str">
        <f t="shared" si="436"/>
        <v/>
      </c>
      <c r="X384" s="223" t="str">
        <f t="shared" si="437"/>
        <v/>
      </c>
      <c r="Y384" s="47" t="s">
        <v>0</v>
      </c>
      <c r="Z384" s="52" t="str">
        <f t="shared" si="471"/>
        <v/>
      </c>
      <c r="AA384" s="73" t="str">
        <f t="shared" si="438"/>
        <v/>
      </c>
      <c r="AB384" s="31" t="str">
        <f t="shared" si="472"/>
        <v/>
      </c>
      <c r="AC384" s="66" t="str">
        <f>IF(AB384="","",MAX(AC$12:AC383)+1)</f>
        <v/>
      </c>
      <c r="AD384" s="47" t="s">
        <v>0</v>
      </c>
      <c r="AE384" s="125"/>
      <c r="AF384" s="47" t="s">
        <v>0</v>
      </c>
      <c r="AG384" s="19" t="str">
        <f t="shared" si="473"/>
        <v/>
      </c>
      <c r="AH384" s="47" t="s">
        <v>0</v>
      </c>
      <c r="AI384" s="143" t="str">
        <f t="shared" si="474"/>
        <v/>
      </c>
      <c r="AJ384" s="47"/>
      <c r="AK384" s="52" t="str">
        <f t="shared" si="475"/>
        <v/>
      </c>
      <c r="AL384" s="31" t="str">
        <f t="shared" si="476"/>
        <v/>
      </c>
      <c r="AM384" s="73" t="str">
        <f t="shared" si="477"/>
        <v/>
      </c>
      <c r="AN384" s="73" t="str">
        <f t="shared" si="478"/>
        <v/>
      </c>
      <c r="AO384" s="31" t="str">
        <f t="shared" si="439"/>
        <v/>
      </c>
      <c r="AP384" s="66" t="str">
        <f t="shared" si="440"/>
        <v/>
      </c>
      <c r="AQ384" s="47" t="s">
        <v>0</v>
      </c>
      <c r="AR384" s="82" t="str">
        <f t="shared" si="479"/>
        <v/>
      </c>
      <c r="AS384" s="47" t="s">
        <v>0</v>
      </c>
      <c r="AT384" s="19" t="str">
        <f t="shared" si="480"/>
        <v/>
      </c>
      <c r="AU384" s="47" t="s">
        <v>0</v>
      </c>
      <c r="AV384" s="103"/>
      <c r="AW384" s="105"/>
      <c r="AX384" s="47" t="s">
        <v>0</v>
      </c>
      <c r="AY384" s="259" t="str">
        <f t="shared" si="503"/>
        <v/>
      </c>
      <c r="AZ384" s="47" t="s">
        <v>0</v>
      </c>
      <c r="BA384" s="52" t="str">
        <f t="shared" si="433"/>
        <v/>
      </c>
      <c r="BB384" s="73" t="str">
        <f>IF(AV384&amp;AW384="","",MAX(BB$12:BB383)+1)</f>
        <v/>
      </c>
      <c r="BC384" s="272" t="str">
        <f t="shared" si="441"/>
        <v/>
      </c>
      <c r="BD384" s="53" t="str">
        <f>IF(AND(AM384="NEMA",AN384="NEMA",OR(AV384&amp;AW384="",BC384="NEMA")),MAX(BD$12:BD383)+1,"")</f>
        <v/>
      </c>
      <c r="BE384" s="47" t="s">
        <v>0</v>
      </c>
      <c r="BF384" s="52" t="str">
        <f t="shared" si="481"/>
        <v/>
      </c>
      <c r="BG384" s="66" t="str">
        <f t="shared" si="482"/>
        <v/>
      </c>
      <c r="BH384" s="47" t="s">
        <v>0</v>
      </c>
      <c r="BI384" s="52" t="str">
        <f t="shared" si="442"/>
        <v/>
      </c>
      <c r="BJ384" s="31" t="str">
        <f t="shared" si="443"/>
        <v/>
      </c>
      <c r="BK384" s="73" t="str">
        <f t="shared" si="444"/>
        <v/>
      </c>
      <c r="BL384" s="31" t="str" cm="1">
        <f t="array" ref="BL384">IF(BK384="",""&amp;BJ384,IF(BK384="NEMA",BJ384,INDEX(regKlub_naziv,MATCH(INDEX(regKlub_alias_klubId,BK384),regKlub_id,0))))</f>
        <v/>
      </c>
      <c r="BM384" s="31" t="str" cm="1">
        <f t="array" ref="BM384">IFERROR(""&amp;INDEX(regNatjecatelj_klub,DV384),"")</f>
        <v/>
      </c>
      <c r="BN384" s="88" t="str">
        <f t="shared" si="483"/>
        <v/>
      </c>
      <c r="BO384" s="66" t="str">
        <f t="shared" si="484"/>
        <v/>
      </c>
      <c r="BP384" s="47" t="s">
        <v>0</v>
      </c>
      <c r="BQ384" s="52" t="str">
        <f>IF(X384&lt;&gt;"NEMA","",IF(IFERROR(MATCH(W384,W$12:W383,0),0)&lt;&gt;0,"",W384))</f>
        <v/>
      </c>
      <c r="BR384" s="73" t="str">
        <f t="shared" si="485"/>
        <v/>
      </c>
      <c r="BS384" s="31" t="str">
        <f>IF(OR(BR384="",BR384&lt;&gt;"NEMA"),"",MAX(BS$12:BS383)+1)</f>
        <v/>
      </c>
      <c r="BT384" s="66" t="str">
        <f t="shared" si="486"/>
        <v/>
      </c>
      <c r="BU384" s="47" t="s">
        <v>0</v>
      </c>
      <c r="BV384" s="19" t="str">
        <f t="shared" si="487"/>
        <v/>
      </c>
      <c r="BW384" s="47" t="s">
        <v>0</v>
      </c>
      <c r="BX384" s="82" t="str">
        <f>IF(BK384&lt;&gt;"NEMA","",IF(IFERROR(MATCH(BJ384,BJ$12:BJ383,0),0)&lt;&gt;0,"",BJ384))</f>
        <v/>
      </c>
      <c r="BY384" s="47" t="s">
        <v>0</v>
      </c>
      <c r="BZ384" s="125"/>
      <c r="CA384" s="47" t="s">
        <v>0</v>
      </c>
      <c r="CB384" s="58" t="str">
        <f t="shared" si="488"/>
        <v/>
      </c>
      <c r="CC384" s="31" t="str">
        <f t="shared" si="489"/>
        <v/>
      </c>
      <c r="CD384" s="31" t="str">
        <f>IF(CC384="","",MAX(CD$12:CD383)+1)</f>
        <v/>
      </c>
      <c r="CE384" s="31" t="str">
        <f t="shared" si="445"/>
        <v/>
      </c>
      <c r="CF384" s="31" t="str">
        <f t="shared" si="490"/>
        <v/>
      </c>
      <c r="CG384" s="31" t="str">
        <f>IF(BZ384="","",MAX(CG$12:CG383)+1)</f>
        <v/>
      </c>
      <c r="CH384" s="31" t="str">
        <f t="shared" si="491"/>
        <v/>
      </c>
      <c r="CI384" s="66" t="str">
        <f t="shared" si="492"/>
        <v/>
      </c>
      <c r="CJ384" s="47" t="s">
        <v>0</v>
      </c>
      <c r="CK384" s="73" t="str">
        <f t="shared" si="446"/>
        <v/>
      </c>
      <c r="CL384" s="47"/>
      <c r="CM384" s="19" t="str">
        <f t="shared" si="493"/>
        <v/>
      </c>
      <c r="CN384" s="47" t="s">
        <v>0</v>
      </c>
      <c r="CO384" s="143" t="str">
        <f t="shared" si="494"/>
        <v/>
      </c>
      <c r="CP384" s="47" t="s">
        <v>0</v>
      </c>
      <c r="CQ384" s="58" t="str">
        <f t="shared" si="510"/>
        <v/>
      </c>
      <c r="CR384" s="73" t="str">
        <f t="shared" si="511"/>
        <v/>
      </c>
      <c r="CS384" s="229" t="str">
        <f t="shared" si="447"/>
        <v/>
      </c>
      <c r="CT384" s="230" t="str">
        <f t="shared" si="512"/>
        <v/>
      </c>
      <c r="CU384" s="163" t="str">
        <f t="shared" si="448"/>
        <v/>
      </c>
      <c r="CV384" s="47" t="s">
        <v>0</v>
      </c>
      <c r="CW384" s="222" t="str">
        <f t="shared" si="495"/>
        <v xml:space="preserve">
</v>
      </c>
      <c r="CX384" s="223" t="str">
        <f t="shared" si="496"/>
        <v/>
      </c>
      <c r="CY384" s="47" t="s">
        <v>0</v>
      </c>
      <c r="CZ384" s="47"/>
      <c r="DA384" s="47"/>
      <c r="DB384" s="47"/>
      <c r="DC384" s="47" t="s">
        <v>0</v>
      </c>
      <c r="DD384" s="53" t="str">
        <f t="shared" si="504"/>
        <v/>
      </c>
      <c r="DE384" t="s">
        <v>0</v>
      </c>
      <c r="DF384" s="128" t="str">
        <f t="shared" si="505"/>
        <v/>
      </c>
      <c r="DG384" t="s">
        <v>0</v>
      </c>
      <c r="DH384" s="52" t="str">
        <f t="shared" si="506"/>
        <v/>
      </c>
      <c r="DI384" s="66" t="str">
        <f t="shared" si="507"/>
        <v/>
      </c>
      <c r="DJ384" t="s">
        <v>0</v>
      </c>
      <c r="DK384" s="19" t="str">
        <f t="shared" si="508"/>
        <v/>
      </c>
      <c r="DL384" s="47" t="s">
        <v>0</v>
      </c>
      <c r="DM384" s="19" t="str">
        <f t="shared" si="509"/>
        <v/>
      </c>
      <c r="DN384" s="47" t="s">
        <v>0</v>
      </c>
      <c r="DO384" s="52" t="str">
        <f t="shared" si="449"/>
        <v/>
      </c>
      <c r="DP384" s="53" t="str">
        <f t="shared" si="450"/>
        <v/>
      </c>
      <c r="DQ384" s="47" t="s">
        <v>0</v>
      </c>
      <c r="DR384" s="52" t="str">
        <f t="shared" si="451"/>
        <v/>
      </c>
      <c r="DS384" s="53" t="str">
        <f t="shared" si="452"/>
        <v/>
      </c>
      <c r="DT384" s="47" t="s">
        <v>0</v>
      </c>
      <c r="DU384" s="52" t="str">
        <f t="shared" si="453"/>
        <v/>
      </c>
      <c r="DV384" s="53" t="str">
        <f t="shared" si="454"/>
        <v/>
      </c>
      <c r="DW384" s="47" t="s">
        <v>0</v>
      </c>
      <c r="DX384" s="58" t="str">
        <f t="shared" si="497"/>
        <v/>
      </c>
      <c r="DY384" s="53" t="str" cm="1">
        <f t="array" ref="DY384">IF(DX384&lt;&gt;"",INDEX(regNatjecatelj_id,DX384,0),IF(BD384&lt;&gt;"",BD384,""))</f>
        <v/>
      </c>
      <c r="DZ384" s="47" t="s">
        <v>0</v>
      </c>
      <c r="EA384" s="58" t="str">
        <f t="shared" si="455"/>
        <v/>
      </c>
      <c r="EB384" s="73" t="str">
        <f t="shared" si="456"/>
        <v/>
      </c>
      <c r="EC384" s="73" t="str">
        <f t="shared" si="457"/>
        <v/>
      </c>
      <c r="ED384" s="73" t="str">
        <f t="shared" si="458"/>
        <v/>
      </c>
      <c r="EE384" s="66" t="str">
        <f t="shared" si="459"/>
        <v/>
      </c>
      <c r="EF384" s="47" t="s">
        <v>0</v>
      </c>
      <c r="EG384" s="58" t="str">
        <f>IF(AL384="","",MAX(EG$12:EG383)+1)</f>
        <v/>
      </c>
      <c r="EH384" s="73" t="str">
        <f t="shared" si="460"/>
        <v/>
      </c>
      <c r="EI384" s="73" t="str">
        <f t="shared" si="498"/>
        <v/>
      </c>
      <c r="EJ384" s="73" t="str">
        <f t="shared" si="461"/>
        <v/>
      </c>
      <c r="EK384" s="73" t="str">
        <f t="shared" si="462"/>
        <v/>
      </c>
      <c r="EL384" s="73" t="str">
        <f t="shared" si="499"/>
        <v/>
      </c>
      <c r="EM384" s="73" t="str">
        <f t="shared" si="500"/>
        <v/>
      </c>
      <c r="EN384" s="73" t="str">
        <f t="shared" si="463"/>
        <v/>
      </c>
      <c r="EO384" s="73" t="str">
        <f t="shared" si="464"/>
        <v/>
      </c>
      <c r="EP384" s="73" t="str">
        <f t="shared" si="465"/>
        <v/>
      </c>
      <c r="EQ384" s="53" t="str">
        <f t="shared" si="466"/>
        <v/>
      </c>
      <c r="ER384" s="47" t="s">
        <v>0</v>
      </c>
      <c r="ES384" s="19" t="str">
        <f t="shared" si="501"/>
        <v/>
      </c>
      <c r="ET384" s="47" t="s">
        <v>0</v>
      </c>
      <c r="EU384" s="19" t="str">
        <f t="shared" si="502"/>
        <v/>
      </c>
      <c r="EV384" s="47" t="s">
        <v>0</v>
      </c>
      <c r="EW384" s="180" t="str">
        <f t="shared" si="467"/>
        <v/>
      </c>
      <c r="EX384" s="47" t="s">
        <v>0</v>
      </c>
    </row>
    <row r="385" spans="1:154" x14ac:dyDescent="0.25">
      <c r="A385" t="s">
        <v>0</v>
      </c>
      <c r="B385" s="52" t="str">
        <f>IF(csv!F375="","",csv!T375)</f>
        <v/>
      </c>
      <c r="C385" s="31" t="s">
        <v>0</v>
      </c>
      <c r="D385" s="31" t="str">
        <f>IF(csv!F375="","",csv!F375)</f>
        <v/>
      </c>
      <c r="E385" s="31" t="str">
        <f>IF(csv!E375="","",csv!E375)</f>
        <v/>
      </c>
      <c r="F385" s="31" t="s">
        <v>0</v>
      </c>
      <c r="G385" s="73" t="str">
        <f>IF(csv!M375="","",csv!M375)</f>
        <v/>
      </c>
      <c r="H385" s="73" t="str">
        <f>IF(csv!N375="","",csv!N375)</f>
        <v/>
      </c>
      <c r="I385" s="31" t="s">
        <v>0</v>
      </c>
      <c r="J385" s="31" t="str">
        <f>IF(csv!P375="","",csv!P375)</f>
        <v/>
      </c>
      <c r="K385" s="31" t="str">
        <f>IF(csv!Q375="","",csv!Q375)</f>
        <v/>
      </c>
      <c r="L385" s="31" t="s">
        <v>0</v>
      </c>
      <c r="M385" s="66" t="str">
        <f>IF(csv!R375="","",csv!R375)</f>
        <v/>
      </c>
      <c r="N385" s="47" t="s">
        <v>0</v>
      </c>
      <c r="O385" s="246" t="str">
        <f t="shared" si="468"/>
        <v/>
      </c>
      <c r="P385" s="47"/>
      <c r="Q385" s="52" t="str">
        <f t="shared" si="469"/>
        <v/>
      </c>
      <c r="R385" s="73" t="str">
        <f>IF(Q385="","",IF(COUNTIF(Q$12:Q384,Q385)=0,R384+1,R384))</f>
        <v/>
      </c>
      <c r="S385" s="73" t="str">
        <f t="shared" si="470"/>
        <v/>
      </c>
      <c r="T385" s="73" t="str">
        <f t="shared" si="434"/>
        <v/>
      </c>
      <c r="U385" s="66" t="str">
        <f t="shared" si="435"/>
        <v/>
      </c>
      <c r="V385" s="47" t="s">
        <v>0</v>
      </c>
      <c r="W385" s="222" t="str">
        <f t="shared" si="436"/>
        <v/>
      </c>
      <c r="X385" s="223" t="str">
        <f t="shared" si="437"/>
        <v/>
      </c>
      <c r="Y385" s="47" t="s">
        <v>0</v>
      </c>
      <c r="Z385" s="52" t="str">
        <f t="shared" si="471"/>
        <v/>
      </c>
      <c r="AA385" s="73" t="str">
        <f t="shared" si="438"/>
        <v/>
      </c>
      <c r="AB385" s="31" t="str">
        <f t="shared" si="472"/>
        <v/>
      </c>
      <c r="AC385" s="66" t="str">
        <f>IF(AB385="","",MAX(AC$12:AC384)+1)</f>
        <v/>
      </c>
      <c r="AD385" s="47" t="s">
        <v>0</v>
      </c>
      <c r="AE385" s="125"/>
      <c r="AF385" s="47" t="s">
        <v>0</v>
      </c>
      <c r="AG385" s="19" t="str">
        <f t="shared" si="473"/>
        <v/>
      </c>
      <c r="AH385" s="47" t="s">
        <v>0</v>
      </c>
      <c r="AI385" s="143" t="str">
        <f t="shared" si="474"/>
        <v/>
      </c>
      <c r="AJ385" s="47"/>
      <c r="AK385" s="52" t="str">
        <f t="shared" si="475"/>
        <v/>
      </c>
      <c r="AL385" s="31" t="str">
        <f t="shared" si="476"/>
        <v/>
      </c>
      <c r="AM385" s="73" t="str">
        <f t="shared" si="477"/>
        <v/>
      </c>
      <c r="AN385" s="73" t="str">
        <f t="shared" si="478"/>
        <v/>
      </c>
      <c r="AO385" s="31" t="str">
        <f t="shared" si="439"/>
        <v/>
      </c>
      <c r="AP385" s="66" t="str">
        <f t="shared" si="440"/>
        <v/>
      </c>
      <c r="AQ385" s="47" t="s">
        <v>0</v>
      </c>
      <c r="AR385" s="82" t="str">
        <f t="shared" si="479"/>
        <v/>
      </c>
      <c r="AS385" s="47" t="s">
        <v>0</v>
      </c>
      <c r="AT385" s="19" t="str">
        <f t="shared" si="480"/>
        <v/>
      </c>
      <c r="AU385" s="47" t="s">
        <v>0</v>
      </c>
      <c r="AV385" s="103"/>
      <c r="AW385" s="105"/>
      <c r="AX385" s="47" t="s">
        <v>0</v>
      </c>
      <c r="AY385" s="259" t="str">
        <f t="shared" si="503"/>
        <v/>
      </c>
      <c r="AZ385" s="47" t="s">
        <v>0</v>
      </c>
      <c r="BA385" s="52" t="str">
        <f t="shared" si="433"/>
        <v/>
      </c>
      <c r="BB385" s="73" t="str">
        <f>IF(AV385&amp;AW385="","",MAX(BB$12:BB384)+1)</f>
        <v/>
      </c>
      <c r="BC385" s="272" t="str">
        <f t="shared" si="441"/>
        <v/>
      </c>
      <c r="BD385" s="53" t="str">
        <f>IF(AND(AM385="NEMA",AN385="NEMA",OR(AV385&amp;AW385="",BC385="NEMA")),MAX(BD$12:BD384)+1,"")</f>
        <v/>
      </c>
      <c r="BE385" s="47" t="s">
        <v>0</v>
      </c>
      <c r="BF385" s="52" t="str">
        <f t="shared" si="481"/>
        <v/>
      </c>
      <c r="BG385" s="66" t="str">
        <f t="shared" si="482"/>
        <v/>
      </c>
      <c r="BH385" s="47" t="s">
        <v>0</v>
      </c>
      <c r="BI385" s="52" t="str">
        <f t="shared" si="442"/>
        <v/>
      </c>
      <c r="BJ385" s="31" t="str">
        <f t="shared" si="443"/>
        <v/>
      </c>
      <c r="BK385" s="73" t="str">
        <f t="shared" si="444"/>
        <v/>
      </c>
      <c r="BL385" s="31" t="str" cm="1">
        <f t="array" ref="BL385">IF(BK385="",""&amp;BJ385,IF(BK385="NEMA",BJ385,INDEX(regKlub_naziv,MATCH(INDEX(regKlub_alias_klubId,BK385),regKlub_id,0))))</f>
        <v/>
      </c>
      <c r="BM385" s="31" t="str" cm="1">
        <f t="array" ref="BM385">IFERROR(""&amp;INDEX(regNatjecatelj_klub,DV385),"")</f>
        <v/>
      </c>
      <c r="BN385" s="88" t="str">
        <f t="shared" si="483"/>
        <v/>
      </c>
      <c r="BO385" s="66" t="str">
        <f t="shared" si="484"/>
        <v/>
      </c>
      <c r="BP385" s="47" t="s">
        <v>0</v>
      </c>
      <c r="BQ385" s="52" t="str">
        <f>IF(X385&lt;&gt;"NEMA","",IF(IFERROR(MATCH(W385,W$12:W384,0),0)&lt;&gt;0,"",W385))</f>
        <v/>
      </c>
      <c r="BR385" s="73" t="str">
        <f t="shared" si="485"/>
        <v/>
      </c>
      <c r="BS385" s="31" t="str">
        <f>IF(OR(BR385="",BR385&lt;&gt;"NEMA"),"",MAX(BS$12:BS384)+1)</f>
        <v/>
      </c>
      <c r="BT385" s="66" t="str">
        <f t="shared" si="486"/>
        <v/>
      </c>
      <c r="BU385" s="47" t="s">
        <v>0</v>
      </c>
      <c r="BV385" s="19" t="str">
        <f t="shared" si="487"/>
        <v/>
      </c>
      <c r="BW385" s="47" t="s">
        <v>0</v>
      </c>
      <c r="BX385" s="82" t="str">
        <f>IF(BK385&lt;&gt;"NEMA","",IF(IFERROR(MATCH(BJ385,BJ$12:BJ384,0),0)&lt;&gt;0,"",BJ385))</f>
        <v/>
      </c>
      <c r="BY385" s="47" t="s">
        <v>0</v>
      </c>
      <c r="BZ385" s="125"/>
      <c r="CA385" s="47" t="s">
        <v>0</v>
      </c>
      <c r="CB385" s="58" t="str">
        <f t="shared" si="488"/>
        <v/>
      </c>
      <c r="CC385" s="31" t="str">
        <f t="shared" si="489"/>
        <v/>
      </c>
      <c r="CD385" s="31" t="str">
        <f>IF(CC385="","",MAX(CD$12:CD384)+1)</f>
        <v/>
      </c>
      <c r="CE385" s="31" t="str">
        <f t="shared" si="445"/>
        <v/>
      </c>
      <c r="CF385" s="31" t="str">
        <f t="shared" si="490"/>
        <v/>
      </c>
      <c r="CG385" s="31" t="str">
        <f>IF(BZ385="","",MAX(CG$12:CG384)+1)</f>
        <v/>
      </c>
      <c r="CH385" s="31" t="str">
        <f t="shared" si="491"/>
        <v/>
      </c>
      <c r="CI385" s="66" t="str">
        <f t="shared" si="492"/>
        <v/>
      </c>
      <c r="CJ385" s="47" t="s">
        <v>0</v>
      </c>
      <c r="CK385" s="73" t="str">
        <f t="shared" si="446"/>
        <v/>
      </c>
      <c r="CL385" s="47"/>
      <c r="CM385" s="19" t="str">
        <f t="shared" si="493"/>
        <v/>
      </c>
      <c r="CN385" s="47" t="s">
        <v>0</v>
      </c>
      <c r="CO385" s="143" t="str">
        <f t="shared" si="494"/>
        <v/>
      </c>
      <c r="CP385" s="47" t="s">
        <v>0</v>
      </c>
      <c r="CQ385" s="58" t="str">
        <f t="shared" si="510"/>
        <v/>
      </c>
      <c r="CR385" s="73" t="str">
        <f t="shared" si="511"/>
        <v/>
      </c>
      <c r="CS385" s="229" t="str">
        <f t="shared" si="447"/>
        <v/>
      </c>
      <c r="CT385" s="230" t="str">
        <f t="shared" si="512"/>
        <v/>
      </c>
      <c r="CU385" s="163" t="str">
        <f t="shared" si="448"/>
        <v/>
      </c>
      <c r="CV385" s="47" t="s">
        <v>0</v>
      </c>
      <c r="CW385" s="222" t="str">
        <f t="shared" si="495"/>
        <v xml:space="preserve">
</v>
      </c>
      <c r="CX385" s="223" t="str">
        <f t="shared" si="496"/>
        <v/>
      </c>
      <c r="CY385" s="47" t="s">
        <v>0</v>
      </c>
      <c r="CZ385" s="47"/>
      <c r="DA385" s="47"/>
      <c r="DB385" s="47"/>
      <c r="DC385" s="47" t="s">
        <v>0</v>
      </c>
      <c r="DD385" s="53" t="str">
        <f t="shared" si="504"/>
        <v/>
      </c>
      <c r="DE385" t="s">
        <v>0</v>
      </c>
      <c r="DF385" s="128" t="str">
        <f t="shared" si="505"/>
        <v/>
      </c>
      <c r="DG385" t="s">
        <v>0</v>
      </c>
      <c r="DH385" s="52" t="str">
        <f t="shared" si="506"/>
        <v/>
      </c>
      <c r="DI385" s="66" t="str">
        <f t="shared" si="507"/>
        <v/>
      </c>
      <c r="DJ385" t="s">
        <v>0</v>
      </c>
      <c r="DK385" s="19" t="str">
        <f t="shared" si="508"/>
        <v/>
      </c>
      <c r="DL385" s="47" t="s">
        <v>0</v>
      </c>
      <c r="DM385" s="19" t="str">
        <f t="shared" si="509"/>
        <v/>
      </c>
      <c r="DN385" s="47" t="s">
        <v>0</v>
      </c>
      <c r="DO385" s="52" t="str">
        <f t="shared" si="449"/>
        <v/>
      </c>
      <c r="DP385" s="53" t="str">
        <f t="shared" si="450"/>
        <v/>
      </c>
      <c r="DQ385" s="47" t="s">
        <v>0</v>
      </c>
      <c r="DR385" s="52" t="str">
        <f t="shared" si="451"/>
        <v/>
      </c>
      <c r="DS385" s="53" t="str">
        <f t="shared" si="452"/>
        <v/>
      </c>
      <c r="DT385" s="47" t="s">
        <v>0</v>
      </c>
      <c r="DU385" s="52" t="str">
        <f t="shared" si="453"/>
        <v/>
      </c>
      <c r="DV385" s="53" t="str">
        <f t="shared" si="454"/>
        <v/>
      </c>
      <c r="DW385" s="47" t="s">
        <v>0</v>
      </c>
      <c r="DX385" s="58" t="str">
        <f t="shared" si="497"/>
        <v/>
      </c>
      <c r="DY385" s="53" t="str" cm="1">
        <f t="array" ref="DY385">IF(DX385&lt;&gt;"",INDEX(regNatjecatelj_id,DX385,0),IF(BD385&lt;&gt;"",BD385,""))</f>
        <v/>
      </c>
      <c r="DZ385" s="47" t="s">
        <v>0</v>
      </c>
      <c r="EA385" s="58" t="str">
        <f t="shared" si="455"/>
        <v/>
      </c>
      <c r="EB385" s="73" t="str">
        <f t="shared" si="456"/>
        <v/>
      </c>
      <c r="EC385" s="73" t="str">
        <f t="shared" si="457"/>
        <v/>
      </c>
      <c r="ED385" s="73" t="str">
        <f t="shared" si="458"/>
        <v/>
      </c>
      <c r="EE385" s="66" t="str">
        <f t="shared" si="459"/>
        <v/>
      </c>
      <c r="EF385" s="47" t="s">
        <v>0</v>
      </c>
      <c r="EG385" s="58" t="str">
        <f>IF(AL385="","",MAX(EG$12:EG384)+1)</f>
        <v/>
      </c>
      <c r="EH385" s="73" t="str">
        <f t="shared" si="460"/>
        <v/>
      </c>
      <c r="EI385" s="73" t="str">
        <f t="shared" si="498"/>
        <v/>
      </c>
      <c r="EJ385" s="73" t="str">
        <f t="shared" si="461"/>
        <v/>
      </c>
      <c r="EK385" s="73" t="str">
        <f t="shared" si="462"/>
        <v/>
      </c>
      <c r="EL385" s="73" t="str">
        <f t="shared" si="499"/>
        <v/>
      </c>
      <c r="EM385" s="73" t="str">
        <f t="shared" si="500"/>
        <v/>
      </c>
      <c r="EN385" s="73" t="str">
        <f t="shared" si="463"/>
        <v/>
      </c>
      <c r="EO385" s="73" t="str">
        <f t="shared" si="464"/>
        <v/>
      </c>
      <c r="EP385" s="73" t="str">
        <f t="shared" si="465"/>
        <v/>
      </c>
      <c r="EQ385" s="53" t="str">
        <f t="shared" si="466"/>
        <v/>
      </c>
      <c r="ER385" s="47" t="s">
        <v>0</v>
      </c>
      <c r="ES385" s="19" t="str">
        <f t="shared" si="501"/>
        <v/>
      </c>
      <c r="ET385" s="47" t="s">
        <v>0</v>
      </c>
      <c r="EU385" s="19" t="str">
        <f t="shared" si="502"/>
        <v/>
      </c>
      <c r="EV385" s="47" t="s">
        <v>0</v>
      </c>
      <c r="EW385" s="180" t="str">
        <f t="shared" si="467"/>
        <v/>
      </c>
      <c r="EX385" s="47" t="s">
        <v>0</v>
      </c>
    </row>
    <row r="386" spans="1:154" x14ac:dyDescent="0.25">
      <c r="A386" t="s">
        <v>0</v>
      </c>
      <c r="B386" s="52" t="str">
        <f>IF(csv!F376="","",csv!T376)</f>
        <v/>
      </c>
      <c r="C386" s="31" t="s">
        <v>0</v>
      </c>
      <c r="D386" s="31" t="str">
        <f>IF(csv!F376="","",csv!F376)</f>
        <v/>
      </c>
      <c r="E386" s="31" t="str">
        <f>IF(csv!E376="","",csv!E376)</f>
        <v/>
      </c>
      <c r="F386" s="31" t="s">
        <v>0</v>
      </c>
      <c r="G386" s="73" t="str">
        <f>IF(csv!M376="","",csv!M376)</f>
        <v/>
      </c>
      <c r="H386" s="73" t="str">
        <f>IF(csv!N376="","",csv!N376)</f>
        <v/>
      </c>
      <c r="I386" s="31" t="s">
        <v>0</v>
      </c>
      <c r="J386" s="31" t="str">
        <f>IF(csv!P376="","",csv!P376)</f>
        <v/>
      </c>
      <c r="K386" s="31" t="str">
        <f>IF(csv!Q376="","",csv!Q376)</f>
        <v/>
      </c>
      <c r="L386" s="31" t="s">
        <v>0</v>
      </c>
      <c r="M386" s="66" t="str">
        <f>IF(csv!R376="","",csv!R376)</f>
        <v/>
      </c>
      <c r="N386" s="47" t="s">
        <v>0</v>
      </c>
      <c r="O386" s="246" t="str">
        <f t="shared" si="468"/>
        <v/>
      </c>
      <c r="P386" s="47"/>
      <c r="Q386" s="52" t="str">
        <f t="shared" si="469"/>
        <v/>
      </c>
      <c r="R386" s="73" t="str">
        <f>IF(Q386="","",IF(COUNTIF(Q$12:Q385,Q386)=0,R385+1,R385))</f>
        <v/>
      </c>
      <c r="S386" s="73" t="str">
        <f t="shared" si="470"/>
        <v/>
      </c>
      <c r="T386" s="73" t="str">
        <f t="shared" si="434"/>
        <v/>
      </c>
      <c r="U386" s="66" t="str">
        <f t="shared" si="435"/>
        <v/>
      </c>
      <c r="V386" s="47" t="s">
        <v>0</v>
      </c>
      <c r="W386" s="222" t="str">
        <f t="shared" si="436"/>
        <v/>
      </c>
      <c r="X386" s="223" t="str">
        <f t="shared" si="437"/>
        <v/>
      </c>
      <c r="Y386" s="47" t="s">
        <v>0</v>
      </c>
      <c r="Z386" s="52" t="str">
        <f t="shared" si="471"/>
        <v/>
      </c>
      <c r="AA386" s="73" t="str">
        <f t="shared" si="438"/>
        <v/>
      </c>
      <c r="AB386" s="31" t="str">
        <f t="shared" si="472"/>
        <v/>
      </c>
      <c r="AC386" s="66" t="str">
        <f>IF(AB386="","",MAX(AC$12:AC385)+1)</f>
        <v/>
      </c>
      <c r="AD386" s="47" t="s">
        <v>0</v>
      </c>
      <c r="AE386" s="125"/>
      <c r="AF386" s="47" t="s">
        <v>0</v>
      </c>
      <c r="AG386" s="19" t="str">
        <f t="shared" si="473"/>
        <v/>
      </c>
      <c r="AH386" s="47" t="s">
        <v>0</v>
      </c>
      <c r="AI386" s="143" t="str">
        <f t="shared" si="474"/>
        <v/>
      </c>
      <c r="AJ386" s="47"/>
      <c r="AK386" s="52" t="str">
        <f t="shared" si="475"/>
        <v/>
      </c>
      <c r="AL386" s="31" t="str">
        <f t="shared" si="476"/>
        <v/>
      </c>
      <c r="AM386" s="73" t="str">
        <f t="shared" si="477"/>
        <v/>
      </c>
      <c r="AN386" s="73" t="str">
        <f t="shared" si="478"/>
        <v/>
      </c>
      <c r="AO386" s="31" t="str">
        <f t="shared" si="439"/>
        <v/>
      </c>
      <c r="AP386" s="66" t="str">
        <f t="shared" si="440"/>
        <v/>
      </c>
      <c r="AQ386" s="47" t="s">
        <v>0</v>
      </c>
      <c r="AR386" s="82" t="str">
        <f t="shared" si="479"/>
        <v/>
      </c>
      <c r="AS386" s="47" t="s">
        <v>0</v>
      </c>
      <c r="AT386" s="19" t="str">
        <f t="shared" si="480"/>
        <v/>
      </c>
      <c r="AU386" s="47" t="s">
        <v>0</v>
      </c>
      <c r="AV386" s="103"/>
      <c r="AW386" s="105"/>
      <c r="AX386" s="47" t="s">
        <v>0</v>
      </c>
      <c r="AY386" s="259" t="str">
        <f t="shared" si="503"/>
        <v/>
      </c>
      <c r="AZ386" s="47" t="s">
        <v>0</v>
      </c>
      <c r="BA386" s="52" t="str">
        <f t="shared" si="433"/>
        <v/>
      </c>
      <c r="BB386" s="73" t="str">
        <f>IF(AV386&amp;AW386="","",MAX(BB$12:BB385)+1)</f>
        <v/>
      </c>
      <c r="BC386" s="272" t="str">
        <f t="shared" si="441"/>
        <v/>
      </c>
      <c r="BD386" s="53" t="str">
        <f>IF(AND(AM386="NEMA",AN386="NEMA",OR(AV386&amp;AW386="",BC386="NEMA")),MAX(BD$12:BD385)+1,"")</f>
        <v/>
      </c>
      <c r="BE386" s="47" t="s">
        <v>0</v>
      </c>
      <c r="BF386" s="52" t="str">
        <f t="shared" si="481"/>
        <v/>
      </c>
      <c r="BG386" s="66" t="str">
        <f t="shared" si="482"/>
        <v/>
      </c>
      <c r="BH386" s="47" t="s">
        <v>0</v>
      </c>
      <c r="BI386" s="52" t="str">
        <f t="shared" si="442"/>
        <v/>
      </c>
      <c r="BJ386" s="31" t="str">
        <f t="shared" si="443"/>
        <v/>
      </c>
      <c r="BK386" s="73" t="str">
        <f t="shared" si="444"/>
        <v/>
      </c>
      <c r="BL386" s="31" t="str" cm="1">
        <f t="array" ref="BL386">IF(BK386="",""&amp;BJ386,IF(BK386="NEMA",BJ386,INDEX(regKlub_naziv,MATCH(INDEX(regKlub_alias_klubId,BK386),regKlub_id,0))))</f>
        <v/>
      </c>
      <c r="BM386" s="31" t="str" cm="1">
        <f t="array" ref="BM386">IFERROR(""&amp;INDEX(regNatjecatelj_klub,DV386),"")</f>
        <v/>
      </c>
      <c r="BN386" s="88" t="str">
        <f t="shared" si="483"/>
        <v/>
      </c>
      <c r="BO386" s="66" t="str">
        <f t="shared" si="484"/>
        <v/>
      </c>
      <c r="BP386" s="47" t="s">
        <v>0</v>
      </c>
      <c r="BQ386" s="52" t="str">
        <f>IF(X386&lt;&gt;"NEMA","",IF(IFERROR(MATCH(W386,W$12:W385,0),0)&lt;&gt;0,"",W386))</f>
        <v/>
      </c>
      <c r="BR386" s="73" t="str">
        <f t="shared" si="485"/>
        <v/>
      </c>
      <c r="BS386" s="31" t="str">
        <f>IF(OR(BR386="",BR386&lt;&gt;"NEMA"),"",MAX(BS$12:BS385)+1)</f>
        <v/>
      </c>
      <c r="BT386" s="66" t="str">
        <f t="shared" si="486"/>
        <v/>
      </c>
      <c r="BU386" s="47" t="s">
        <v>0</v>
      </c>
      <c r="BV386" s="19" t="str">
        <f t="shared" si="487"/>
        <v/>
      </c>
      <c r="BW386" s="47" t="s">
        <v>0</v>
      </c>
      <c r="BX386" s="82" t="str">
        <f>IF(BK386&lt;&gt;"NEMA","",IF(IFERROR(MATCH(BJ386,BJ$12:BJ385,0),0)&lt;&gt;0,"",BJ386))</f>
        <v/>
      </c>
      <c r="BY386" s="47" t="s">
        <v>0</v>
      </c>
      <c r="BZ386" s="125"/>
      <c r="CA386" s="47" t="s">
        <v>0</v>
      </c>
      <c r="CB386" s="58" t="str">
        <f t="shared" si="488"/>
        <v/>
      </c>
      <c r="CC386" s="31" t="str">
        <f t="shared" si="489"/>
        <v/>
      </c>
      <c r="CD386" s="31" t="str">
        <f>IF(CC386="","",MAX(CD$12:CD385)+1)</f>
        <v/>
      </c>
      <c r="CE386" s="31" t="str">
        <f t="shared" si="445"/>
        <v/>
      </c>
      <c r="CF386" s="31" t="str">
        <f t="shared" si="490"/>
        <v/>
      </c>
      <c r="CG386" s="31" t="str">
        <f>IF(BZ386="","",MAX(CG$12:CG385)+1)</f>
        <v/>
      </c>
      <c r="CH386" s="31" t="str">
        <f t="shared" si="491"/>
        <v/>
      </c>
      <c r="CI386" s="66" t="str">
        <f t="shared" si="492"/>
        <v/>
      </c>
      <c r="CJ386" s="47" t="s">
        <v>0</v>
      </c>
      <c r="CK386" s="73" t="str">
        <f t="shared" si="446"/>
        <v/>
      </c>
      <c r="CL386" s="47"/>
      <c r="CM386" s="19" t="str">
        <f t="shared" si="493"/>
        <v/>
      </c>
      <c r="CN386" s="47" t="s">
        <v>0</v>
      </c>
      <c r="CO386" s="143" t="str">
        <f t="shared" si="494"/>
        <v/>
      </c>
      <c r="CP386" s="47" t="s">
        <v>0</v>
      </c>
      <c r="CQ386" s="58" t="str">
        <f t="shared" si="510"/>
        <v/>
      </c>
      <c r="CR386" s="73" t="str">
        <f t="shared" si="511"/>
        <v/>
      </c>
      <c r="CS386" s="229" t="str">
        <f t="shared" si="447"/>
        <v/>
      </c>
      <c r="CT386" s="230" t="str">
        <f t="shared" si="512"/>
        <v/>
      </c>
      <c r="CU386" s="163" t="str">
        <f t="shared" si="448"/>
        <v/>
      </c>
      <c r="CV386" s="47" t="s">
        <v>0</v>
      </c>
      <c r="CW386" s="222" t="str">
        <f t="shared" si="495"/>
        <v xml:space="preserve">
</v>
      </c>
      <c r="CX386" s="223" t="str">
        <f t="shared" si="496"/>
        <v/>
      </c>
      <c r="CY386" s="47" t="s">
        <v>0</v>
      </c>
      <c r="CZ386" s="47"/>
      <c r="DA386" s="47"/>
      <c r="DB386" s="47"/>
      <c r="DC386" s="47" t="s">
        <v>0</v>
      </c>
      <c r="DD386" s="53" t="str">
        <f t="shared" si="504"/>
        <v/>
      </c>
      <c r="DE386" t="s">
        <v>0</v>
      </c>
      <c r="DF386" s="128" t="str">
        <f t="shared" si="505"/>
        <v/>
      </c>
      <c r="DG386" t="s">
        <v>0</v>
      </c>
      <c r="DH386" s="52" t="str">
        <f t="shared" si="506"/>
        <v/>
      </c>
      <c r="DI386" s="66" t="str">
        <f t="shared" si="507"/>
        <v/>
      </c>
      <c r="DJ386" t="s">
        <v>0</v>
      </c>
      <c r="DK386" s="19" t="str">
        <f t="shared" si="508"/>
        <v/>
      </c>
      <c r="DL386" s="47" t="s">
        <v>0</v>
      </c>
      <c r="DM386" s="19" t="str">
        <f t="shared" si="509"/>
        <v/>
      </c>
      <c r="DN386" s="47" t="s">
        <v>0</v>
      </c>
      <c r="DO386" s="52" t="str">
        <f t="shared" si="449"/>
        <v/>
      </c>
      <c r="DP386" s="53" t="str">
        <f t="shared" si="450"/>
        <v/>
      </c>
      <c r="DQ386" s="47" t="s">
        <v>0</v>
      </c>
      <c r="DR386" s="52" t="str">
        <f t="shared" si="451"/>
        <v/>
      </c>
      <c r="DS386" s="53" t="str">
        <f t="shared" si="452"/>
        <v/>
      </c>
      <c r="DT386" s="47" t="s">
        <v>0</v>
      </c>
      <c r="DU386" s="52" t="str">
        <f t="shared" si="453"/>
        <v/>
      </c>
      <c r="DV386" s="53" t="str">
        <f t="shared" si="454"/>
        <v/>
      </c>
      <c r="DW386" s="47" t="s">
        <v>0</v>
      </c>
      <c r="DX386" s="58" t="str">
        <f t="shared" si="497"/>
        <v/>
      </c>
      <c r="DY386" s="53" t="str" cm="1">
        <f t="array" ref="DY386">IF(DX386&lt;&gt;"",INDEX(regNatjecatelj_id,DX386,0),IF(BD386&lt;&gt;"",BD386,""))</f>
        <v/>
      </c>
      <c r="DZ386" s="47" t="s">
        <v>0</v>
      </c>
      <c r="EA386" s="58" t="str">
        <f t="shared" si="455"/>
        <v/>
      </c>
      <c r="EB386" s="73" t="str">
        <f t="shared" si="456"/>
        <v/>
      </c>
      <c r="EC386" s="73" t="str">
        <f t="shared" si="457"/>
        <v/>
      </c>
      <c r="ED386" s="73" t="str">
        <f t="shared" si="458"/>
        <v/>
      </c>
      <c r="EE386" s="66" t="str">
        <f t="shared" si="459"/>
        <v/>
      </c>
      <c r="EF386" s="47" t="s">
        <v>0</v>
      </c>
      <c r="EG386" s="58" t="str">
        <f>IF(AL386="","",MAX(EG$12:EG385)+1)</f>
        <v/>
      </c>
      <c r="EH386" s="73" t="str">
        <f t="shared" si="460"/>
        <v/>
      </c>
      <c r="EI386" s="73" t="str">
        <f t="shared" si="498"/>
        <v/>
      </c>
      <c r="EJ386" s="73" t="str">
        <f t="shared" si="461"/>
        <v/>
      </c>
      <c r="EK386" s="73" t="str">
        <f t="shared" si="462"/>
        <v/>
      </c>
      <c r="EL386" s="73" t="str">
        <f t="shared" si="499"/>
        <v/>
      </c>
      <c r="EM386" s="73" t="str">
        <f t="shared" si="500"/>
        <v/>
      </c>
      <c r="EN386" s="73" t="str">
        <f t="shared" si="463"/>
        <v/>
      </c>
      <c r="EO386" s="73" t="str">
        <f t="shared" si="464"/>
        <v/>
      </c>
      <c r="EP386" s="73" t="str">
        <f t="shared" si="465"/>
        <v/>
      </c>
      <c r="EQ386" s="53" t="str">
        <f t="shared" si="466"/>
        <v/>
      </c>
      <c r="ER386" s="47" t="s">
        <v>0</v>
      </c>
      <c r="ES386" s="19" t="str">
        <f t="shared" si="501"/>
        <v/>
      </c>
      <c r="ET386" s="47" t="s">
        <v>0</v>
      </c>
      <c r="EU386" s="19" t="str">
        <f t="shared" si="502"/>
        <v/>
      </c>
      <c r="EV386" s="47" t="s">
        <v>0</v>
      </c>
      <c r="EW386" s="180" t="str">
        <f t="shared" si="467"/>
        <v/>
      </c>
      <c r="EX386" s="47" t="s">
        <v>0</v>
      </c>
    </row>
    <row r="387" spans="1:154" x14ac:dyDescent="0.25">
      <c r="A387" t="s">
        <v>0</v>
      </c>
      <c r="B387" s="52" t="str">
        <f>IF(csv!F377="","",csv!T377)</f>
        <v/>
      </c>
      <c r="C387" s="31" t="s">
        <v>0</v>
      </c>
      <c r="D387" s="31" t="str">
        <f>IF(csv!F377="","",csv!F377)</f>
        <v/>
      </c>
      <c r="E387" s="31" t="str">
        <f>IF(csv!E377="","",csv!E377)</f>
        <v/>
      </c>
      <c r="F387" s="31" t="s">
        <v>0</v>
      </c>
      <c r="G387" s="73" t="str">
        <f>IF(csv!M377="","",csv!M377)</f>
        <v/>
      </c>
      <c r="H387" s="73" t="str">
        <f>IF(csv!N377="","",csv!N377)</f>
        <v/>
      </c>
      <c r="I387" s="31" t="s">
        <v>0</v>
      </c>
      <c r="J387" s="31" t="str">
        <f>IF(csv!P377="","",csv!P377)</f>
        <v/>
      </c>
      <c r="K387" s="31" t="str">
        <f>IF(csv!Q377="","",csv!Q377)</f>
        <v/>
      </c>
      <c r="L387" s="31" t="s">
        <v>0</v>
      </c>
      <c r="M387" s="66" t="str">
        <f>IF(csv!R377="","",csv!R377)</f>
        <v/>
      </c>
      <c r="N387" s="47" t="s">
        <v>0</v>
      </c>
      <c r="O387" s="246" t="str">
        <f t="shared" si="468"/>
        <v/>
      </c>
      <c r="P387" s="47"/>
      <c r="Q387" s="52" t="str">
        <f t="shared" si="469"/>
        <v/>
      </c>
      <c r="R387" s="73" t="str">
        <f>IF(Q387="","",IF(COUNTIF(Q$12:Q386,Q387)=0,R386+1,R386))</f>
        <v/>
      </c>
      <c r="S387" s="73" t="str">
        <f t="shared" si="470"/>
        <v/>
      </c>
      <c r="T387" s="73" t="str">
        <f t="shared" si="434"/>
        <v/>
      </c>
      <c r="U387" s="66" t="str">
        <f t="shared" si="435"/>
        <v/>
      </c>
      <c r="V387" s="47" t="s">
        <v>0</v>
      </c>
      <c r="W387" s="222" t="str">
        <f t="shared" si="436"/>
        <v/>
      </c>
      <c r="X387" s="223" t="str">
        <f t="shared" si="437"/>
        <v/>
      </c>
      <c r="Y387" s="47" t="s">
        <v>0</v>
      </c>
      <c r="Z387" s="52" t="str">
        <f t="shared" si="471"/>
        <v/>
      </c>
      <c r="AA387" s="73" t="str">
        <f t="shared" si="438"/>
        <v/>
      </c>
      <c r="AB387" s="31" t="str">
        <f t="shared" si="472"/>
        <v/>
      </c>
      <c r="AC387" s="66" t="str">
        <f>IF(AB387="","",MAX(AC$12:AC386)+1)</f>
        <v/>
      </c>
      <c r="AD387" s="47" t="s">
        <v>0</v>
      </c>
      <c r="AE387" s="125"/>
      <c r="AF387" s="47" t="s">
        <v>0</v>
      </c>
      <c r="AG387" s="19" t="str">
        <f t="shared" si="473"/>
        <v/>
      </c>
      <c r="AH387" s="47" t="s">
        <v>0</v>
      </c>
      <c r="AI387" s="143" t="str">
        <f t="shared" si="474"/>
        <v/>
      </c>
      <c r="AJ387" s="47"/>
      <c r="AK387" s="52" t="str">
        <f t="shared" si="475"/>
        <v/>
      </c>
      <c r="AL387" s="31" t="str">
        <f t="shared" si="476"/>
        <v/>
      </c>
      <c r="AM387" s="73" t="str">
        <f t="shared" si="477"/>
        <v/>
      </c>
      <c r="AN387" s="73" t="str">
        <f t="shared" si="478"/>
        <v/>
      </c>
      <c r="AO387" s="31" t="str">
        <f t="shared" si="439"/>
        <v/>
      </c>
      <c r="AP387" s="66" t="str">
        <f t="shared" si="440"/>
        <v/>
      </c>
      <c r="AQ387" s="47" t="s">
        <v>0</v>
      </c>
      <c r="AR387" s="82" t="str">
        <f t="shared" si="479"/>
        <v/>
      </c>
      <c r="AS387" s="47" t="s">
        <v>0</v>
      </c>
      <c r="AT387" s="19" t="str">
        <f t="shared" si="480"/>
        <v/>
      </c>
      <c r="AU387" s="47" t="s">
        <v>0</v>
      </c>
      <c r="AV387" s="103"/>
      <c r="AW387" s="105"/>
      <c r="AX387" s="47" t="s">
        <v>0</v>
      </c>
      <c r="AY387" s="259" t="str">
        <f t="shared" si="503"/>
        <v/>
      </c>
      <c r="AZ387" s="47" t="s">
        <v>0</v>
      </c>
      <c r="BA387" s="52" t="str">
        <f t="shared" si="433"/>
        <v/>
      </c>
      <c r="BB387" s="73" t="str">
        <f>IF(AV387&amp;AW387="","",MAX(BB$12:BB386)+1)</f>
        <v/>
      </c>
      <c r="BC387" s="272" t="str">
        <f t="shared" si="441"/>
        <v/>
      </c>
      <c r="BD387" s="53" t="str">
        <f>IF(AND(AM387="NEMA",AN387="NEMA",OR(AV387&amp;AW387="",BC387="NEMA")),MAX(BD$12:BD386)+1,"")</f>
        <v/>
      </c>
      <c r="BE387" s="47" t="s">
        <v>0</v>
      </c>
      <c r="BF387" s="52" t="str">
        <f t="shared" si="481"/>
        <v/>
      </c>
      <c r="BG387" s="66" t="str">
        <f t="shared" si="482"/>
        <v/>
      </c>
      <c r="BH387" s="47" t="s">
        <v>0</v>
      </c>
      <c r="BI387" s="52" t="str">
        <f t="shared" si="442"/>
        <v/>
      </c>
      <c r="BJ387" s="31" t="str">
        <f t="shared" si="443"/>
        <v/>
      </c>
      <c r="BK387" s="73" t="str">
        <f t="shared" si="444"/>
        <v/>
      </c>
      <c r="BL387" s="31" t="str" cm="1">
        <f t="array" ref="BL387">IF(BK387="",""&amp;BJ387,IF(BK387="NEMA",BJ387,INDEX(regKlub_naziv,MATCH(INDEX(regKlub_alias_klubId,BK387),regKlub_id,0))))</f>
        <v/>
      </c>
      <c r="BM387" s="31" t="str" cm="1">
        <f t="array" ref="BM387">IFERROR(""&amp;INDEX(regNatjecatelj_klub,DV387),"")</f>
        <v/>
      </c>
      <c r="BN387" s="88" t="str">
        <f t="shared" si="483"/>
        <v/>
      </c>
      <c r="BO387" s="66" t="str">
        <f t="shared" si="484"/>
        <v/>
      </c>
      <c r="BP387" s="47" t="s">
        <v>0</v>
      </c>
      <c r="BQ387" s="52" t="str">
        <f>IF(X387&lt;&gt;"NEMA","",IF(IFERROR(MATCH(W387,W$12:W386,0),0)&lt;&gt;0,"",W387))</f>
        <v/>
      </c>
      <c r="BR387" s="73" t="str">
        <f t="shared" si="485"/>
        <v/>
      </c>
      <c r="BS387" s="31" t="str">
        <f>IF(OR(BR387="",BR387&lt;&gt;"NEMA"),"",MAX(BS$12:BS386)+1)</f>
        <v/>
      </c>
      <c r="BT387" s="66" t="str">
        <f t="shared" si="486"/>
        <v/>
      </c>
      <c r="BU387" s="47" t="s">
        <v>0</v>
      </c>
      <c r="BV387" s="19" t="str">
        <f t="shared" si="487"/>
        <v/>
      </c>
      <c r="BW387" s="47" t="s">
        <v>0</v>
      </c>
      <c r="BX387" s="82" t="str">
        <f>IF(BK387&lt;&gt;"NEMA","",IF(IFERROR(MATCH(BJ387,BJ$12:BJ386,0),0)&lt;&gt;0,"",BJ387))</f>
        <v/>
      </c>
      <c r="BY387" s="47" t="s">
        <v>0</v>
      </c>
      <c r="BZ387" s="125"/>
      <c r="CA387" s="47" t="s">
        <v>0</v>
      </c>
      <c r="CB387" s="58" t="str">
        <f t="shared" si="488"/>
        <v/>
      </c>
      <c r="CC387" s="31" t="str">
        <f t="shared" si="489"/>
        <v/>
      </c>
      <c r="CD387" s="31" t="str">
        <f>IF(CC387="","",MAX(CD$12:CD386)+1)</f>
        <v/>
      </c>
      <c r="CE387" s="31" t="str">
        <f t="shared" si="445"/>
        <v/>
      </c>
      <c r="CF387" s="31" t="str">
        <f t="shared" si="490"/>
        <v/>
      </c>
      <c r="CG387" s="31" t="str">
        <f>IF(BZ387="","",MAX(CG$12:CG386)+1)</f>
        <v/>
      </c>
      <c r="CH387" s="31" t="str">
        <f t="shared" si="491"/>
        <v/>
      </c>
      <c r="CI387" s="66" t="str">
        <f t="shared" si="492"/>
        <v/>
      </c>
      <c r="CJ387" s="47" t="s">
        <v>0</v>
      </c>
      <c r="CK387" s="73" t="str">
        <f t="shared" si="446"/>
        <v/>
      </c>
      <c r="CL387" s="47"/>
      <c r="CM387" s="19" t="str">
        <f t="shared" si="493"/>
        <v/>
      </c>
      <c r="CN387" s="47" t="s">
        <v>0</v>
      </c>
      <c r="CO387" s="143" t="str">
        <f t="shared" si="494"/>
        <v/>
      </c>
      <c r="CP387" s="47" t="s">
        <v>0</v>
      </c>
      <c r="CQ387" s="58" t="str">
        <f t="shared" si="510"/>
        <v/>
      </c>
      <c r="CR387" s="73" t="str">
        <f t="shared" si="511"/>
        <v/>
      </c>
      <c r="CS387" s="229" t="str">
        <f t="shared" si="447"/>
        <v/>
      </c>
      <c r="CT387" s="230" t="str">
        <f t="shared" si="512"/>
        <v/>
      </c>
      <c r="CU387" s="163" t="str">
        <f t="shared" si="448"/>
        <v/>
      </c>
      <c r="CV387" s="47" t="s">
        <v>0</v>
      </c>
      <c r="CW387" s="222" t="str">
        <f t="shared" si="495"/>
        <v xml:space="preserve">
</v>
      </c>
      <c r="CX387" s="223" t="str">
        <f t="shared" si="496"/>
        <v/>
      </c>
      <c r="CY387" s="47" t="s">
        <v>0</v>
      </c>
      <c r="CZ387" s="47"/>
      <c r="DA387" s="47"/>
      <c r="DB387" s="47"/>
      <c r="DC387" s="47" t="s">
        <v>0</v>
      </c>
      <c r="DD387" s="53" t="str">
        <f t="shared" si="504"/>
        <v/>
      </c>
      <c r="DE387" t="s">
        <v>0</v>
      </c>
      <c r="DF387" s="128" t="str">
        <f t="shared" si="505"/>
        <v/>
      </c>
      <c r="DG387" t="s">
        <v>0</v>
      </c>
      <c r="DH387" s="52" t="str">
        <f t="shared" si="506"/>
        <v/>
      </c>
      <c r="DI387" s="66" t="str">
        <f t="shared" si="507"/>
        <v/>
      </c>
      <c r="DJ387" t="s">
        <v>0</v>
      </c>
      <c r="DK387" s="19" t="str">
        <f t="shared" si="508"/>
        <v/>
      </c>
      <c r="DL387" s="47" t="s">
        <v>0</v>
      </c>
      <c r="DM387" s="19" t="str">
        <f t="shared" si="509"/>
        <v/>
      </c>
      <c r="DN387" s="47" t="s">
        <v>0</v>
      </c>
      <c r="DO387" s="52" t="str">
        <f t="shared" si="449"/>
        <v/>
      </c>
      <c r="DP387" s="53" t="str">
        <f t="shared" si="450"/>
        <v/>
      </c>
      <c r="DQ387" s="47" t="s">
        <v>0</v>
      </c>
      <c r="DR387" s="52" t="str">
        <f t="shared" si="451"/>
        <v/>
      </c>
      <c r="DS387" s="53" t="str">
        <f t="shared" si="452"/>
        <v/>
      </c>
      <c r="DT387" s="47" t="s">
        <v>0</v>
      </c>
      <c r="DU387" s="52" t="str">
        <f t="shared" si="453"/>
        <v/>
      </c>
      <c r="DV387" s="53" t="str">
        <f t="shared" si="454"/>
        <v/>
      </c>
      <c r="DW387" s="47" t="s">
        <v>0</v>
      </c>
      <c r="DX387" s="58" t="str">
        <f t="shared" si="497"/>
        <v/>
      </c>
      <c r="DY387" s="53" t="str" cm="1">
        <f t="array" ref="DY387">IF(DX387&lt;&gt;"",INDEX(regNatjecatelj_id,DX387,0),IF(BD387&lt;&gt;"",BD387,""))</f>
        <v/>
      </c>
      <c r="DZ387" s="47" t="s">
        <v>0</v>
      </c>
      <c r="EA387" s="58" t="str">
        <f t="shared" si="455"/>
        <v/>
      </c>
      <c r="EB387" s="73" t="str">
        <f t="shared" si="456"/>
        <v/>
      </c>
      <c r="EC387" s="73" t="str">
        <f t="shared" si="457"/>
        <v/>
      </c>
      <c r="ED387" s="73" t="str">
        <f t="shared" si="458"/>
        <v/>
      </c>
      <c r="EE387" s="66" t="str">
        <f t="shared" si="459"/>
        <v/>
      </c>
      <c r="EF387" s="47" t="s">
        <v>0</v>
      </c>
      <c r="EG387" s="58" t="str">
        <f>IF(AL387="","",MAX(EG$12:EG386)+1)</f>
        <v/>
      </c>
      <c r="EH387" s="73" t="str">
        <f t="shared" si="460"/>
        <v/>
      </c>
      <c r="EI387" s="73" t="str">
        <f t="shared" si="498"/>
        <v/>
      </c>
      <c r="EJ387" s="73" t="str">
        <f t="shared" si="461"/>
        <v/>
      </c>
      <c r="EK387" s="73" t="str">
        <f t="shared" si="462"/>
        <v/>
      </c>
      <c r="EL387" s="73" t="str">
        <f t="shared" si="499"/>
        <v/>
      </c>
      <c r="EM387" s="73" t="str">
        <f t="shared" si="500"/>
        <v/>
      </c>
      <c r="EN387" s="73" t="str">
        <f t="shared" si="463"/>
        <v/>
      </c>
      <c r="EO387" s="73" t="str">
        <f t="shared" si="464"/>
        <v/>
      </c>
      <c r="EP387" s="73" t="str">
        <f t="shared" si="465"/>
        <v/>
      </c>
      <c r="EQ387" s="53" t="str">
        <f t="shared" si="466"/>
        <v/>
      </c>
      <c r="ER387" s="47" t="s">
        <v>0</v>
      </c>
      <c r="ES387" s="19" t="str">
        <f t="shared" si="501"/>
        <v/>
      </c>
      <c r="ET387" s="47" t="s">
        <v>0</v>
      </c>
      <c r="EU387" s="19" t="str">
        <f t="shared" si="502"/>
        <v/>
      </c>
      <c r="EV387" s="47" t="s">
        <v>0</v>
      </c>
      <c r="EW387" s="180" t="str">
        <f t="shared" si="467"/>
        <v/>
      </c>
      <c r="EX387" s="47" t="s">
        <v>0</v>
      </c>
    </row>
    <row r="388" spans="1:154" x14ac:dyDescent="0.25">
      <c r="A388" t="s">
        <v>0</v>
      </c>
      <c r="B388" s="52" t="str">
        <f>IF(csv!F378="","",csv!T378)</f>
        <v/>
      </c>
      <c r="C388" s="31" t="s">
        <v>0</v>
      </c>
      <c r="D388" s="31" t="str">
        <f>IF(csv!F378="","",csv!F378)</f>
        <v/>
      </c>
      <c r="E388" s="31" t="str">
        <f>IF(csv!E378="","",csv!E378)</f>
        <v/>
      </c>
      <c r="F388" s="31" t="s">
        <v>0</v>
      </c>
      <c r="G388" s="73" t="str">
        <f>IF(csv!M378="","",csv!M378)</f>
        <v/>
      </c>
      <c r="H388" s="73" t="str">
        <f>IF(csv!N378="","",csv!N378)</f>
        <v/>
      </c>
      <c r="I388" s="31" t="s">
        <v>0</v>
      </c>
      <c r="J388" s="31" t="str">
        <f>IF(csv!P378="","",csv!P378)</f>
        <v/>
      </c>
      <c r="K388" s="31" t="str">
        <f>IF(csv!Q378="","",csv!Q378)</f>
        <v/>
      </c>
      <c r="L388" s="31" t="s">
        <v>0</v>
      </c>
      <c r="M388" s="66" t="str">
        <f>IF(csv!R378="","",csv!R378)</f>
        <v/>
      </c>
      <c r="N388" s="47" t="s">
        <v>0</v>
      </c>
      <c r="O388" s="246" t="str">
        <f t="shared" si="468"/>
        <v/>
      </c>
      <c r="P388" s="47"/>
      <c r="Q388" s="52" t="str">
        <f t="shared" si="469"/>
        <v/>
      </c>
      <c r="R388" s="73" t="str">
        <f>IF(Q388="","",IF(COUNTIF(Q$12:Q387,Q388)=0,R387+1,R387))</f>
        <v/>
      </c>
      <c r="S388" s="73" t="str">
        <f t="shared" si="470"/>
        <v/>
      </c>
      <c r="T388" s="73" t="str">
        <f t="shared" si="434"/>
        <v/>
      </c>
      <c r="U388" s="66" t="str">
        <f t="shared" si="435"/>
        <v/>
      </c>
      <c r="V388" s="47" t="s">
        <v>0</v>
      </c>
      <c r="W388" s="222" t="str">
        <f t="shared" si="436"/>
        <v/>
      </c>
      <c r="X388" s="223" t="str">
        <f t="shared" si="437"/>
        <v/>
      </c>
      <c r="Y388" s="47" t="s">
        <v>0</v>
      </c>
      <c r="Z388" s="52" t="str">
        <f t="shared" si="471"/>
        <v/>
      </c>
      <c r="AA388" s="73" t="str">
        <f t="shared" si="438"/>
        <v/>
      </c>
      <c r="AB388" s="31" t="str">
        <f t="shared" si="472"/>
        <v/>
      </c>
      <c r="AC388" s="66" t="str">
        <f>IF(AB388="","",MAX(AC$12:AC387)+1)</f>
        <v/>
      </c>
      <c r="AD388" s="47" t="s">
        <v>0</v>
      </c>
      <c r="AE388" s="125"/>
      <c r="AF388" s="47" t="s">
        <v>0</v>
      </c>
      <c r="AG388" s="19" t="str">
        <f t="shared" si="473"/>
        <v/>
      </c>
      <c r="AH388" s="47" t="s">
        <v>0</v>
      </c>
      <c r="AI388" s="143" t="str">
        <f t="shared" si="474"/>
        <v/>
      </c>
      <c r="AJ388" s="47"/>
      <c r="AK388" s="52" t="str">
        <f t="shared" si="475"/>
        <v/>
      </c>
      <c r="AL388" s="31" t="str">
        <f t="shared" si="476"/>
        <v/>
      </c>
      <c r="AM388" s="73" t="str">
        <f t="shared" si="477"/>
        <v/>
      </c>
      <c r="AN388" s="73" t="str">
        <f t="shared" si="478"/>
        <v/>
      </c>
      <c r="AO388" s="31" t="str">
        <f t="shared" si="439"/>
        <v/>
      </c>
      <c r="AP388" s="66" t="str">
        <f t="shared" si="440"/>
        <v/>
      </c>
      <c r="AQ388" s="47" t="s">
        <v>0</v>
      </c>
      <c r="AR388" s="82" t="str">
        <f t="shared" si="479"/>
        <v/>
      </c>
      <c r="AS388" s="47" t="s">
        <v>0</v>
      </c>
      <c r="AT388" s="19" t="str">
        <f t="shared" si="480"/>
        <v/>
      </c>
      <c r="AU388" s="47" t="s">
        <v>0</v>
      </c>
      <c r="AV388" s="103"/>
      <c r="AW388" s="105"/>
      <c r="AX388" s="47" t="s">
        <v>0</v>
      </c>
      <c r="AY388" s="259" t="str">
        <f t="shared" si="503"/>
        <v/>
      </c>
      <c r="AZ388" s="47" t="s">
        <v>0</v>
      </c>
      <c r="BA388" s="52" t="str">
        <f t="shared" si="433"/>
        <v/>
      </c>
      <c r="BB388" s="73" t="str">
        <f>IF(AV388&amp;AW388="","",MAX(BB$12:BB387)+1)</f>
        <v/>
      </c>
      <c r="BC388" s="272" t="str">
        <f t="shared" si="441"/>
        <v/>
      </c>
      <c r="BD388" s="53" t="str">
        <f>IF(AND(AM388="NEMA",AN388="NEMA",OR(AV388&amp;AW388="",BC388="NEMA")),MAX(BD$12:BD387)+1,"")</f>
        <v/>
      </c>
      <c r="BE388" s="47" t="s">
        <v>0</v>
      </c>
      <c r="BF388" s="52" t="str">
        <f t="shared" si="481"/>
        <v/>
      </c>
      <c r="BG388" s="66" t="str">
        <f t="shared" si="482"/>
        <v/>
      </c>
      <c r="BH388" s="47" t="s">
        <v>0</v>
      </c>
      <c r="BI388" s="52" t="str">
        <f t="shared" si="442"/>
        <v/>
      </c>
      <c r="BJ388" s="31" t="str">
        <f t="shared" si="443"/>
        <v/>
      </c>
      <c r="BK388" s="73" t="str">
        <f t="shared" si="444"/>
        <v/>
      </c>
      <c r="BL388" s="31" t="str" cm="1">
        <f t="array" ref="BL388">IF(BK388="",""&amp;BJ388,IF(BK388="NEMA",BJ388,INDEX(regKlub_naziv,MATCH(INDEX(regKlub_alias_klubId,BK388),regKlub_id,0))))</f>
        <v/>
      </c>
      <c r="BM388" s="31" t="str" cm="1">
        <f t="array" ref="BM388">IFERROR(""&amp;INDEX(regNatjecatelj_klub,DV388),"")</f>
        <v/>
      </c>
      <c r="BN388" s="88" t="str">
        <f t="shared" si="483"/>
        <v/>
      </c>
      <c r="BO388" s="66" t="str">
        <f t="shared" si="484"/>
        <v/>
      </c>
      <c r="BP388" s="47" t="s">
        <v>0</v>
      </c>
      <c r="BQ388" s="52" t="str">
        <f>IF(X388&lt;&gt;"NEMA","",IF(IFERROR(MATCH(W388,W$12:W387,0),0)&lt;&gt;0,"",W388))</f>
        <v/>
      </c>
      <c r="BR388" s="73" t="str">
        <f t="shared" si="485"/>
        <v/>
      </c>
      <c r="BS388" s="31" t="str">
        <f>IF(OR(BR388="",BR388&lt;&gt;"NEMA"),"",MAX(BS$12:BS387)+1)</f>
        <v/>
      </c>
      <c r="BT388" s="66" t="str">
        <f t="shared" si="486"/>
        <v/>
      </c>
      <c r="BU388" s="47" t="s">
        <v>0</v>
      </c>
      <c r="BV388" s="19" t="str">
        <f t="shared" si="487"/>
        <v/>
      </c>
      <c r="BW388" s="47" t="s">
        <v>0</v>
      </c>
      <c r="BX388" s="82" t="str">
        <f>IF(BK388&lt;&gt;"NEMA","",IF(IFERROR(MATCH(BJ388,BJ$12:BJ387,0),0)&lt;&gt;0,"",BJ388))</f>
        <v/>
      </c>
      <c r="BY388" s="47" t="s">
        <v>0</v>
      </c>
      <c r="BZ388" s="125"/>
      <c r="CA388" s="47" t="s">
        <v>0</v>
      </c>
      <c r="CB388" s="58" t="str">
        <f t="shared" si="488"/>
        <v/>
      </c>
      <c r="CC388" s="31" t="str">
        <f t="shared" si="489"/>
        <v/>
      </c>
      <c r="CD388" s="31" t="str">
        <f>IF(CC388="","",MAX(CD$12:CD387)+1)</f>
        <v/>
      </c>
      <c r="CE388" s="31" t="str">
        <f t="shared" si="445"/>
        <v/>
      </c>
      <c r="CF388" s="31" t="str">
        <f t="shared" si="490"/>
        <v/>
      </c>
      <c r="CG388" s="31" t="str">
        <f>IF(BZ388="","",MAX(CG$12:CG387)+1)</f>
        <v/>
      </c>
      <c r="CH388" s="31" t="str">
        <f t="shared" si="491"/>
        <v/>
      </c>
      <c r="CI388" s="66" t="str">
        <f t="shared" si="492"/>
        <v/>
      </c>
      <c r="CJ388" s="47" t="s">
        <v>0</v>
      </c>
      <c r="CK388" s="73" t="str">
        <f t="shared" si="446"/>
        <v/>
      </c>
      <c r="CL388" s="47"/>
      <c r="CM388" s="19" t="str">
        <f t="shared" si="493"/>
        <v/>
      </c>
      <c r="CN388" s="47" t="s">
        <v>0</v>
      </c>
      <c r="CO388" s="143" t="str">
        <f t="shared" si="494"/>
        <v/>
      </c>
      <c r="CP388" s="47" t="s">
        <v>0</v>
      </c>
      <c r="CQ388" s="58" t="str">
        <f t="shared" si="510"/>
        <v/>
      </c>
      <c r="CR388" s="73" t="str">
        <f t="shared" si="511"/>
        <v/>
      </c>
      <c r="CS388" s="229" t="str">
        <f t="shared" si="447"/>
        <v/>
      </c>
      <c r="CT388" s="230" t="str">
        <f t="shared" si="512"/>
        <v/>
      </c>
      <c r="CU388" s="163" t="str">
        <f t="shared" si="448"/>
        <v/>
      </c>
      <c r="CV388" s="47" t="s">
        <v>0</v>
      </c>
      <c r="CW388" s="222" t="str">
        <f t="shared" si="495"/>
        <v xml:space="preserve">
</v>
      </c>
      <c r="CX388" s="223" t="str">
        <f t="shared" si="496"/>
        <v/>
      </c>
      <c r="CY388" s="47" t="s">
        <v>0</v>
      </c>
      <c r="CZ388" s="47"/>
      <c r="DA388" s="47"/>
      <c r="DB388" s="47"/>
      <c r="DC388" s="47" t="s">
        <v>0</v>
      </c>
      <c r="DD388" s="53" t="str">
        <f t="shared" si="504"/>
        <v/>
      </c>
      <c r="DE388" t="s">
        <v>0</v>
      </c>
      <c r="DF388" s="128" t="str">
        <f t="shared" si="505"/>
        <v/>
      </c>
      <c r="DG388" t="s">
        <v>0</v>
      </c>
      <c r="DH388" s="52" t="str">
        <f t="shared" si="506"/>
        <v/>
      </c>
      <c r="DI388" s="66" t="str">
        <f t="shared" si="507"/>
        <v/>
      </c>
      <c r="DJ388" t="s">
        <v>0</v>
      </c>
      <c r="DK388" s="19" t="str">
        <f t="shared" si="508"/>
        <v/>
      </c>
      <c r="DL388" s="47" t="s">
        <v>0</v>
      </c>
      <c r="DM388" s="19" t="str">
        <f t="shared" si="509"/>
        <v/>
      </c>
      <c r="DN388" s="47" t="s">
        <v>0</v>
      </c>
      <c r="DO388" s="52" t="str">
        <f t="shared" si="449"/>
        <v/>
      </c>
      <c r="DP388" s="53" t="str">
        <f t="shared" si="450"/>
        <v/>
      </c>
      <c r="DQ388" s="47" t="s">
        <v>0</v>
      </c>
      <c r="DR388" s="52" t="str">
        <f t="shared" si="451"/>
        <v/>
      </c>
      <c r="DS388" s="53" t="str">
        <f t="shared" si="452"/>
        <v/>
      </c>
      <c r="DT388" s="47" t="s">
        <v>0</v>
      </c>
      <c r="DU388" s="52" t="str">
        <f t="shared" si="453"/>
        <v/>
      </c>
      <c r="DV388" s="53" t="str">
        <f t="shared" si="454"/>
        <v/>
      </c>
      <c r="DW388" s="47" t="s">
        <v>0</v>
      </c>
      <c r="DX388" s="58" t="str">
        <f t="shared" si="497"/>
        <v/>
      </c>
      <c r="DY388" s="53" t="str" cm="1">
        <f t="array" ref="DY388">IF(DX388&lt;&gt;"",INDEX(regNatjecatelj_id,DX388,0),IF(BD388&lt;&gt;"",BD388,""))</f>
        <v/>
      </c>
      <c r="DZ388" s="47" t="s">
        <v>0</v>
      </c>
      <c r="EA388" s="58" t="str">
        <f t="shared" si="455"/>
        <v/>
      </c>
      <c r="EB388" s="73" t="str">
        <f t="shared" si="456"/>
        <v/>
      </c>
      <c r="EC388" s="73" t="str">
        <f t="shared" si="457"/>
        <v/>
      </c>
      <c r="ED388" s="73" t="str">
        <f t="shared" si="458"/>
        <v/>
      </c>
      <c r="EE388" s="66" t="str">
        <f t="shared" si="459"/>
        <v/>
      </c>
      <c r="EF388" s="47" t="s">
        <v>0</v>
      </c>
      <c r="EG388" s="58" t="str">
        <f>IF(AL388="","",MAX(EG$12:EG387)+1)</f>
        <v/>
      </c>
      <c r="EH388" s="73" t="str">
        <f t="shared" si="460"/>
        <v/>
      </c>
      <c r="EI388" s="73" t="str">
        <f t="shared" si="498"/>
        <v/>
      </c>
      <c r="EJ388" s="73" t="str">
        <f t="shared" si="461"/>
        <v/>
      </c>
      <c r="EK388" s="73" t="str">
        <f t="shared" si="462"/>
        <v/>
      </c>
      <c r="EL388" s="73" t="str">
        <f t="shared" si="499"/>
        <v/>
      </c>
      <c r="EM388" s="73" t="str">
        <f t="shared" si="500"/>
        <v/>
      </c>
      <c r="EN388" s="73" t="str">
        <f t="shared" si="463"/>
        <v/>
      </c>
      <c r="EO388" s="73" t="str">
        <f t="shared" si="464"/>
        <v/>
      </c>
      <c r="EP388" s="73" t="str">
        <f t="shared" si="465"/>
        <v/>
      </c>
      <c r="EQ388" s="53" t="str">
        <f t="shared" si="466"/>
        <v/>
      </c>
      <c r="ER388" s="47" t="s">
        <v>0</v>
      </c>
      <c r="ES388" s="19" t="str">
        <f t="shared" si="501"/>
        <v/>
      </c>
      <c r="ET388" s="47" t="s">
        <v>0</v>
      </c>
      <c r="EU388" s="19" t="str">
        <f t="shared" si="502"/>
        <v/>
      </c>
      <c r="EV388" s="47" t="s">
        <v>0</v>
      </c>
      <c r="EW388" s="180" t="str">
        <f t="shared" si="467"/>
        <v/>
      </c>
      <c r="EX388" s="47" t="s">
        <v>0</v>
      </c>
    </row>
    <row r="389" spans="1:154" x14ac:dyDescent="0.25">
      <c r="A389" t="s">
        <v>0</v>
      </c>
      <c r="B389" s="52" t="str">
        <f>IF(csv!F379="","",csv!T379)</f>
        <v/>
      </c>
      <c r="C389" s="31" t="s">
        <v>0</v>
      </c>
      <c r="D389" s="31" t="str">
        <f>IF(csv!F379="","",csv!F379)</f>
        <v/>
      </c>
      <c r="E389" s="31" t="str">
        <f>IF(csv!E379="","",csv!E379)</f>
        <v/>
      </c>
      <c r="F389" s="31" t="s">
        <v>0</v>
      </c>
      <c r="G389" s="73" t="str">
        <f>IF(csv!M379="","",csv!M379)</f>
        <v/>
      </c>
      <c r="H389" s="73" t="str">
        <f>IF(csv!N379="","",csv!N379)</f>
        <v/>
      </c>
      <c r="I389" s="31" t="s">
        <v>0</v>
      </c>
      <c r="J389" s="31" t="str">
        <f>IF(csv!P379="","",csv!P379)</f>
        <v/>
      </c>
      <c r="K389" s="31" t="str">
        <f>IF(csv!Q379="","",csv!Q379)</f>
        <v/>
      </c>
      <c r="L389" s="31" t="s">
        <v>0</v>
      </c>
      <c r="M389" s="66" t="str">
        <f>IF(csv!R379="","",csv!R379)</f>
        <v/>
      </c>
      <c r="N389" s="47" t="s">
        <v>0</v>
      </c>
      <c r="O389" s="246" t="str">
        <f t="shared" si="468"/>
        <v/>
      </c>
      <c r="P389" s="47"/>
      <c r="Q389" s="52" t="str">
        <f t="shared" si="469"/>
        <v/>
      </c>
      <c r="R389" s="73" t="str">
        <f>IF(Q389="","",IF(COUNTIF(Q$12:Q388,Q389)=0,R388+1,R388))</f>
        <v/>
      </c>
      <c r="S389" s="73" t="str">
        <f t="shared" si="470"/>
        <v/>
      </c>
      <c r="T389" s="73" t="str">
        <f t="shared" si="434"/>
        <v/>
      </c>
      <c r="U389" s="66" t="str">
        <f t="shared" si="435"/>
        <v/>
      </c>
      <c r="V389" s="47" t="s">
        <v>0</v>
      </c>
      <c r="W389" s="222" t="str">
        <f t="shared" si="436"/>
        <v/>
      </c>
      <c r="X389" s="223" t="str">
        <f t="shared" si="437"/>
        <v/>
      </c>
      <c r="Y389" s="47" t="s">
        <v>0</v>
      </c>
      <c r="Z389" s="52" t="str">
        <f t="shared" si="471"/>
        <v/>
      </c>
      <c r="AA389" s="73" t="str">
        <f t="shared" si="438"/>
        <v/>
      </c>
      <c r="AB389" s="31" t="str">
        <f t="shared" si="472"/>
        <v/>
      </c>
      <c r="AC389" s="66" t="str">
        <f>IF(AB389="","",MAX(AC$12:AC388)+1)</f>
        <v/>
      </c>
      <c r="AD389" s="47" t="s">
        <v>0</v>
      </c>
      <c r="AE389" s="125"/>
      <c r="AF389" s="47" t="s">
        <v>0</v>
      </c>
      <c r="AG389" s="19" t="str">
        <f t="shared" si="473"/>
        <v/>
      </c>
      <c r="AH389" s="47" t="s">
        <v>0</v>
      </c>
      <c r="AI389" s="143" t="str">
        <f t="shared" si="474"/>
        <v/>
      </c>
      <c r="AJ389" s="47"/>
      <c r="AK389" s="52" t="str">
        <f t="shared" si="475"/>
        <v/>
      </c>
      <c r="AL389" s="31" t="str">
        <f t="shared" si="476"/>
        <v/>
      </c>
      <c r="AM389" s="73" t="str">
        <f t="shared" si="477"/>
        <v/>
      </c>
      <c r="AN389" s="73" t="str">
        <f t="shared" si="478"/>
        <v/>
      </c>
      <c r="AO389" s="31" t="str">
        <f t="shared" si="439"/>
        <v/>
      </c>
      <c r="AP389" s="66" t="str">
        <f t="shared" si="440"/>
        <v/>
      </c>
      <c r="AQ389" s="47" t="s">
        <v>0</v>
      </c>
      <c r="AR389" s="82" t="str">
        <f t="shared" si="479"/>
        <v/>
      </c>
      <c r="AS389" s="47" t="s">
        <v>0</v>
      </c>
      <c r="AT389" s="19" t="str">
        <f t="shared" si="480"/>
        <v/>
      </c>
      <c r="AU389" s="47" t="s">
        <v>0</v>
      </c>
      <c r="AV389" s="103"/>
      <c r="AW389" s="105"/>
      <c r="AX389" s="47" t="s">
        <v>0</v>
      </c>
      <c r="AY389" s="259" t="str">
        <f t="shared" si="503"/>
        <v/>
      </c>
      <c r="AZ389" s="47" t="s">
        <v>0</v>
      </c>
      <c r="BA389" s="52" t="str">
        <f t="shared" si="433"/>
        <v/>
      </c>
      <c r="BB389" s="73" t="str">
        <f>IF(AV389&amp;AW389="","",MAX(BB$12:BB388)+1)</f>
        <v/>
      </c>
      <c r="BC389" s="272" t="str">
        <f t="shared" si="441"/>
        <v/>
      </c>
      <c r="BD389" s="53" t="str">
        <f>IF(AND(AM389="NEMA",AN389="NEMA",OR(AV389&amp;AW389="",BC389="NEMA")),MAX(BD$12:BD388)+1,"")</f>
        <v/>
      </c>
      <c r="BE389" s="47" t="s">
        <v>0</v>
      </c>
      <c r="BF389" s="52" t="str">
        <f t="shared" si="481"/>
        <v/>
      </c>
      <c r="BG389" s="66" t="str">
        <f t="shared" si="482"/>
        <v/>
      </c>
      <c r="BH389" s="47" t="s">
        <v>0</v>
      </c>
      <c r="BI389" s="52" t="str">
        <f t="shared" si="442"/>
        <v/>
      </c>
      <c r="BJ389" s="31" t="str">
        <f t="shared" si="443"/>
        <v/>
      </c>
      <c r="BK389" s="73" t="str">
        <f t="shared" si="444"/>
        <v/>
      </c>
      <c r="BL389" s="31" t="str" cm="1">
        <f t="array" ref="BL389">IF(BK389="",""&amp;BJ389,IF(BK389="NEMA",BJ389,INDEX(regKlub_naziv,MATCH(INDEX(regKlub_alias_klubId,BK389),regKlub_id,0))))</f>
        <v/>
      </c>
      <c r="BM389" s="31" t="str" cm="1">
        <f t="array" ref="BM389">IFERROR(""&amp;INDEX(regNatjecatelj_klub,DV389),"")</f>
        <v/>
      </c>
      <c r="BN389" s="88" t="str">
        <f t="shared" si="483"/>
        <v/>
      </c>
      <c r="BO389" s="66" t="str">
        <f t="shared" si="484"/>
        <v/>
      </c>
      <c r="BP389" s="47" t="s">
        <v>0</v>
      </c>
      <c r="BQ389" s="52" t="str">
        <f>IF(X389&lt;&gt;"NEMA","",IF(IFERROR(MATCH(W389,W$12:W388,0),0)&lt;&gt;0,"",W389))</f>
        <v/>
      </c>
      <c r="BR389" s="73" t="str">
        <f t="shared" si="485"/>
        <v/>
      </c>
      <c r="BS389" s="31" t="str">
        <f>IF(OR(BR389="",BR389&lt;&gt;"NEMA"),"",MAX(BS$12:BS388)+1)</f>
        <v/>
      </c>
      <c r="BT389" s="66" t="str">
        <f t="shared" si="486"/>
        <v/>
      </c>
      <c r="BU389" s="47" t="s">
        <v>0</v>
      </c>
      <c r="BV389" s="19" t="str">
        <f t="shared" si="487"/>
        <v/>
      </c>
      <c r="BW389" s="47" t="s">
        <v>0</v>
      </c>
      <c r="BX389" s="82" t="str">
        <f>IF(BK389&lt;&gt;"NEMA","",IF(IFERROR(MATCH(BJ389,BJ$12:BJ388,0),0)&lt;&gt;0,"",BJ389))</f>
        <v/>
      </c>
      <c r="BY389" s="47" t="s">
        <v>0</v>
      </c>
      <c r="BZ389" s="125"/>
      <c r="CA389" s="47" t="s">
        <v>0</v>
      </c>
      <c r="CB389" s="58" t="str">
        <f t="shared" si="488"/>
        <v/>
      </c>
      <c r="CC389" s="31" t="str">
        <f t="shared" si="489"/>
        <v/>
      </c>
      <c r="CD389" s="31" t="str">
        <f>IF(CC389="","",MAX(CD$12:CD388)+1)</f>
        <v/>
      </c>
      <c r="CE389" s="31" t="str">
        <f t="shared" si="445"/>
        <v/>
      </c>
      <c r="CF389" s="31" t="str">
        <f t="shared" si="490"/>
        <v/>
      </c>
      <c r="CG389" s="31" t="str">
        <f>IF(BZ389="","",MAX(CG$12:CG388)+1)</f>
        <v/>
      </c>
      <c r="CH389" s="31" t="str">
        <f t="shared" si="491"/>
        <v/>
      </c>
      <c r="CI389" s="66" t="str">
        <f t="shared" si="492"/>
        <v/>
      </c>
      <c r="CJ389" s="47" t="s">
        <v>0</v>
      </c>
      <c r="CK389" s="73" t="str">
        <f t="shared" si="446"/>
        <v/>
      </c>
      <c r="CL389" s="47"/>
      <c r="CM389" s="19" t="str">
        <f t="shared" si="493"/>
        <v/>
      </c>
      <c r="CN389" s="47" t="s">
        <v>0</v>
      </c>
      <c r="CO389" s="143" t="str">
        <f t="shared" si="494"/>
        <v/>
      </c>
      <c r="CP389" s="47" t="s">
        <v>0</v>
      </c>
      <c r="CQ389" s="58" t="str">
        <f t="shared" si="510"/>
        <v/>
      </c>
      <c r="CR389" s="73" t="str">
        <f t="shared" si="511"/>
        <v/>
      </c>
      <c r="CS389" s="229" t="str">
        <f t="shared" si="447"/>
        <v/>
      </c>
      <c r="CT389" s="230" t="str">
        <f t="shared" si="512"/>
        <v/>
      </c>
      <c r="CU389" s="163" t="str">
        <f t="shared" si="448"/>
        <v/>
      </c>
      <c r="CV389" s="47" t="s">
        <v>0</v>
      </c>
      <c r="CW389" s="222" t="str">
        <f t="shared" si="495"/>
        <v xml:space="preserve">
</v>
      </c>
      <c r="CX389" s="223" t="str">
        <f t="shared" si="496"/>
        <v/>
      </c>
      <c r="CY389" s="47" t="s">
        <v>0</v>
      </c>
      <c r="CZ389" s="47"/>
      <c r="DA389" s="47"/>
      <c r="DB389" s="47"/>
      <c r="DC389" s="47" t="s">
        <v>0</v>
      </c>
      <c r="DD389" s="53" t="str">
        <f t="shared" si="504"/>
        <v/>
      </c>
      <c r="DE389" t="s">
        <v>0</v>
      </c>
      <c r="DF389" s="128" t="str">
        <f t="shared" si="505"/>
        <v/>
      </c>
      <c r="DG389" t="s">
        <v>0</v>
      </c>
      <c r="DH389" s="52" t="str">
        <f t="shared" si="506"/>
        <v/>
      </c>
      <c r="DI389" s="66" t="str">
        <f t="shared" si="507"/>
        <v/>
      </c>
      <c r="DJ389" t="s">
        <v>0</v>
      </c>
      <c r="DK389" s="19" t="str">
        <f t="shared" si="508"/>
        <v/>
      </c>
      <c r="DL389" s="47" t="s">
        <v>0</v>
      </c>
      <c r="DM389" s="19" t="str">
        <f t="shared" si="509"/>
        <v/>
      </c>
      <c r="DN389" s="47" t="s">
        <v>0</v>
      </c>
      <c r="DO389" s="52" t="str">
        <f t="shared" si="449"/>
        <v/>
      </c>
      <c r="DP389" s="53" t="str">
        <f t="shared" si="450"/>
        <v/>
      </c>
      <c r="DQ389" s="47" t="s">
        <v>0</v>
      </c>
      <c r="DR389" s="52" t="str">
        <f t="shared" si="451"/>
        <v/>
      </c>
      <c r="DS389" s="53" t="str">
        <f t="shared" si="452"/>
        <v/>
      </c>
      <c r="DT389" s="47" t="s">
        <v>0</v>
      </c>
      <c r="DU389" s="52" t="str">
        <f t="shared" si="453"/>
        <v/>
      </c>
      <c r="DV389" s="53" t="str">
        <f t="shared" si="454"/>
        <v/>
      </c>
      <c r="DW389" s="47" t="s">
        <v>0</v>
      </c>
      <c r="DX389" s="58" t="str">
        <f t="shared" si="497"/>
        <v/>
      </c>
      <c r="DY389" s="53" t="str" cm="1">
        <f t="array" ref="DY389">IF(DX389&lt;&gt;"",INDEX(regNatjecatelj_id,DX389,0),IF(BD389&lt;&gt;"",BD389,""))</f>
        <v/>
      </c>
      <c r="DZ389" s="47" t="s">
        <v>0</v>
      </c>
      <c r="EA389" s="58" t="str">
        <f t="shared" si="455"/>
        <v/>
      </c>
      <c r="EB389" s="73" t="str">
        <f t="shared" si="456"/>
        <v/>
      </c>
      <c r="EC389" s="73" t="str">
        <f t="shared" si="457"/>
        <v/>
      </c>
      <c r="ED389" s="73" t="str">
        <f t="shared" si="458"/>
        <v/>
      </c>
      <c r="EE389" s="66" t="str">
        <f t="shared" si="459"/>
        <v/>
      </c>
      <c r="EF389" s="47" t="s">
        <v>0</v>
      </c>
      <c r="EG389" s="58" t="str">
        <f>IF(AL389="","",MAX(EG$12:EG388)+1)</f>
        <v/>
      </c>
      <c r="EH389" s="73" t="str">
        <f t="shared" si="460"/>
        <v/>
      </c>
      <c r="EI389" s="73" t="str">
        <f t="shared" si="498"/>
        <v/>
      </c>
      <c r="EJ389" s="73" t="str">
        <f t="shared" si="461"/>
        <v/>
      </c>
      <c r="EK389" s="73" t="str">
        <f t="shared" si="462"/>
        <v/>
      </c>
      <c r="EL389" s="73" t="str">
        <f t="shared" si="499"/>
        <v/>
      </c>
      <c r="EM389" s="73" t="str">
        <f t="shared" si="500"/>
        <v/>
      </c>
      <c r="EN389" s="73" t="str">
        <f t="shared" si="463"/>
        <v/>
      </c>
      <c r="EO389" s="73" t="str">
        <f t="shared" si="464"/>
        <v/>
      </c>
      <c r="EP389" s="73" t="str">
        <f t="shared" si="465"/>
        <v/>
      </c>
      <c r="EQ389" s="53" t="str">
        <f t="shared" si="466"/>
        <v/>
      </c>
      <c r="ER389" s="47" t="s">
        <v>0</v>
      </c>
      <c r="ES389" s="19" t="str">
        <f t="shared" si="501"/>
        <v/>
      </c>
      <c r="ET389" s="47" t="s">
        <v>0</v>
      </c>
      <c r="EU389" s="19" t="str">
        <f t="shared" si="502"/>
        <v/>
      </c>
      <c r="EV389" s="47" t="s">
        <v>0</v>
      </c>
      <c r="EW389" s="180" t="str">
        <f t="shared" si="467"/>
        <v/>
      </c>
      <c r="EX389" s="47" t="s">
        <v>0</v>
      </c>
    </row>
    <row r="390" spans="1:154" x14ac:dyDescent="0.25">
      <c r="A390" t="s">
        <v>0</v>
      </c>
      <c r="B390" s="52" t="str">
        <f>IF(csv!F380="","",csv!T380)</f>
        <v/>
      </c>
      <c r="C390" s="31" t="s">
        <v>0</v>
      </c>
      <c r="D390" s="31" t="str">
        <f>IF(csv!F380="","",csv!F380)</f>
        <v/>
      </c>
      <c r="E390" s="31" t="str">
        <f>IF(csv!E380="","",csv!E380)</f>
        <v/>
      </c>
      <c r="F390" s="31" t="s">
        <v>0</v>
      </c>
      <c r="G390" s="73" t="str">
        <f>IF(csv!M380="","",csv!M380)</f>
        <v/>
      </c>
      <c r="H390" s="73" t="str">
        <f>IF(csv!N380="","",csv!N380)</f>
        <v/>
      </c>
      <c r="I390" s="31" t="s">
        <v>0</v>
      </c>
      <c r="J390" s="31" t="str">
        <f>IF(csv!P380="","",csv!P380)</f>
        <v/>
      </c>
      <c r="K390" s="31" t="str">
        <f>IF(csv!Q380="","",csv!Q380)</f>
        <v/>
      </c>
      <c r="L390" s="31" t="s">
        <v>0</v>
      </c>
      <c r="M390" s="66" t="str">
        <f>IF(csv!R380="","",csv!R380)</f>
        <v/>
      </c>
      <c r="N390" s="47" t="s">
        <v>0</v>
      </c>
      <c r="O390" s="246" t="str">
        <f t="shared" si="468"/>
        <v/>
      </c>
      <c r="P390" s="47"/>
      <c r="Q390" s="52" t="str">
        <f t="shared" si="469"/>
        <v/>
      </c>
      <c r="R390" s="73" t="str">
        <f>IF(Q390="","",IF(COUNTIF(Q$12:Q389,Q390)=0,R389+1,R389))</f>
        <v/>
      </c>
      <c r="S390" s="73" t="str">
        <f t="shared" si="470"/>
        <v/>
      </c>
      <c r="T390" s="73" t="str">
        <f t="shared" si="434"/>
        <v/>
      </c>
      <c r="U390" s="66" t="str">
        <f t="shared" si="435"/>
        <v/>
      </c>
      <c r="V390" s="47" t="s">
        <v>0</v>
      </c>
      <c r="W390" s="222" t="str">
        <f t="shared" si="436"/>
        <v/>
      </c>
      <c r="X390" s="223" t="str">
        <f t="shared" si="437"/>
        <v/>
      </c>
      <c r="Y390" s="47" t="s">
        <v>0</v>
      </c>
      <c r="Z390" s="52" t="str">
        <f t="shared" si="471"/>
        <v/>
      </c>
      <c r="AA390" s="73" t="str">
        <f t="shared" si="438"/>
        <v/>
      </c>
      <c r="AB390" s="31" t="str">
        <f t="shared" si="472"/>
        <v/>
      </c>
      <c r="AC390" s="66" t="str">
        <f>IF(AB390="","",MAX(AC$12:AC389)+1)</f>
        <v/>
      </c>
      <c r="AD390" s="47" t="s">
        <v>0</v>
      </c>
      <c r="AE390" s="125"/>
      <c r="AF390" s="47" t="s">
        <v>0</v>
      </c>
      <c r="AG390" s="19" t="str">
        <f t="shared" si="473"/>
        <v/>
      </c>
      <c r="AH390" s="47" t="s">
        <v>0</v>
      </c>
      <c r="AI390" s="143" t="str">
        <f t="shared" si="474"/>
        <v/>
      </c>
      <c r="AJ390" s="47"/>
      <c r="AK390" s="52" t="str">
        <f t="shared" si="475"/>
        <v/>
      </c>
      <c r="AL390" s="31" t="str">
        <f t="shared" si="476"/>
        <v/>
      </c>
      <c r="AM390" s="73" t="str">
        <f t="shared" si="477"/>
        <v/>
      </c>
      <c r="AN390" s="73" t="str">
        <f t="shared" si="478"/>
        <v/>
      </c>
      <c r="AO390" s="31" t="str">
        <f t="shared" si="439"/>
        <v/>
      </c>
      <c r="AP390" s="66" t="str">
        <f t="shared" si="440"/>
        <v/>
      </c>
      <c r="AQ390" s="47" t="s">
        <v>0</v>
      </c>
      <c r="AR390" s="82" t="str">
        <f t="shared" si="479"/>
        <v/>
      </c>
      <c r="AS390" s="47" t="s">
        <v>0</v>
      </c>
      <c r="AT390" s="19" t="str">
        <f t="shared" si="480"/>
        <v/>
      </c>
      <c r="AU390" s="47" t="s">
        <v>0</v>
      </c>
      <c r="AV390" s="103"/>
      <c r="AW390" s="105"/>
      <c r="AX390" s="47" t="s">
        <v>0</v>
      </c>
      <c r="AY390" s="259" t="str">
        <f t="shared" si="503"/>
        <v/>
      </c>
      <c r="AZ390" s="47" t="s">
        <v>0</v>
      </c>
      <c r="BA390" s="52" t="str">
        <f t="shared" si="433"/>
        <v/>
      </c>
      <c r="BB390" s="73" t="str">
        <f>IF(AV390&amp;AW390="","",MAX(BB$12:BB389)+1)</f>
        <v/>
      </c>
      <c r="BC390" s="272" t="str">
        <f t="shared" si="441"/>
        <v/>
      </c>
      <c r="BD390" s="53" t="str">
        <f>IF(AND(AM390="NEMA",AN390="NEMA",OR(AV390&amp;AW390="",BC390="NEMA")),MAX(BD$12:BD389)+1,"")</f>
        <v/>
      </c>
      <c r="BE390" s="47" t="s">
        <v>0</v>
      </c>
      <c r="BF390" s="52" t="str">
        <f t="shared" si="481"/>
        <v/>
      </c>
      <c r="BG390" s="66" t="str">
        <f t="shared" si="482"/>
        <v/>
      </c>
      <c r="BH390" s="47" t="s">
        <v>0</v>
      </c>
      <c r="BI390" s="52" t="str">
        <f t="shared" si="442"/>
        <v/>
      </c>
      <c r="BJ390" s="31" t="str">
        <f t="shared" si="443"/>
        <v/>
      </c>
      <c r="BK390" s="73" t="str">
        <f t="shared" si="444"/>
        <v/>
      </c>
      <c r="BL390" s="31" t="str" cm="1">
        <f t="array" ref="BL390">IF(BK390="",""&amp;BJ390,IF(BK390="NEMA",BJ390,INDEX(regKlub_naziv,MATCH(INDEX(regKlub_alias_klubId,BK390),regKlub_id,0))))</f>
        <v/>
      </c>
      <c r="BM390" s="31" t="str" cm="1">
        <f t="array" ref="BM390">IFERROR(""&amp;INDEX(regNatjecatelj_klub,DV390),"")</f>
        <v/>
      </c>
      <c r="BN390" s="88" t="str">
        <f t="shared" si="483"/>
        <v/>
      </c>
      <c r="BO390" s="66" t="str">
        <f t="shared" si="484"/>
        <v/>
      </c>
      <c r="BP390" s="47" t="s">
        <v>0</v>
      </c>
      <c r="BQ390" s="52" t="str">
        <f>IF(X390&lt;&gt;"NEMA","",IF(IFERROR(MATCH(W390,W$12:W389,0),0)&lt;&gt;0,"",W390))</f>
        <v/>
      </c>
      <c r="BR390" s="73" t="str">
        <f t="shared" si="485"/>
        <v/>
      </c>
      <c r="BS390" s="31" t="str">
        <f>IF(OR(BR390="",BR390&lt;&gt;"NEMA"),"",MAX(BS$12:BS389)+1)</f>
        <v/>
      </c>
      <c r="BT390" s="66" t="str">
        <f t="shared" si="486"/>
        <v/>
      </c>
      <c r="BU390" s="47" t="s">
        <v>0</v>
      </c>
      <c r="BV390" s="19" t="str">
        <f t="shared" si="487"/>
        <v/>
      </c>
      <c r="BW390" s="47" t="s">
        <v>0</v>
      </c>
      <c r="BX390" s="82" t="str">
        <f>IF(BK390&lt;&gt;"NEMA","",IF(IFERROR(MATCH(BJ390,BJ$12:BJ389,0),0)&lt;&gt;0,"",BJ390))</f>
        <v/>
      </c>
      <c r="BY390" s="47" t="s">
        <v>0</v>
      </c>
      <c r="BZ390" s="125"/>
      <c r="CA390" s="47" t="s">
        <v>0</v>
      </c>
      <c r="CB390" s="58" t="str">
        <f t="shared" si="488"/>
        <v/>
      </c>
      <c r="CC390" s="31" t="str">
        <f t="shared" si="489"/>
        <v/>
      </c>
      <c r="CD390" s="31" t="str">
        <f>IF(CC390="","",MAX(CD$12:CD389)+1)</f>
        <v/>
      </c>
      <c r="CE390" s="31" t="str">
        <f t="shared" si="445"/>
        <v/>
      </c>
      <c r="CF390" s="31" t="str">
        <f t="shared" si="490"/>
        <v/>
      </c>
      <c r="CG390" s="31" t="str">
        <f>IF(BZ390="","",MAX(CG$12:CG389)+1)</f>
        <v/>
      </c>
      <c r="CH390" s="31" t="str">
        <f t="shared" si="491"/>
        <v/>
      </c>
      <c r="CI390" s="66" t="str">
        <f t="shared" si="492"/>
        <v/>
      </c>
      <c r="CJ390" s="47" t="s">
        <v>0</v>
      </c>
      <c r="CK390" s="73" t="str">
        <f t="shared" si="446"/>
        <v/>
      </c>
      <c r="CL390" s="47"/>
      <c r="CM390" s="19" t="str">
        <f t="shared" si="493"/>
        <v/>
      </c>
      <c r="CN390" s="47" t="s">
        <v>0</v>
      </c>
      <c r="CO390" s="143" t="str">
        <f t="shared" si="494"/>
        <v/>
      </c>
      <c r="CP390" s="47" t="s">
        <v>0</v>
      </c>
      <c r="CQ390" s="58" t="str">
        <f t="shared" si="510"/>
        <v/>
      </c>
      <c r="CR390" s="73" t="str">
        <f t="shared" si="511"/>
        <v/>
      </c>
      <c r="CS390" s="229" t="str">
        <f t="shared" si="447"/>
        <v/>
      </c>
      <c r="CT390" s="230" t="str">
        <f t="shared" si="512"/>
        <v/>
      </c>
      <c r="CU390" s="163" t="str">
        <f t="shared" si="448"/>
        <v/>
      </c>
      <c r="CV390" s="47" t="s">
        <v>0</v>
      </c>
      <c r="CW390" s="222" t="str">
        <f t="shared" si="495"/>
        <v xml:space="preserve">
</v>
      </c>
      <c r="CX390" s="223" t="str">
        <f t="shared" si="496"/>
        <v/>
      </c>
      <c r="CY390" s="47" t="s">
        <v>0</v>
      </c>
      <c r="CZ390" s="47"/>
      <c r="DA390" s="47"/>
      <c r="DB390" s="47"/>
      <c r="DC390" s="47" t="s">
        <v>0</v>
      </c>
      <c r="DD390" s="53" t="str">
        <f t="shared" si="504"/>
        <v/>
      </c>
      <c r="DE390" t="s">
        <v>0</v>
      </c>
      <c r="DF390" s="128" t="str">
        <f t="shared" si="505"/>
        <v/>
      </c>
      <c r="DG390" t="s">
        <v>0</v>
      </c>
      <c r="DH390" s="52" t="str">
        <f t="shared" si="506"/>
        <v/>
      </c>
      <c r="DI390" s="66" t="str">
        <f t="shared" si="507"/>
        <v/>
      </c>
      <c r="DJ390" t="s">
        <v>0</v>
      </c>
      <c r="DK390" s="19" t="str">
        <f t="shared" si="508"/>
        <v/>
      </c>
      <c r="DL390" s="47" t="s">
        <v>0</v>
      </c>
      <c r="DM390" s="19" t="str">
        <f t="shared" si="509"/>
        <v/>
      </c>
      <c r="DN390" s="47" t="s">
        <v>0</v>
      </c>
      <c r="DO390" s="52" t="str">
        <f t="shared" si="449"/>
        <v/>
      </c>
      <c r="DP390" s="53" t="str">
        <f t="shared" si="450"/>
        <v/>
      </c>
      <c r="DQ390" s="47" t="s">
        <v>0</v>
      </c>
      <c r="DR390" s="52" t="str">
        <f t="shared" si="451"/>
        <v/>
      </c>
      <c r="DS390" s="53" t="str">
        <f t="shared" si="452"/>
        <v/>
      </c>
      <c r="DT390" s="47" t="s">
        <v>0</v>
      </c>
      <c r="DU390" s="52" t="str">
        <f t="shared" si="453"/>
        <v/>
      </c>
      <c r="DV390" s="53" t="str">
        <f t="shared" si="454"/>
        <v/>
      </c>
      <c r="DW390" s="47" t="s">
        <v>0</v>
      </c>
      <c r="DX390" s="58" t="str">
        <f t="shared" si="497"/>
        <v/>
      </c>
      <c r="DY390" s="53" t="str" cm="1">
        <f t="array" ref="DY390">IF(DX390&lt;&gt;"",INDEX(regNatjecatelj_id,DX390,0),IF(BD390&lt;&gt;"",BD390,""))</f>
        <v/>
      </c>
      <c r="DZ390" s="47" t="s">
        <v>0</v>
      </c>
      <c r="EA390" s="58" t="str">
        <f t="shared" si="455"/>
        <v/>
      </c>
      <c r="EB390" s="73" t="str">
        <f t="shared" si="456"/>
        <v/>
      </c>
      <c r="EC390" s="73" t="str">
        <f t="shared" si="457"/>
        <v/>
      </c>
      <c r="ED390" s="73" t="str">
        <f t="shared" si="458"/>
        <v/>
      </c>
      <c r="EE390" s="66" t="str">
        <f t="shared" si="459"/>
        <v/>
      </c>
      <c r="EF390" s="47" t="s">
        <v>0</v>
      </c>
      <c r="EG390" s="58" t="str">
        <f>IF(AL390="","",MAX(EG$12:EG389)+1)</f>
        <v/>
      </c>
      <c r="EH390" s="73" t="str">
        <f t="shared" si="460"/>
        <v/>
      </c>
      <c r="EI390" s="73" t="str">
        <f t="shared" si="498"/>
        <v/>
      </c>
      <c r="EJ390" s="73" t="str">
        <f t="shared" si="461"/>
        <v/>
      </c>
      <c r="EK390" s="73" t="str">
        <f t="shared" si="462"/>
        <v/>
      </c>
      <c r="EL390" s="73" t="str">
        <f t="shared" si="499"/>
        <v/>
      </c>
      <c r="EM390" s="73" t="str">
        <f t="shared" si="500"/>
        <v/>
      </c>
      <c r="EN390" s="73" t="str">
        <f t="shared" si="463"/>
        <v/>
      </c>
      <c r="EO390" s="73" t="str">
        <f t="shared" si="464"/>
        <v/>
      </c>
      <c r="EP390" s="73" t="str">
        <f t="shared" si="465"/>
        <v/>
      </c>
      <c r="EQ390" s="53" t="str">
        <f t="shared" si="466"/>
        <v/>
      </c>
      <c r="ER390" s="47" t="s">
        <v>0</v>
      </c>
      <c r="ES390" s="19" t="str">
        <f t="shared" si="501"/>
        <v/>
      </c>
      <c r="ET390" s="47" t="s">
        <v>0</v>
      </c>
      <c r="EU390" s="19" t="str">
        <f t="shared" si="502"/>
        <v/>
      </c>
      <c r="EV390" s="47" t="s">
        <v>0</v>
      </c>
      <c r="EW390" s="180" t="str">
        <f t="shared" si="467"/>
        <v/>
      </c>
      <c r="EX390" s="47" t="s">
        <v>0</v>
      </c>
    </row>
    <row r="391" spans="1:154" x14ac:dyDescent="0.25">
      <c r="A391" t="s">
        <v>0</v>
      </c>
      <c r="B391" s="52" t="str">
        <f>IF(csv!F381="","",csv!T381)</f>
        <v/>
      </c>
      <c r="C391" s="31" t="s">
        <v>0</v>
      </c>
      <c r="D391" s="31" t="str">
        <f>IF(csv!F381="","",csv!F381)</f>
        <v/>
      </c>
      <c r="E391" s="31" t="str">
        <f>IF(csv!E381="","",csv!E381)</f>
        <v/>
      </c>
      <c r="F391" s="31" t="s">
        <v>0</v>
      </c>
      <c r="G391" s="73" t="str">
        <f>IF(csv!M381="","",csv!M381)</f>
        <v/>
      </c>
      <c r="H391" s="73" t="str">
        <f>IF(csv!N381="","",csv!N381)</f>
        <v/>
      </c>
      <c r="I391" s="31" t="s">
        <v>0</v>
      </c>
      <c r="J391" s="31" t="str">
        <f>IF(csv!P381="","",csv!P381)</f>
        <v/>
      </c>
      <c r="K391" s="31" t="str">
        <f>IF(csv!Q381="","",csv!Q381)</f>
        <v/>
      </c>
      <c r="L391" s="31" t="s">
        <v>0</v>
      </c>
      <c r="M391" s="66" t="str">
        <f>IF(csv!R381="","",csv!R381)</f>
        <v/>
      </c>
      <c r="N391" s="47" t="s">
        <v>0</v>
      </c>
      <c r="O391" s="246" t="str">
        <f t="shared" si="468"/>
        <v/>
      </c>
      <c r="P391" s="47"/>
      <c r="Q391" s="52" t="str">
        <f t="shared" si="469"/>
        <v/>
      </c>
      <c r="R391" s="73" t="str">
        <f>IF(Q391="","",IF(COUNTIF(Q$12:Q390,Q391)=0,R390+1,R390))</f>
        <v/>
      </c>
      <c r="S391" s="73" t="str">
        <f t="shared" si="470"/>
        <v/>
      </c>
      <c r="T391" s="73" t="str">
        <f t="shared" si="434"/>
        <v/>
      </c>
      <c r="U391" s="66" t="str">
        <f t="shared" si="435"/>
        <v/>
      </c>
      <c r="V391" s="47" t="s">
        <v>0</v>
      </c>
      <c r="W391" s="222" t="str">
        <f t="shared" si="436"/>
        <v/>
      </c>
      <c r="X391" s="223" t="str">
        <f t="shared" si="437"/>
        <v/>
      </c>
      <c r="Y391" s="47" t="s">
        <v>0</v>
      </c>
      <c r="Z391" s="52" t="str">
        <f t="shared" si="471"/>
        <v/>
      </c>
      <c r="AA391" s="73" t="str">
        <f t="shared" si="438"/>
        <v/>
      </c>
      <c r="AB391" s="31" t="str">
        <f t="shared" si="472"/>
        <v/>
      </c>
      <c r="AC391" s="66" t="str">
        <f>IF(AB391="","",MAX(AC$12:AC390)+1)</f>
        <v/>
      </c>
      <c r="AD391" s="47" t="s">
        <v>0</v>
      </c>
      <c r="AE391" s="125"/>
      <c r="AF391" s="47" t="s">
        <v>0</v>
      </c>
      <c r="AG391" s="19" t="str">
        <f t="shared" si="473"/>
        <v/>
      </c>
      <c r="AH391" s="47" t="s">
        <v>0</v>
      </c>
      <c r="AI391" s="143" t="str">
        <f t="shared" si="474"/>
        <v/>
      </c>
      <c r="AJ391" s="47"/>
      <c r="AK391" s="52" t="str">
        <f t="shared" si="475"/>
        <v/>
      </c>
      <c r="AL391" s="31" t="str">
        <f t="shared" si="476"/>
        <v/>
      </c>
      <c r="AM391" s="73" t="str">
        <f t="shared" si="477"/>
        <v/>
      </c>
      <c r="AN391" s="73" t="str">
        <f t="shared" si="478"/>
        <v/>
      </c>
      <c r="AO391" s="31" t="str">
        <f t="shared" si="439"/>
        <v/>
      </c>
      <c r="AP391" s="66" t="str">
        <f t="shared" si="440"/>
        <v/>
      </c>
      <c r="AQ391" s="47" t="s">
        <v>0</v>
      </c>
      <c r="AR391" s="82" t="str">
        <f t="shared" si="479"/>
        <v/>
      </c>
      <c r="AS391" s="47" t="s">
        <v>0</v>
      </c>
      <c r="AT391" s="19" t="str">
        <f t="shared" si="480"/>
        <v/>
      </c>
      <c r="AU391" s="47" t="s">
        <v>0</v>
      </c>
      <c r="AV391" s="103"/>
      <c r="AW391" s="105"/>
      <c r="AX391" s="47" t="s">
        <v>0</v>
      </c>
      <c r="AY391" s="259" t="str">
        <f t="shared" si="503"/>
        <v/>
      </c>
      <c r="AZ391" s="47" t="s">
        <v>0</v>
      </c>
      <c r="BA391" s="52" t="str">
        <f t="shared" si="433"/>
        <v/>
      </c>
      <c r="BB391" s="73" t="str">
        <f>IF(AV391&amp;AW391="","",MAX(BB$12:BB390)+1)</f>
        <v/>
      </c>
      <c r="BC391" s="272" t="str">
        <f t="shared" si="441"/>
        <v/>
      </c>
      <c r="BD391" s="53" t="str">
        <f>IF(AND(AM391="NEMA",AN391="NEMA",OR(AV391&amp;AW391="",BC391="NEMA")),MAX(BD$12:BD390)+1,"")</f>
        <v/>
      </c>
      <c r="BE391" s="47" t="s">
        <v>0</v>
      </c>
      <c r="BF391" s="52" t="str">
        <f t="shared" si="481"/>
        <v/>
      </c>
      <c r="BG391" s="66" t="str">
        <f t="shared" si="482"/>
        <v/>
      </c>
      <c r="BH391" s="47" t="s">
        <v>0</v>
      </c>
      <c r="BI391" s="52" t="str">
        <f t="shared" si="442"/>
        <v/>
      </c>
      <c r="BJ391" s="31" t="str">
        <f t="shared" si="443"/>
        <v/>
      </c>
      <c r="BK391" s="73" t="str">
        <f t="shared" si="444"/>
        <v/>
      </c>
      <c r="BL391" s="31" t="str" cm="1">
        <f t="array" ref="BL391">IF(BK391="",""&amp;BJ391,IF(BK391="NEMA",BJ391,INDEX(regKlub_naziv,MATCH(INDEX(regKlub_alias_klubId,BK391),regKlub_id,0))))</f>
        <v/>
      </c>
      <c r="BM391" s="31" t="str" cm="1">
        <f t="array" ref="BM391">IFERROR(""&amp;INDEX(regNatjecatelj_klub,DV391),"")</f>
        <v/>
      </c>
      <c r="BN391" s="88" t="str">
        <f t="shared" si="483"/>
        <v/>
      </c>
      <c r="BO391" s="66" t="str">
        <f t="shared" si="484"/>
        <v/>
      </c>
      <c r="BP391" s="47" t="s">
        <v>0</v>
      </c>
      <c r="BQ391" s="52" t="str">
        <f>IF(X391&lt;&gt;"NEMA","",IF(IFERROR(MATCH(W391,W$12:W390,0),0)&lt;&gt;0,"",W391))</f>
        <v/>
      </c>
      <c r="BR391" s="73" t="str">
        <f t="shared" si="485"/>
        <v/>
      </c>
      <c r="BS391" s="31" t="str">
        <f>IF(OR(BR391="",BR391&lt;&gt;"NEMA"),"",MAX(BS$12:BS390)+1)</f>
        <v/>
      </c>
      <c r="BT391" s="66" t="str">
        <f t="shared" si="486"/>
        <v/>
      </c>
      <c r="BU391" s="47" t="s">
        <v>0</v>
      </c>
      <c r="BV391" s="19" t="str">
        <f t="shared" si="487"/>
        <v/>
      </c>
      <c r="BW391" s="47" t="s">
        <v>0</v>
      </c>
      <c r="BX391" s="82" t="str">
        <f>IF(BK391&lt;&gt;"NEMA","",IF(IFERROR(MATCH(BJ391,BJ$12:BJ390,0),0)&lt;&gt;0,"",BJ391))</f>
        <v/>
      </c>
      <c r="BY391" s="47" t="s">
        <v>0</v>
      </c>
      <c r="BZ391" s="125"/>
      <c r="CA391" s="47" t="s">
        <v>0</v>
      </c>
      <c r="CB391" s="58" t="str">
        <f t="shared" si="488"/>
        <v/>
      </c>
      <c r="CC391" s="31" t="str">
        <f t="shared" si="489"/>
        <v/>
      </c>
      <c r="CD391" s="31" t="str">
        <f>IF(CC391="","",MAX(CD$12:CD390)+1)</f>
        <v/>
      </c>
      <c r="CE391" s="31" t="str">
        <f t="shared" si="445"/>
        <v/>
      </c>
      <c r="CF391" s="31" t="str">
        <f t="shared" si="490"/>
        <v/>
      </c>
      <c r="CG391" s="31" t="str">
        <f>IF(BZ391="","",MAX(CG$12:CG390)+1)</f>
        <v/>
      </c>
      <c r="CH391" s="31" t="str">
        <f t="shared" si="491"/>
        <v/>
      </c>
      <c r="CI391" s="66" t="str">
        <f t="shared" si="492"/>
        <v/>
      </c>
      <c r="CJ391" s="47" t="s">
        <v>0</v>
      </c>
      <c r="CK391" s="73" t="str">
        <f t="shared" si="446"/>
        <v/>
      </c>
      <c r="CL391" s="47"/>
      <c r="CM391" s="19" t="str">
        <f t="shared" si="493"/>
        <v/>
      </c>
      <c r="CN391" s="47" t="s">
        <v>0</v>
      </c>
      <c r="CO391" s="143" t="str">
        <f t="shared" si="494"/>
        <v/>
      </c>
      <c r="CP391" s="47" t="s">
        <v>0</v>
      </c>
      <c r="CQ391" s="58" t="str">
        <f t="shared" si="510"/>
        <v/>
      </c>
      <c r="CR391" s="73" t="str">
        <f t="shared" si="511"/>
        <v/>
      </c>
      <c r="CS391" s="229" t="str">
        <f t="shared" si="447"/>
        <v/>
      </c>
      <c r="CT391" s="230" t="str">
        <f t="shared" si="512"/>
        <v/>
      </c>
      <c r="CU391" s="163" t="str">
        <f t="shared" si="448"/>
        <v/>
      </c>
      <c r="CV391" s="47" t="s">
        <v>0</v>
      </c>
      <c r="CW391" s="222" t="str">
        <f t="shared" si="495"/>
        <v xml:space="preserve">
</v>
      </c>
      <c r="CX391" s="223" t="str">
        <f t="shared" si="496"/>
        <v/>
      </c>
      <c r="CY391" s="47" t="s">
        <v>0</v>
      </c>
      <c r="CZ391" s="47"/>
      <c r="DA391" s="47"/>
      <c r="DB391" s="47"/>
      <c r="DC391" s="47" t="s">
        <v>0</v>
      </c>
      <c r="DD391" s="53" t="str">
        <f t="shared" si="504"/>
        <v/>
      </c>
      <c r="DE391" t="s">
        <v>0</v>
      </c>
      <c r="DF391" s="128" t="str">
        <f t="shared" si="505"/>
        <v/>
      </c>
      <c r="DG391" t="s">
        <v>0</v>
      </c>
      <c r="DH391" s="52" t="str">
        <f t="shared" si="506"/>
        <v/>
      </c>
      <c r="DI391" s="66" t="str">
        <f t="shared" si="507"/>
        <v/>
      </c>
      <c r="DJ391" t="s">
        <v>0</v>
      </c>
      <c r="DK391" s="19" t="str">
        <f t="shared" si="508"/>
        <v/>
      </c>
      <c r="DL391" s="47" t="s">
        <v>0</v>
      </c>
      <c r="DM391" s="19" t="str">
        <f t="shared" si="509"/>
        <v/>
      </c>
      <c r="DN391" s="47" t="s">
        <v>0</v>
      </c>
      <c r="DO391" s="52" t="str">
        <f t="shared" si="449"/>
        <v/>
      </c>
      <c r="DP391" s="53" t="str">
        <f t="shared" si="450"/>
        <v/>
      </c>
      <c r="DQ391" s="47" t="s">
        <v>0</v>
      </c>
      <c r="DR391" s="52" t="str">
        <f t="shared" si="451"/>
        <v/>
      </c>
      <c r="DS391" s="53" t="str">
        <f t="shared" si="452"/>
        <v/>
      </c>
      <c r="DT391" s="47" t="s">
        <v>0</v>
      </c>
      <c r="DU391" s="52" t="str">
        <f t="shared" si="453"/>
        <v/>
      </c>
      <c r="DV391" s="53" t="str">
        <f t="shared" si="454"/>
        <v/>
      </c>
      <c r="DW391" s="47" t="s">
        <v>0</v>
      </c>
      <c r="DX391" s="58" t="str">
        <f t="shared" si="497"/>
        <v/>
      </c>
      <c r="DY391" s="53" t="str" cm="1">
        <f t="array" ref="DY391">IF(DX391&lt;&gt;"",INDEX(regNatjecatelj_id,DX391,0),IF(BD391&lt;&gt;"",BD391,""))</f>
        <v/>
      </c>
      <c r="DZ391" s="47" t="s">
        <v>0</v>
      </c>
      <c r="EA391" s="58" t="str">
        <f t="shared" si="455"/>
        <v/>
      </c>
      <c r="EB391" s="73" t="str">
        <f t="shared" si="456"/>
        <v/>
      </c>
      <c r="EC391" s="73" t="str">
        <f t="shared" si="457"/>
        <v/>
      </c>
      <c r="ED391" s="73" t="str">
        <f t="shared" si="458"/>
        <v/>
      </c>
      <c r="EE391" s="66" t="str">
        <f t="shared" si="459"/>
        <v/>
      </c>
      <c r="EF391" s="47" t="s">
        <v>0</v>
      </c>
      <c r="EG391" s="58" t="str">
        <f>IF(AL391="","",MAX(EG$12:EG390)+1)</f>
        <v/>
      </c>
      <c r="EH391" s="73" t="str">
        <f t="shared" si="460"/>
        <v/>
      </c>
      <c r="EI391" s="73" t="str">
        <f t="shared" si="498"/>
        <v/>
      </c>
      <c r="EJ391" s="73" t="str">
        <f t="shared" si="461"/>
        <v/>
      </c>
      <c r="EK391" s="73" t="str">
        <f t="shared" si="462"/>
        <v/>
      </c>
      <c r="EL391" s="73" t="str">
        <f t="shared" si="499"/>
        <v/>
      </c>
      <c r="EM391" s="73" t="str">
        <f t="shared" si="500"/>
        <v/>
      </c>
      <c r="EN391" s="73" t="str">
        <f t="shared" si="463"/>
        <v/>
      </c>
      <c r="EO391" s="73" t="str">
        <f t="shared" si="464"/>
        <v/>
      </c>
      <c r="EP391" s="73" t="str">
        <f t="shared" si="465"/>
        <v/>
      </c>
      <c r="EQ391" s="53" t="str">
        <f t="shared" si="466"/>
        <v/>
      </c>
      <c r="ER391" s="47" t="s">
        <v>0</v>
      </c>
      <c r="ES391" s="19" t="str">
        <f t="shared" si="501"/>
        <v/>
      </c>
      <c r="ET391" s="47" t="s">
        <v>0</v>
      </c>
      <c r="EU391" s="19" t="str">
        <f t="shared" si="502"/>
        <v/>
      </c>
      <c r="EV391" s="47" t="s">
        <v>0</v>
      </c>
      <c r="EW391" s="180" t="str">
        <f t="shared" si="467"/>
        <v/>
      </c>
      <c r="EX391" s="47" t="s">
        <v>0</v>
      </c>
    </row>
    <row r="392" spans="1:154" x14ac:dyDescent="0.25">
      <c r="A392" t="s">
        <v>0</v>
      </c>
      <c r="B392" s="52" t="str">
        <f>IF(csv!F382="","",csv!T382)</f>
        <v/>
      </c>
      <c r="C392" s="31" t="s">
        <v>0</v>
      </c>
      <c r="D392" s="31" t="str">
        <f>IF(csv!F382="","",csv!F382)</f>
        <v/>
      </c>
      <c r="E392" s="31" t="str">
        <f>IF(csv!E382="","",csv!E382)</f>
        <v/>
      </c>
      <c r="F392" s="31" t="s">
        <v>0</v>
      </c>
      <c r="G392" s="73" t="str">
        <f>IF(csv!M382="","",csv!M382)</f>
        <v/>
      </c>
      <c r="H392" s="73" t="str">
        <f>IF(csv!N382="","",csv!N382)</f>
        <v/>
      </c>
      <c r="I392" s="31" t="s">
        <v>0</v>
      </c>
      <c r="J392" s="31" t="str">
        <f>IF(csv!P382="","",csv!P382)</f>
        <v/>
      </c>
      <c r="K392" s="31" t="str">
        <f>IF(csv!Q382="","",csv!Q382)</f>
        <v/>
      </c>
      <c r="L392" s="31" t="s">
        <v>0</v>
      </c>
      <c r="M392" s="66" t="str">
        <f>IF(csv!R382="","",csv!R382)</f>
        <v/>
      </c>
      <c r="N392" s="47" t="s">
        <v>0</v>
      </c>
      <c r="O392" s="246" t="str">
        <f t="shared" si="468"/>
        <v/>
      </c>
      <c r="P392" s="47"/>
      <c r="Q392" s="52" t="str">
        <f t="shared" si="469"/>
        <v/>
      </c>
      <c r="R392" s="73" t="str">
        <f>IF(Q392="","",IF(COUNTIF(Q$12:Q391,Q392)=0,R391+1,R391))</f>
        <v/>
      </c>
      <c r="S392" s="73" t="str">
        <f t="shared" si="470"/>
        <v/>
      </c>
      <c r="T392" s="73" t="str">
        <f t="shared" si="434"/>
        <v/>
      </c>
      <c r="U392" s="66" t="str">
        <f t="shared" si="435"/>
        <v/>
      </c>
      <c r="V392" s="47" t="s">
        <v>0</v>
      </c>
      <c r="W392" s="222" t="str">
        <f t="shared" si="436"/>
        <v/>
      </c>
      <c r="X392" s="223" t="str">
        <f t="shared" si="437"/>
        <v/>
      </c>
      <c r="Y392" s="47" t="s">
        <v>0</v>
      </c>
      <c r="Z392" s="52" t="str">
        <f t="shared" si="471"/>
        <v/>
      </c>
      <c r="AA392" s="73" t="str">
        <f t="shared" si="438"/>
        <v/>
      </c>
      <c r="AB392" s="31" t="str">
        <f t="shared" si="472"/>
        <v/>
      </c>
      <c r="AC392" s="66" t="str">
        <f>IF(AB392="","",MAX(AC$12:AC391)+1)</f>
        <v/>
      </c>
      <c r="AD392" s="47" t="s">
        <v>0</v>
      </c>
      <c r="AE392" s="125"/>
      <c r="AF392" s="47" t="s">
        <v>0</v>
      </c>
      <c r="AG392" s="19" t="str">
        <f t="shared" si="473"/>
        <v/>
      </c>
      <c r="AH392" s="47" t="s">
        <v>0</v>
      </c>
      <c r="AI392" s="143" t="str">
        <f t="shared" si="474"/>
        <v/>
      </c>
      <c r="AJ392" s="47"/>
      <c r="AK392" s="52" t="str">
        <f t="shared" si="475"/>
        <v/>
      </c>
      <c r="AL392" s="31" t="str">
        <f t="shared" si="476"/>
        <v/>
      </c>
      <c r="AM392" s="73" t="str">
        <f t="shared" si="477"/>
        <v/>
      </c>
      <c r="AN392" s="73" t="str">
        <f t="shared" si="478"/>
        <v/>
      </c>
      <c r="AO392" s="31" t="str">
        <f t="shared" si="439"/>
        <v/>
      </c>
      <c r="AP392" s="66" t="str">
        <f t="shared" si="440"/>
        <v/>
      </c>
      <c r="AQ392" s="47" t="s">
        <v>0</v>
      </c>
      <c r="AR392" s="82" t="str">
        <f t="shared" si="479"/>
        <v/>
      </c>
      <c r="AS392" s="47" t="s">
        <v>0</v>
      </c>
      <c r="AT392" s="19" t="str">
        <f t="shared" si="480"/>
        <v/>
      </c>
      <c r="AU392" s="47" t="s">
        <v>0</v>
      </c>
      <c r="AV392" s="103"/>
      <c r="AW392" s="105"/>
      <c r="AX392" s="47" t="s">
        <v>0</v>
      </c>
      <c r="AY392" s="259" t="str">
        <f t="shared" si="503"/>
        <v/>
      </c>
      <c r="AZ392" s="47" t="s">
        <v>0</v>
      </c>
      <c r="BA392" s="52" t="str">
        <f t="shared" si="433"/>
        <v/>
      </c>
      <c r="BB392" s="73" t="str">
        <f>IF(AV392&amp;AW392="","",MAX(BB$12:BB391)+1)</f>
        <v/>
      </c>
      <c r="BC392" s="272" t="str">
        <f t="shared" si="441"/>
        <v/>
      </c>
      <c r="BD392" s="53" t="str">
        <f>IF(AND(AM392="NEMA",AN392="NEMA",OR(AV392&amp;AW392="",BC392="NEMA")),MAX(BD$12:BD391)+1,"")</f>
        <v/>
      </c>
      <c r="BE392" s="47" t="s">
        <v>0</v>
      </c>
      <c r="BF392" s="52" t="str">
        <f t="shared" si="481"/>
        <v/>
      </c>
      <c r="BG392" s="66" t="str">
        <f t="shared" si="482"/>
        <v/>
      </c>
      <c r="BH392" s="47" t="s">
        <v>0</v>
      </c>
      <c r="BI392" s="52" t="str">
        <f t="shared" si="442"/>
        <v/>
      </c>
      <c r="BJ392" s="31" t="str">
        <f t="shared" si="443"/>
        <v/>
      </c>
      <c r="BK392" s="73" t="str">
        <f t="shared" si="444"/>
        <v/>
      </c>
      <c r="BL392" s="31" t="str" cm="1">
        <f t="array" ref="BL392">IF(BK392="",""&amp;BJ392,IF(BK392="NEMA",BJ392,INDEX(regKlub_naziv,MATCH(INDEX(regKlub_alias_klubId,BK392),regKlub_id,0))))</f>
        <v/>
      </c>
      <c r="BM392" s="31" t="str" cm="1">
        <f t="array" ref="BM392">IFERROR(""&amp;INDEX(regNatjecatelj_klub,DV392),"")</f>
        <v/>
      </c>
      <c r="BN392" s="88" t="str">
        <f t="shared" si="483"/>
        <v/>
      </c>
      <c r="BO392" s="66" t="str">
        <f t="shared" si="484"/>
        <v/>
      </c>
      <c r="BP392" s="47" t="s">
        <v>0</v>
      </c>
      <c r="BQ392" s="52" t="str">
        <f>IF(X392&lt;&gt;"NEMA","",IF(IFERROR(MATCH(W392,W$12:W391,0),0)&lt;&gt;0,"",W392))</f>
        <v/>
      </c>
      <c r="BR392" s="73" t="str">
        <f t="shared" si="485"/>
        <v/>
      </c>
      <c r="BS392" s="31" t="str">
        <f>IF(OR(BR392="",BR392&lt;&gt;"NEMA"),"",MAX(BS$12:BS391)+1)</f>
        <v/>
      </c>
      <c r="BT392" s="66" t="str">
        <f t="shared" si="486"/>
        <v/>
      </c>
      <c r="BU392" s="47" t="s">
        <v>0</v>
      </c>
      <c r="BV392" s="19" t="str">
        <f t="shared" si="487"/>
        <v/>
      </c>
      <c r="BW392" s="47" t="s">
        <v>0</v>
      </c>
      <c r="BX392" s="82" t="str">
        <f>IF(BK392&lt;&gt;"NEMA","",IF(IFERROR(MATCH(BJ392,BJ$12:BJ391,0),0)&lt;&gt;0,"",BJ392))</f>
        <v/>
      </c>
      <c r="BY392" s="47" t="s">
        <v>0</v>
      </c>
      <c r="BZ392" s="125"/>
      <c r="CA392" s="47" t="s">
        <v>0</v>
      </c>
      <c r="CB392" s="58" t="str">
        <f t="shared" si="488"/>
        <v/>
      </c>
      <c r="CC392" s="31" t="str">
        <f t="shared" si="489"/>
        <v/>
      </c>
      <c r="CD392" s="31" t="str">
        <f>IF(CC392="","",MAX(CD$12:CD391)+1)</f>
        <v/>
      </c>
      <c r="CE392" s="31" t="str">
        <f t="shared" si="445"/>
        <v/>
      </c>
      <c r="CF392" s="31" t="str">
        <f t="shared" si="490"/>
        <v/>
      </c>
      <c r="CG392" s="31" t="str">
        <f>IF(BZ392="","",MAX(CG$12:CG391)+1)</f>
        <v/>
      </c>
      <c r="CH392" s="31" t="str">
        <f t="shared" si="491"/>
        <v/>
      </c>
      <c r="CI392" s="66" t="str">
        <f t="shared" si="492"/>
        <v/>
      </c>
      <c r="CJ392" s="47" t="s">
        <v>0</v>
      </c>
      <c r="CK392" s="73" t="str">
        <f t="shared" si="446"/>
        <v/>
      </c>
      <c r="CL392" s="47"/>
      <c r="CM392" s="19" t="str">
        <f t="shared" si="493"/>
        <v/>
      </c>
      <c r="CN392" s="47" t="s">
        <v>0</v>
      </c>
      <c r="CO392" s="143" t="str">
        <f t="shared" si="494"/>
        <v/>
      </c>
      <c r="CP392" s="47" t="s">
        <v>0</v>
      </c>
      <c r="CQ392" s="58" t="str">
        <f t="shared" si="510"/>
        <v/>
      </c>
      <c r="CR392" s="73" t="str">
        <f t="shared" si="511"/>
        <v/>
      </c>
      <c r="CS392" s="229" t="str">
        <f t="shared" si="447"/>
        <v/>
      </c>
      <c r="CT392" s="230" t="str">
        <f t="shared" si="512"/>
        <v/>
      </c>
      <c r="CU392" s="163" t="str">
        <f t="shared" si="448"/>
        <v/>
      </c>
      <c r="CV392" s="47" t="s">
        <v>0</v>
      </c>
      <c r="CW392" s="222" t="str">
        <f t="shared" si="495"/>
        <v xml:space="preserve">
</v>
      </c>
      <c r="CX392" s="223" t="str">
        <f t="shared" si="496"/>
        <v/>
      </c>
      <c r="CY392" s="47" t="s">
        <v>0</v>
      </c>
      <c r="CZ392" s="47"/>
      <c r="DA392" s="47"/>
      <c r="DB392" s="47"/>
      <c r="DC392" s="47" t="s">
        <v>0</v>
      </c>
      <c r="DD392" s="53" t="str">
        <f t="shared" si="504"/>
        <v/>
      </c>
      <c r="DE392" t="s">
        <v>0</v>
      </c>
      <c r="DF392" s="128" t="str">
        <f t="shared" si="505"/>
        <v/>
      </c>
      <c r="DG392" t="s">
        <v>0</v>
      </c>
      <c r="DH392" s="52" t="str">
        <f t="shared" si="506"/>
        <v/>
      </c>
      <c r="DI392" s="66" t="str">
        <f t="shared" si="507"/>
        <v/>
      </c>
      <c r="DJ392" t="s">
        <v>0</v>
      </c>
      <c r="DK392" s="19" t="str">
        <f t="shared" si="508"/>
        <v/>
      </c>
      <c r="DL392" s="47" t="s">
        <v>0</v>
      </c>
      <c r="DM392" s="19" t="str">
        <f t="shared" si="509"/>
        <v/>
      </c>
      <c r="DN392" s="47" t="s">
        <v>0</v>
      </c>
      <c r="DO392" s="52" t="str">
        <f t="shared" si="449"/>
        <v/>
      </c>
      <c r="DP392" s="53" t="str">
        <f t="shared" si="450"/>
        <v/>
      </c>
      <c r="DQ392" s="47" t="s">
        <v>0</v>
      </c>
      <c r="DR392" s="52" t="str">
        <f t="shared" si="451"/>
        <v/>
      </c>
      <c r="DS392" s="53" t="str">
        <f t="shared" si="452"/>
        <v/>
      </c>
      <c r="DT392" s="47" t="s">
        <v>0</v>
      </c>
      <c r="DU392" s="52" t="str">
        <f t="shared" si="453"/>
        <v/>
      </c>
      <c r="DV392" s="53" t="str">
        <f t="shared" si="454"/>
        <v/>
      </c>
      <c r="DW392" s="47" t="s">
        <v>0</v>
      </c>
      <c r="DX392" s="58" t="str">
        <f t="shared" si="497"/>
        <v/>
      </c>
      <c r="DY392" s="53" t="str" cm="1">
        <f t="array" ref="DY392">IF(DX392&lt;&gt;"",INDEX(regNatjecatelj_id,DX392,0),IF(BD392&lt;&gt;"",BD392,""))</f>
        <v/>
      </c>
      <c r="DZ392" s="47" t="s">
        <v>0</v>
      </c>
      <c r="EA392" s="58" t="str">
        <f t="shared" si="455"/>
        <v/>
      </c>
      <c r="EB392" s="73" t="str">
        <f t="shared" si="456"/>
        <v/>
      </c>
      <c r="EC392" s="73" t="str">
        <f t="shared" si="457"/>
        <v/>
      </c>
      <c r="ED392" s="73" t="str">
        <f t="shared" si="458"/>
        <v/>
      </c>
      <c r="EE392" s="66" t="str">
        <f t="shared" si="459"/>
        <v/>
      </c>
      <c r="EF392" s="47" t="s">
        <v>0</v>
      </c>
      <c r="EG392" s="58" t="str">
        <f>IF(AL392="","",MAX(EG$12:EG391)+1)</f>
        <v/>
      </c>
      <c r="EH392" s="73" t="str">
        <f t="shared" si="460"/>
        <v/>
      </c>
      <c r="EI392" s="73" t="str">
        <f t="shared" si="498"/>
        <v/>
      </c>
      <c r="EJ392" s="73" t="str">
        <f t="shared" si="461"/>
        <v/>
      </c>
      <c r="EK392" s="73" t="str">
        <f t="shared" si="462"/>
        <v/>
      </c>
      <c r="EL392" s="73" t="str">
        <f t="shared" si="499"/>
        <v/>
      </c>
      <c r="EM392" s="73" t="str">
        <f t="shared" si="500"/>
        <v/>
      </c>
      <c r="EN392" s="73" t="str">
        <f t="shared" si="463"/>
        <v/>
      </c>
      <c r="EO392" s="73" t="str">
        <f t="shared" si="464"/>
        <v/>
      </c>
      <c r="EP392" s="73" t="str">
        <f t="shared" si="465"/>
        <v/>
      </c>
      <c r="EQ392" s="53" t="str">
        <f t="shared" si="466"/>
        <v/>
      </c>
      <c r="ER392" s="47" t="s">
        <v>0</v>
      </c>
      <c r="ES392" s="19" t="str">
        <f t="shared" si="501"/>
        <v/>
      </c>
      <c r="ET392" s="47" t="s">
        <v>0</v>
      </c>
      <c r="EU392" s="19" t="str">
        <f t="shared" si="502"/>
        <v/>
      </c>
      <c r="EV392" s="47" t="s">
        <v>0</v>
      </c>
      <c r="EW392" s="180" t="str">
        <f t="shared" si="467"/>
        <v/>
      </c>
      <c r="EX392" s="47" t="s">
        <v>0</v>
      </c>
    </row>
    <row r="393" spans="1:154" x14ac:dyDescent="0.25">
      <c r="A393" t="s">
        <v>0</v>
      </c>
      <c r="B393" s="52" t="str">
        <f>IF(csv!F383="","",csv!T383)</f>
        <v/>
      </c>
      <c r="C393" s="31" t="s">
        <v>0</v>
      </c>
      <c r="D393" s="31" t="str">
        <f>IF(csv!F383="","",csv!F383)</f>
        <v/>
      </c>
      <c r="E393" s="31" t="str">
        <f>IF(csv!E383="","",csv!E383)</f>
        <v/>
      </c>
      <c r="F393" s="31" t="s">
        <v>0</v>
      </c>
      <c r="G393" s="73" t="str">
        <f>IF(csv!M383="","",csv!M383)</f>
        <v/>
      </c>
      <c r="H393" s="73" t="str">
        <f>IF(csv!N383="","",csv!N383)</f>
        <v/>
      </c>
      <c r="I393" s="31" t="s">
        <v>0</v>
      </c>
      <c r="J393" s="31" t="str">
        <f>IF(csv!P383="","",csv!P383)</f>
        <v/>
      </c>
      <c r="K393" s="31" t="str">
        <f>IF(csv!Q383="","",csv!Q383)</f>
        <v/>
      </c>
      <c r="L393" s="31" t="s">
        <v>0</v>
      </c>
      <c r="M393" s="66" t="str">
        <f>IF(csv!R383="","",csv!R383)</f>
        <v/>
      </c>
      <c r="N393" s="47" t="s">
        <v>0</v>
      </c>
      <c r="O393" s="246" t="str">
        <f t="shared" si="468"/>
        <v/>
      </c>
      <c r="P393" s="47"/>
      <c r="Q393" s="52" t="str">
        <f t="shared" si="469"/>
        <v/>
      </c>
      <c r="R393" s="73" t="str">
        <f>IF(Q393="","",IF(COUNTIF(Q$12:Q392,Q393)=0,R392+1,R392))</f>
        <v/>
      </c>
      <c r="S393" s="73" t="str">
        <f t="shared" si="470"/>
        <v/>
      </c>
      <c r="T393" s="73" t="str">
        <f t="shared" si="434"/>
        <v/>
      </c>
      <c r="U393" s="66" t="str">
        <f t="shared" si="435"/>
        <v/>
      </c>
      <c r="V393" s="47" t="s">
        <v>0</v>
      </c>
      <c r="W393" s="222" t="str">
        <f t="shared" si="436"/>
        <v/>
      </c>
      <c r="X393" s="223" t="str">
        <f t="shared" si="437"/>
        <v/>
      </c>
      <c r="Y393" s="47" t="s">
        <v>0</v>
      </c>
      <c r="Z393" s="52" t="str">
        <f t="shared" si="471"/>
        <v/>
      </c>
      <c r="AA393" s="73" t="str">
        <f t="shared" si="438"/>
        <v/>
      </c>
      <c r="AB393" s="31" t="str">
        <f t="shared" si="472"/>
        <v/>
      </c>
      <c r="AC393" s="66" t="str">
        <f>IF(AB393="","",MAX(AC$12:AC392)+1)</f>
        <v/>
      </c>
      <c r="AD393" s="47" t="s">
        <v>0</v>
      </c>
      <c r="AE393" s="125"/>
      <c r="AF393" s="47" t="s">
        <v>0</v>
      </c>
      <c r="AG393" s="19" t="str">
        <f t="shared" si="473"/>
        <v/>
      </c>
      <c r="AH393" s="47" t="s">
        <v>0</v>
      </c>
      <c r="AI393" s="143" t="str">
        <f t="shared" si="474"/>
        <v/>
      </c>
      <c r="AJ393" s="47"/>
      <c r="AK393" s="52" t="str">
        <f t="shared" si="475"/>
        <v/>
      </c>
      <c r="AL393" s="31" t="str">
        <f t="shared" si="476"/>
        <v/>
      </c>
      <c r="AM393" s="73" t="str">
        <f t="shared" si="477"/>
        <v/>
      </c>
      <c r="AN393" s="73" t="str">
        <f t="shared" si="478"/>
        <v/>
      </c>
      <c r="AO393" s="31" t="str">
        <f t="shared" si="439"/>
        <v/>
      </c>
      <c r="AP393" s="66" t="str">
        <f t="shared" si="440"/>
        <v/>
      </c>
      <c r="AQ393" s="47" t="s">
        <v>0</v>
      </c>
      <c r="AR393" s="82" t="str">
        <f t="shared" si="479"/>
        <v/>
      </c>
      <c r="AS393" s="47" t="s">
        <v>0</v>
      </c>
      <c r="AT393" s="19" t="str">
        <f t="shared" si="480"/>
        <v/>
      </c>
      <c r="AU393" s="47" t="s">
        <v>0</v>
      </c>
      <c r="AV393" s="103"/>
      <c r="AW393" s="105"/>
      <c r="AX393" s="47" t="s">
        <v>0</v>
      </c>
      <c r="AY393" s="259" t="str">
        <f t="shared" si="503"/>
        <v/>
      </c>
      <c r="AZ393" s="47" t="s">
        <v>0</v>
      </c>
      <c r="BA393" s="52" t="str">
        <f t="shared" ref="BA393:BA412" si="513">IF(AV393&amp;AW393="","",AR393)</f>
        <v/>
      </c>
      <c r="BB393" s="73" t="str">
        <f>IF(AV393&amp;AW393="","",MAX(BB$12:BB392)+1)</f>
        <v/>
      </c>
      <c r="BC393" s="272" t="str">
        <f t="shared" si="441"/>
        <v/>
      </c>
      <c r="BD393" s="53" t="str">
        <f>IF(AND(AM393="NEMA",AN393="NEMA",OR(AV393&amp;AW393="",BC393="NEMA")),MAX(BD$12:BD392)+1,"")</f>
        <v/>
      </c>
      <c r="BE393" s="47" t="s">
        <v>0</v>
      </c>
      <c r="BF393" s="52" t="str">
        <f t="shared" si="481"/>
        <v/>
      </c>
      <c r="BG393" s="66" t="str">
        <f t="shared" si="482"/>
        <v/>
      </c>
      <c r="BH393" s="47" t="s">
        <v>0</v>
      </c>
      <c r="BI393" s="52" t="str">
        <f t="shared" si="442"/>
        <v/>
      </c>
      <c r="BJ393" s="31" t="str">
        <f t="shared" si="443"/>
        <v/>
      </c>
      <c r="BK393" s="73" t="str">
        <f t="shared" si="444"/>
        <v/>
      </c>
      <c r="BL393" s="31" t="str" cm="1">
        <f t="array" ref="BL393">IF(BK393="",""&amp;BJ393,IF(BK393="NEMA",BJ393,INDEX(regKlub_naziv,MATCH(INDEX(regKlub_alias_klubId,BK393),regKlub_id,0))))</f>
        <v/>
      </c>
      <c r="BM393" s="31" t="str" cm="1">
        <f t="array" ref="BM393">IFERROR(""&amp;INDEX(regNatjecatelj_klub,DV393),"")</f>
        <v/>
      </c>
      <c r="BN393" s="88" t="str">
        <f t="shared" si="483"/>
        <v/>
      </c>
      <c r="BO393" s="66" t="str">
        <f t="shared" si="484"/>
        <v/>
      </c>
      <c r="BP393" s="47" t="s">
        <v>0</v>
      </c>
      <c r="BQ393" s="52" t="str">
        <f>IF(X393&lt;&gt;"NEMA","",IF(IFERROR(MATCH(W393,W$12:W392,0),0)&lt;&gt;0,"",W393))</f>
        <v/>
      </c>
      <c r="BR393" s="73" t="str">
        <f t="shared" si="485"/>
        <v/>
      </c>
      <c r="BS393" s="31" t="str">
        <f>IF(OR(BR393="",BR393&lt;&gt;"NEMA"),"",MAX(BS$12:BS392)+1)</f>
        <v/>
      </c>
      <c r="BT393" s="66" t="str">
        <f t="shared" si="486"/>
        <v/>
      </c>
      <c r="BU393" s="47" t="s">
        <v>0</v>
      </c>
      <c r="BV393" s="19" t="str">
        <f t="shared" si="487"/>
        <v/>
      </c>
      <c r="BW393" s="47" t="s">
        <v>0</v>
      </c>
      <c r="BX393" s="82" t="str">
        <f>IF(BK393&lt;&gt;"NEMA","",IF(IFERROR(MATCH(BJ393,BJ$12:BJ392,0),0)&lt;&gt;0,"",BJ393))</f>
        <v/>
      </c>
      <c r="BY393" s="47" t="s">
        <v>0</v>
      </c>
      <c r="BZ393" s="125"/>
      <c r="CA393" s="47" t="s">
        <v>0</v>
      </c>
      <c r="CB393" s="58" t="str">
        <f t="shared" si="488"/>
        <v/>
      </c>
      <c r="CC393" s="31" t="str">
        <f t="shared" si="489"/>
        <v/>
      </c>
      <c r="CD393" s="31" t="str">
        <f>IF(CC393="","",MAX(CD$12:CD392)+1)</f>
        <v/>
      </c>
      <c r="CE393" s="31" t="str">
        <f t="shared" si="445"/>
        <v/>
      </c>
      <c r="CF393" s="31" t="str">
        <f t="shared" si="490"/>
        <v/>
      </c>
      <c r="CG393" s="31" t="str">
        <f>IF(BZ393="","",MAX(CG$12:CG392)+1)</f>
        <v/>
      </c>
      <c r="CH393" s="31" t="str">
        <f t="shared" si="491"/>
        <v/>
      </c>
      <c r="CI393" s="66" t="str">
        <f t="shared" si="492"/>
        <v/>
      </c>
      <c r="CJ393" s="47" t="s">
        <v>0</v>
      </c>
      <c r="CK393" s="73" t="str">
        <f t="shared" si="446"/>
        <v/>
      </c>
      <c r="CL393" s="47"/>
      <c r="CM393" s="19" t="str">
        <f t="shared" si="493"/>
        <v/>
      </c>
      <c r="CN393" s="47" t="s">
        <v>0</v>
      </c>
      <c r="CO393" s="143" t="str">
        <f t="shared" si="494"/>
        <v/>
      </c>
      <c r="CP393" s="47" t="s">
        <v>0</v>
      </c>
      <c r="CQ393" s="58" t="str">
        <f t="shared" si="510"/>
        <v/>
      </c>
      <c r="CR393" s="73" t="str">
        <f t="shared" si="511"/>
        <v/>
      </c>
      <c r="CS393" s="229" t="str">
        <f t="shared" si="447"/>
        <v/>
      </c>
      <c r="CT393" s="230" t="str">
        <f t="shared" si="512"/>
        <v/>
      </c>
      <c r="CU393" s="163" t="str">
        <f t="shared" si="448"/>
        <v/>
      </c>
      <c r="CV393" s="47" t="s">
        <v>0</v>
      </c>
      <c r="CW393" s="222" t="str">
        <f t="shared" si="495"/>
        <v xml:space="preserve">
</v>
      </c>
      <c r="CX393" s="223" t="str">
        <f t="shared" si="496"/>
        <v/>
      </c>
      <c r="CY393" s="47" t="s">
        <v>0</v>
      </c>
      <c r="CZ393" s="47"/>
      <c r="DA393" s="47"/>
      <c r="DB393" s="47"/>
      <c r="DC393" s="47" t="s">
        <v>0</v>
      </c>
      <c r="DD393" s="53" t="str">
        <f t="shared" si="504"/>
        <v/>
      </c>
      <c r="DE393" t="s">
        <v>0</v>
      </c>
      <c r="DF393" s="128" t="str">
        <f t="shared" si="505"/>
        <v/>
      </c>
      <c r="DG393" t="s">
        <v>0</v>
      </c>
      <c r="DH393" s="52" t="str">
        <f t="shared" si="506"/>
        <v/>
      </c>
      <c r="DI393" s="66" t="str">
        <f t="shared" si="507"/>
        <v/>
      </c>
      <c r="DJ393" t="s">
        <v>0</v>
      </c>
      <c r="DK393" s="19" t="str">
        <f t="shared" si="508"/>
        <v/>
      </c>
      <c r="DL393" s="47" t="s">
        <v>0</v>
      </c>
      <c r="DM393" s="19" t="str">
        <f t="shared" si="509"/>
        <v/>
      </c>
      <c r="DN393" s="47" t="s">
        <v>0</v>
      </c>
      <c r="DO393" s="52" t="str">
        <f t="shared" si="449"/>
        <v/>
      </c>
      <c r="DP393" s="53" t="str">
        <f t="shared" si="450"/>
        <v/>
      </c>
      <c r="DQ393" s="47" t="s">
        <v>0</v>
      </c>
      <c r="DR393" s="52" t="str">
        <f t="shared" si="451"/>
        <v/>
      </c>
      <c r="DS393" s="53" t="str">
        <f t="shared" si="452"/>
        <v/>
      </c>
      <c r="DT393" s="47" t="s">
        <v>0</v>
      </c>
      <c r="DU393" s="52" t="str">
        <f t="shared" si="453"/>
        <v/>
      </c>
      <c r="DV393" s="53" t="str">
        <f t="shared" si="454"/>
        <v/>
      </c>
      <c r="DW393" s="47" t="s">
        <v>0</v>
      </c>
      <c r="DX393" s="58" t="str">
        <f t="shared" si="497"/>
        <v/>
      </c>
      <c r="DY393" s="53" t="str" cm="1">
        <f t="array" ref="DY393">IF(DX393&lt;&gt;"",INDEX(regNatjecatelj_id,DX393,0),IF(BD393&lt;&gt;"",BD393,""))</f>
        <v/>
      </c>
      <c r="DZ393" s="47" t="s">
        <v>0</v>
      </c>
      <c r="EA393" s="58" t="str">
        <f t="shared" si="455"/>
        <v/>
      </c>
      <c r="EB393" s="73" t="str">
        <f t="shared" si="456"/>
        <v/>
      </c>
      <c r="EC393" s="73" t="str">
        <f t="shared" si="457"/>
        <v/>
      </c>
      <c r="ED393" s="73" t="str">
        <f t="shared" si="458"/>
        <v/>
      </c>
      <c r="EE393" s="66" t="str">
        <f t="shared" si="459"/>
        <v/>
      </c>
      <c r="EF393" s="47" t="s">
        <v>0</v>
      </c>
      <c r="EG393" s="58" t="str">
        <f>IF(AL393="","",MAX(EG$12:EG392)+1)</f>
        <v/>
      </c>
      <c r="EH393" s="73" t="str">
        <f t="shared" si="460"/>
        <v/>
      </c>
      <c r="EI393" s="73" t="str">
        <f t="shared" si="498"/>
        <v/>
      </c>
      <c r="EJ393" s="73" t="str">
        <f t="shared" si="461"/>
        <v/>
      </c>
      <c r="EK393" s="73" t="str">
        <f t="shared" si="462"/>
        <v/>
      </c>
      <c r="EL393" s="73" t="str">
        <f t="shared" si="499"/>
        <v/>
      </c>
      <c r="EM393" s="73" t="str">
        <f t="shared" si="500"/>
        <v/>
      </c>
      <c r="EN393" s="73" t="str">
        <f t="shared" si="463"/>
        <v/>
      </c>
      <c r="EO393" s="73" t="str">
        <f t="shared" si="464"/>
        <v/>
      </c>
      <c r="EP393" s="73" t="str">
        <f t="shared" si="465"/>
        <v/>
      </c>
      <c r="EQ393" s="53" t="str">
        <f t="shared" si="466"/>
        <v/>
      </c>
      <c r="ER393" s="47" t="s">
        <v>0</v>
      </c>
      <c r="ES393" s="19" t="str">
        <f t="shared" si="501"/>
        <v/>
      </c>
      <c r="ET393" s="47" t="s">
        <v>0</v>
      </c>
      <c r="EU393" s="19" t="str">
        <f t="shared" si="502"/>
        <v/>
      </c>
      <c r="EV393" s="47" t="s">
        <v>0</v>
      </c>
      <c r="EW393" s="180" t="str">
        <f t="shared" si="467"/>
        <v/>
      </c>
      <c r="EX393" s="47" t="s">
        <v>0</v>
      </c>
    </row>
    <row r="394" spans="1:154" x14ac:dyDescent="0.25">
      <c r="A394" t="s">
        <v>0</v>
      </c>
      <c r="B394" s="52" t="str">
        <f>IF(csv!F384="","",csv!T384)</f>
        <v/>
      </c>
      <c r="C394" s="31" t="s">
        <v>0</v>
      </c>
      <c r="D394" s="31" t="str">
        <f>IF(csv!F384="","",csv!F384)</f>
        <v/>
      </c>
      <c r="E394" s="31" t="str">
        <f>IF(csv!E384="","",csv!E384)</f>
        <v/>
      </c>
      <c r="F394" s="31" t="s">
        <v>0</v>
      </c>
      <c r="G394" s="73" t="str">
        <f>IF(csv!M384="","",csv!M384)</f>
        <v/>
      </c>
      <c r="H394" s="73" t="str">
        <f>IF(csv!N384="","",csv!N384)</f>
        <v/>
      </c>
      <c r="I394" s="31" t="s">
        <v>0</v>
      </c>
      <c r="J394" s="31" t="str">
        <f>IF(csv!P384="","",csv!P384)</f>
        <v/>
      </c>
      <c r="K394" s="31" t="str">
        <f>IF(csv!Q384="","",csv!Q384)</f>
        <v/>
      </c>
      <c r="L394" s="31" t="s">
        <v>0</v>
      </c>
      <c r="M394" s="66" t="str">
        <f>IF(csv!R384="","",csv!R384)</f>
        <v/>
      </c>
      <c r="N394" s="47" t="s">
        <v>0</v>
      </c>
      <c r="O394" s="246" t="str">
        <f t="shared" si="468"/>
        <v/>
      </c>
      <c r="P394" s="47"/>
      <c r="Q394" s="52" t="str">
        <f t="shared" si="469"/>
        <v/>
      </c>
      <c r="R394" s="73" t="str">
        <f>IF(Q394="","",IF(COUNTIF(Q$12:Q393,Q394)=0,R393+1,R393))</f>
        <v/>
      </c>
      <c r="S394" s="73" t="str">
        <f t="shared" si="470"/>
        <v/>
      </c>
      <c r="T394" s="73" t="str">
        <f t="shared" si="434"/>
        <v/>
      </c>
      <c r="U394" s="66" t="str">
        <f t="shared" si="435"/>
        <v/>
      </c>
      <c r="V394" s="47" t="s">
        <v>0</v>
      </c>
      <c r="W394" s="222" t="str">
        <f t="shared" si="436"/>
        <v/>
      </c>
      <c r="X394" s="223" t="str">
        <f t="shared" si="437"/>
        <v/>
      </c>
      <c r="Y394" s="47" t="s">
        <v>0</v>
      </c>
      <c r="Z394" s="52" t="str">
        <f t="shared" si="471"/>
        <v/>
      </c>
      <c r="AA394" s="73" t="str">
        <f t="shared" si="438"/>
        <v/>
      </c>
      <c r="AB394" s="31" t="str">
        <f t="shared" si="472"/>
        <v/>
      </c>
      <c r="AC394" s="66" t="str">
        <f>IF(AB394="","",MAX(AC$12:AC393)+1)</f>
        <v/>
      </c>
      <c r="AD394" s="47" t="s">
        <v>0</v>
      </c>
      <c r="AE394" s="125"/>
      <c r="AF394" s="47" t="s">
        <v>0</v>
      </c>
      <c r="AG394" s="19" t="str">
        <f t="shared" si="473"/>
        <v/>
      </c>
      <c r="AH394" s="47" t="s">
        <v>0</v>
      </c>
      <c r="AI394" s="143" t="str">
        <f t="shared" si="474"/>
        <v/>
      </c>
      <c r="AJ394" s="47"/>
      <c r="AK394" s="52" t="str">
        <f t="shared" si="475"/>
        <v/>
      </c>
      <c r="AL394" s="31" t="str">
        <f t="shared" si="476"/>
        <v/>
      </c>
      <c r="AM394" s="73" t="str">
        <f t="shared" si="477"/>
        <v/>
      </c>
      <c r="AN394" s="73" t="str">
        <f t="shared" si="478"/>
        <v/>
      </c>
      <c r="AO394" s="31" t="str">
        <f t="shared" si="439"/>
        <v/>
      </c>
      <c r="AP394" s="66" t="str">
        <f t="shared" si="440"/>
        <v/>
      </c>
      <c r="AQ394" s="47" t="s">
        <v>0</v>
      </c>
      <c r="AR394" s="82" t="str">
        <f t="shared" si="479"/>
        <v/>
      </c>
      <c r="AS394" s="47" t="s">
        <v>0</v>
      </c>
      <c r="AT394" s="19" t="str">
        <f t="shared" si="480"/>
        <v/>
      </c>
      <c r="AU394" s="47" t="s">
        <v>0</v>
      </c>
      <c r="AV394" s="103"/>
      <c r="AW394" s="105"/>
      <c r="AX394" s="47" t="s">
        <v>0</v>
      </c>
      <c r="AY394" s="259" t="str">
        <f t="shared" si="503"/>
        <v/>
      </c>
      <c r="AZ394" s="47" t="s">
        <v>0</v>
      </c>
      <c r="BA394" s="52" t="str">
        <f t="shared" si="513"/>
        <v/>
      </c>
      <c r="BB394" s="73" t="str">
        <f>IF(AV394&amp;AW394="","",MAX(BB$12:BB393)+1)</f>
        <v/>
      </c>
      <c r="BC394" s="272" t="str">
        <f t="shared" si="441"/>
        <v/>
      </c>
      <c r="BD394" s="53" t="str">
        <f>IF(AND(AM394="NEMA",AN394="NEMA",OR(AV394&amp;AW394="",BC394="NEMA")),MAX(BD$12:BD393)+1,"")</f>
        <v/>
      </c>
      <c r="BE394" s="47" t="s">
        <v>0</v>
      </c>
      <c r="BF394" s="52" t="str">
        <f t="shared" si="481"/>
        <v/>
      </c>
      <c r="BG394" s="66" t="str">
        <f t="shared" si="482"/>
        <v/>
      </c>
      <c r="BH394" s="47" t="s">
        <v>0</v>
      </c>
      <c r="BI394" s="52" t="str">
        <f t="shared" si="442"/>
        <v/>
      </c>
      <c r="BJ394" s="31" t="str">
        <f t="shared" si="443"/>
        <v/>
      </c>
      <c r="BK394" s="73" t="str">
        <f t="shared" si="444"/>
        <v/>
      </c>
      <c r="BL394" s="31" t="str" cm="1">
        <f t="array" ref="BL394">IF(BK394="",""&amp;BJ394,IF(BK394="NEMA",BJ394,INDEX(regKlub_naziv,MATCH(INDEX(regKlub_alias_klubId,BK394),regKlub_id,0))))</f>
        <v/>
      </c>
      <c r="BM394" s="31" t="str" cm="1">
        <f t="array" ref="BM394">IFERROR(""&amp;INDEX(regNatjecatelj_klub,DV394),"")</f>
        <v/>
      </c>
      <c r="BN394" s="88" t="str">
        <f t="shared" si="483"/>
        <v/>
      </c>
      <c r="BO394" s="66" t="str">
        <f t="shared" si="484"/>
        <v/>
      </c>
      <c r="BP394" s="47" t="s">
        <v>0</v>
      </c>
      <c r="BQ394" s="52" t="str">
        <f>IF(X394&lt;&gt;"NEMA","",IF(IFERROR(MATCH(W394,W$12:W393,0),0)&lt;&gt;0,"",W394))</f>
        <v/>
      </c>
      <c r="BR394" s="73" t="str">
        <f t="shared" si="485"/>
        <v/>
      </c>
      <c r="BS394" s="31" t="str">
        <f>IF(OR(BR394="",BR394&lt;&gt;"NEMA"),"",MAX(BS$12:BS393)+1)</f>
        <v/>
      </c>
      <c r="BT394" s="66" t="str">
        <f t="shared" si="486"/>
        <v/>
      </c>
      <c r="BU394" s="47" t="s">
        <v>0</v>
      </c>
      <c r="BV394" s="19" t="str">
        <f t="shared" si="487"/>
        <v/>
      </c>
      <c r="BW394" s="47" t="s">
        <v>0</v>
      </c>
      <c r="BX394" s="82" t="str">
        <f>IF(BK394&lt;&gt;"NEMA","",IF(IFERROR(MATCH(BJ394,BJ$12:BJ393,0),0)&lt;&gt;0,"",BJ394))</f>
        <v/>
      </c>
      <c r="BY394" s="47" t="s">
        <v>0</v>
      </c>
      <c r="BZ394" s="125"/>
      <c r="CA394" s="47" t="s">
        <v>0</v>
      </c>
      <c r="CB394" s="58" t="str">
        <f t="shared" si="488"/>
        <v/>
      </c>
      <c r="CC394" s="31" t="str">
        <f t="shared" si="489"/>
        <v/>
      </c>
      <c r="CD394" s="31" t="str">
        <f>IF(CC394="","",MAX(CD$12:CD393)+1)</f>
        <v/>
      </c>
      <c r="CE394" s="31" t="str">
        <f t="shared" si="445"/>
        <v/>
      </c>
      <c r="CF394" s="31" t="str">
        <f t="shared" si="490"/>
        <v/>
      </c>
      <c r="CG394" s="31" t="str">
        <f>IF(BZ394="","",MAX(CG$12:CG393)+1)</f>
        <v/>
      </c>
      <c r="CH394" s="31" t="str">
        <f t="shared" si="491"/>
        <v/>
      </c>
      <c r="CI394" s="66" t="str">
        <f t="shared" si="492"/>
        <v/>
      </c>
      <c r="CJ394" s="47" t="s">
        <v>0</v>
      </c>
      <c r="CK394" s="73" t="str">
        <f t="shared" si="446"/>
        <v/>
      </c>
      <c r="CL394" s="47"/>
      <c r="CM394" s="19" t="str">
        <f t="shared" si="493"/>
        <v/>
      </c>
      <c r="CN394" s="47" t="s">
        <v>0</v>
      </c>
      <c r="CO394" s="143" t="str">
        <f t="shared" si="494"/>
        <v/>
      </c>
      <c r="CP394" s="47" t="s">
        <v>0</v>
      </c>
      <c r="CQ394" s="58" t="str">
        <f t="shared" si="510"/>
        <v/>
      </c>
      <c r="CR394" s="73" t="str">
        <f t="shared" si="511"/>
        <v/>
      </c>
      <c r="CS394" s="229" t="str">
        <f t="shared" si="447"/>
        <v/>
      </c>
      <c r="CT394" s="230" t="str">
        <f t="shared" si="512"/>
        <v/>
      </c>
      <c r="CU394" s="163" t="str">
        <f t="shared" si="448"/>
        <v/>
      </c>
      <c r="CV394" s="47" t="s">
        <v>0</v>
      </c>
      <c r="CW394" s="222" t="str">
        <f t="shared" si="495"/>
        <v xml:space="preserve">
</v>
      </c>
      <c r="CX394" s="223" t="str">
        <f t="shared" si="496"/>
        <v/>
      </c>
      <c r="CY394" s="47" t="s">
        <v>0</v>
      </c>
      <c r="CZ394" s="47"/>
      <c r="DA394" s="47"/>
      <c r="DB394" s="47"/>
      <c r="DC394" s="47" t="s">
        <v>0</v>
      </c>
      <c r="DD394" s="53" t="str">
        <f t="shared" si="504"/>
        <v/>
      </c>
      <c r="DE394" t="s">
        <v>0</v>
      </c>
      <c r="DF394" s="128" t="str">
        <f t="shared" si="505"/>
        <v/>
      </c>
      <c r="DG394" t="s">
        <v>0</v>
      </c>
      <c r="DH394" s="52" t="str">
        <f t="shared" si="506"/>
        <v/>
      </c>
      <c r="DI394" s="66" t="str">
        <f t="shared" si="507"/>
        <v/>
      </c>
      <c r="DJ394" t="s">
        <v>0</v>
      </c>
      <c r="DK394" s="19" t="str">
        <f t="shared" si="508"/>
        <v/>
      </c>
      <c r="DL394" s="47" t="s">
        <v>0</v>
      </c>
      <c r="DM394" s="19" t="str">
        <f t="shared" si="509"/>
        <v/>
      </c>
      <c r="DN394" s="47" t="s">
        <v>0</v>
      </c>
      <c r="DO394" s="52" t="str">
        <f t="shared" si="449"/>
        <v/>
      </c>
      <c r="DP394" s="53" t="str">
        <f t="shared" si="450"/>
        <v/>
      </c>
      <c r="DQ394" s="47" t="s">
        <v>0</v>
      </c>
      <c r="DR394" s="52" t="str">
        <f t="shared" si="451"/>
        <v/>
      </c>
      <c r="DS394" s="53" t="str">
        <f t="shared" si="452"/>
        <v/>
      </c>
      <c r="DT394" s="47" t="s">
        <v>0</v>
      </c>
      <c r="DU394" s="52" t="str">
        <f t="shared" si="453"/>
        <v/>
      </c>
      <c r="DV394" s="53" t="str">
        <f t="shared" si="454"/>
        <v/>
      </c>
      <c r="DW394" s="47" t="s">
        <v>0</v>
      </c>
      <c r="DX394" s="58" t="str">
        <f t="shared" si="497"/>
        <v/>
      </c>
      <c r="DY394" s="53" t="str" cm="1">
        <f t="array" ref="DY394">IF(DX394&lt;&gt;"",INDEX(regNatjecatelj_id,DX394,0),IF(BD394&lt;&gt;"",BD394,""))</f>
        <v/>
      </c>
      <c r="DZ394" s="47" t="s">
        <v>0</v>
      </c>
      <c r="EA394" s="58" t="str">
        <f t="shared" si="455"/>
        <v/>
      </c>
      <c r="EB394" s="73" t="str">
        <f t="shared" si="456"/>
        <v/>
      </c>
      <c r="EC394" s="73" t="str">
        <f t="shared" si="457"/>
        <v/>
      </c>
      <c r="ED394" s="73" t="str">
        <f t="shared" si="458"/>
        <v/>
      </c>
      <c r="EE394" s="66" t="str">
        <f t="shared" si="459"/>
        <v/>
      </c>
      <c r="EF394" s="47" t="s">
        <v>0</v>
      </c>
      <c r="EG394" s="58" t="str">
        <f>IF(AL394="","",MAX(EG$12:EG393)+1)</f>
        <v/>
      </c>
      <c r="EH394" s="73" t="str">
        <f t="shared" si="460"/>
        <v/>
      </c>
      <c r="EI394" s="73" t="str">
        <f t="shared" si="498"/>
        <v/>
      </c>
      <c r="EJ394" s="73" t="str">
        <f t="shared" si="461"/>
        <v/>
      </c>
      <c r="EK394" s="73" t="str">
        <f t="shared" si="462"/>
        <v/>
      </c>
      <c r="EL394" s="73" t="str">
        <f t="shared" si="499"/>
        <v/>
      </c>
      <c r="EM394" s="73" t="str">
        <f t="shared" si="500"/>
        <v/>
      </c>
      <c r="EN394" s="73" t="str">
        <f t="shared" si="463"/>
        <v/>
      </c>
      <c r="EO394" s="73" t="str">
        <f t="shared" si="464"/>
        <v/>
      </c>
      <c r="EP394" s="73" t="str">
        <f t="shared" si="465"/>
        <v/>
      </c>
      <c r="EQ394" s="53" t="str">
        <f t="shared" si="466"/>
        <v/>
      </c>
      <c r="ER394" s="47" t="s">
        <v>0</v>
      </c>
      <c r="ES394" s="19" t="str">
        <f t="shared" si="501"/>
        <v/>
      </c>
      <c r="ET394" s="47" t="s">
        <v>0</v>
      </c>
      <c r="EU394" s="19" t="str">
        <f t="shared" si="502"/>
        <v/>
      </c>
      <c r="EV394" s="47" t="s">
        <v>0</v>
      </c>
      <c r="EW394" s="180" t="str">
        <f t="shared" si="467"/>
        <v/>
      </c>
      <c r="EX394" s="47" t="s">
        <v>0</v>
      </c>
    </row>
    <row r="395" spans="1:154" x14ac:dyDescent="0.25">
      <c r="A395" t="s">
        <v>0</v>
      </c>
      <c r="B395" s="52" t="str">
        <f>IF(csv!F385="","",csv!T385)</f>
        <v/>
      </c>
      <c r="C395" s="31" t="s">
        <v>0</v>
      </c>
      <c r="D395" s="31" t="str">
        <f>IF(csv!F385="","",csv!F385)</f>
        <v/>
      </c>
      <c r="E395" s="31" t="str">
        <f>IF(csv!E385="","",csv!E385)</f>
        <v/>
      </c>
      <c r="F395" s="31" t="s">
        <v>0</v>
      </c>
      <c r="G395" s="73" t="str">
        <f>IF(csv!M385="","",csv!M385)</f>
        <v/>
      </c>
      <c r="H395" s="73" t="str">
        <f>IF(csv!N385="","",csv!N385)</f>
        <v/>
      </c>
      <c r="I395" s="31" t="s">
        <v>0</v>
      </c>
      <c r="J395" s="31" t="str">
        <f>IF(csv!P385="","",csv!P385)</f>
        <v/>
      </c>
      <c r="K395" s="31" t="str">
        <f>IF(csv!Q385="","",csv!Q385)</f>
        <v/>
      </c>
      <c r="L395" s="31" t="s">
        <v>0</v>
      </c>
      <c r="M395" s="66" t="str">
        <f>IF(csv!R385="","",csv!R385)</f>
        <v/>
      </c>
      <c r="N395" s="47" t="s">
        <v>0</v>
      </c>
      <c r="O395" s="246" t="str">
        <f t="shared" si="468"/>
        <v/>
      </c>
      <c r="P395" s="47"/>
      <c r="Q395" s="52" t="str">
        <f t="shared" si="469"/>
        <v/>
      </c>
      <c r="R395" s="73" t="str">
        <f>IF(Q395="","",IF(COUNTIF(Q$12:Q394,Q395)=0,R394+1,R394))</f>
        <v/>
      </c>
      <c r="S395" s="73" t="str">
        <f t="shared" si="470"/>
        <v/>
      </c>
      <c r="T395" s="73" t="str">
        <f t="shared" si="434"/>
        <v/>
      </c>
      <c r="U395" s="66" t="str">
        <f t="shared" si="435"/>
        <v/>
      </c>
      <c r="V395" s="47" t="s">
        <v>0</v>
      </c>
      <c r="W395" s="222" t="str">
        <f t="shared" si="436"/>
        <v/>
      </c>
      <c r="X395" s="223" t="str">
        <f t="shared" si="437"/>
        <v/>
      </c>
      <c r="Y395" s="47" t="s">
        <v>0</v>
      </c>
      <c r="Z395" s="52" t="str">
        <f t="shared" si="471"/>
        <v/>
      </c>
      <c r="AA395" s="73" t="str">
        <f t="shared" si="438"/>
        <v/>
      </c>
      <c r="AB395" s="31" t="str">
        <f t="shared" si="472"/>
        <v/>
      </c>
      <c r="AC395" s="66" t="str">
        <f>IF(AB395="","",MAX(AC$12:AC394)+1)</f>
        <v/>
      </c>
      <c r="AD395" s="47" t="s">
        <v>0</v>
      </c>
      <c r="AE395" s="125"/>
      <c r="AF395" s="47" t="s">
        <v>0</v>
      </c>
      <c r="AG395" s="19" t="str">
        <f t="shared" si="473"/>
        <v/>
      </c>
      <c r="AH395" s="47" t="s">
        <v>0</v>
      </c>
      <c r="AI395" s="143" t="str">
        <f t="shared" si="474"/>
        <v/>
      </c>
      <c r="AJ395" s="47"/>
      <c r="AK395" s="52" t="str">
        <f t="shared" si="475"/>
        <v/>
      </c>
      <c r="AL395" s="31" t="str">
        <f t="shared" si="476"/>
        <v/>
      </c>
      <c r="AM395" s="73" t="str">
        <f t="shared" si="477"/>
        <v/>
      </c>
      <c r="AN395" s="73" t="str">
        <f t="shared" si="478"/>
        <v/>
      </c>
      <c r="AO395" s="31" t="str">
        <f t="shared" si="439"/>
        <v/>
      </c>
      <c r="AP395" s="66" t="str">
        <f t="shared" si="440"/>
        <v/>
      </c>
      <c r="AQ395" s="47" t="s">
        <v>0</v>
      </c>
      <c r="AR395" s="82" t="str">
        <f t="shared" si="479"/>
        <v/>
      </c>
      <c r="AS395" s="47" t="s">
        <v>0</v>
      </c>
      <c r="AT395" s="19" t="str">
        <f t="shared" si="480"/>
        <v/>
      </c>
      <c r="AU395" s="47" t="s">
        <v>0</v>
      </c>
      <c r="AV395" s="103"/>
      <c r="AW395" s="105"/>
      <c r="AX395" s="47" t="s">
        <v>0</v>
      </c>
      <c r="AY395" s="259" t="str">
        <f t="shared" si="503"/>
        <v/>
      </c>
      <c r="AZ395" s="47" t="s">
        <v>0</v>
      </c>
      <c r="BA395" s="52" t="str">
        <f t="shared" si="513"/>
        <v/>
      </c>
      <c r="BB395" s="73" t="str">
        <f>IF(AV395&amp;AW395="","",MAX(BB$12:BB394)+1)</f>
        <v/>
      </c>
      <c r="BC395" s="272" t="str">
        <f t="shared" si="441"/>
        <v/>
      </c>
      <c r="BD395" s="53" t="str">
        <f>IF(AND(AM395="NEMA",AN395="NEMA",OR(AV395&amp;AW395="",BC395="NEMA")),MAX(BD$12:BD394)+1,"")</f>
        <v/>
      </c>
      <c r="BE395" s="47" t="s">
        <v>0</v>
      </c>
      <c r="BF395" s="52" t="str">
        <f t="shared" si="481"/>
        <v/>
      </c>
      <c r="BG395" s="66" t="str">
        <f t="shared" si="482"/>
        <v/>
      </c>
      <c r="BH395" s="47" t="s">
        <v>0</v>
      </c>
      <c r="BI395" s="52" t="str">
        <f t="shared" si="442"/>
        <v/>
      </c>
      <c r="BJ395" s="31" t="str">
        <f t="shared" si="443"/>
        <v/>
      </c>
      <c r="BK395" s="73" t="str">
        <f t="shared" si="444"/>
        <v/>
      </c>
      <c r="BL395" s="31" t="str" cm="1">
        <f t="array" ref="BL395">IF(BK395="",""&amp;BJ395,IF(BK395="NEMA",BJ395,INDEX(regKlub_naziv,MATCH(INDEX(regKlub_alias_klubId,BK395),regKlub_id,0))))</f>
        <v/>
      </c>
      <c r="BM395" s="31" t="str" cm="1">
        <f t="array" ref="BM395">IFERROR(""&amp;INDEX(regNatjecatelj_klub,DV395),"")</f>
        <v/>
      </c>
      <c r="BN395" s="88" t="str">
        <f t="shared" si="483"/>
        <v/>
      </c>
      <c r="BO395" s="66" t="str">
        <f t="shared" si="484"/>
        <v/>
      </c>
      <c r="BP395" s="47" t="s">
        <v>0</v>
      </c>
      <c r="BQ395" s="52" t="str">
        <f>IF(X395&lt;&gt;"NEMA","",IF(IFERROR(MATCH(W395,W$12:W394,0),0)&lt;&gt;0,"",W395))</f>
        <v/>
      </c>
      <c r="BR395" s="73" t="str">
        <f t="shared" si="485"/>
        <v/>
      </c>
      <c r="BS395" s="31" t="str">
        <f>IF(OR(BR395="",BR395&lt;&gt;"NEMA"),"",MAX(BS$12:BS394)+1)</f>
        <v/>
      </c>
      <c r="BT395" s="66" t="str">
        <f t="shared" si="486"/>
        <v/>
      </c>
      <c r="BU395" s="47" t="s">
        <v>0</v>
      </c>
      <c r="BV395" s="19" t="str">
        <f t="shared" si="487"/>
        <v/>
      </c>
      <c r="BW395" s="47" t="s">
        <v>0</v>
      </c>
      <c r="BX395" s="82" t="str">
        <f>IF(BK395&lt;&gt;"NEMA","",IF(IFERROR(MATCH(BJ395,BJ$12:BJ394,0),0)&lt;&gt;0,"",BJ395))</f>
        <v/>
      </c>
      <c r="BY395" s="47" t="s">
        <v>0</v>
      </c>
      <c r="BZ395" s="125"/>
      <c r="CA395" s="47" t="s">
        <v>0</v>
      </c>
      <c r="CB395" s="58" t="str">
        <f t="shared" si="488"/>
        <v/>
      </c>
      <c r="CC395" s="31" t="str">
        <f t="shared" si="489"/>
        <v/>
      </c>
      <c r="CD395" s="31" t="str">
        <f>IF(CC395="","",MAX(CD$12:CD394)+1)</f>
        <v/>
      </c>
      <c r="CE395" s="31" t="str">
        <f t="shared" si="445"/>
        <v/>
      </c>
      <c r="CF395" s="31" t="str">
        <f t="shared" si="490"/>
        <v/>
      </c>
      <c r="CG395" s="31" t="str">
        <f>IF(BZ395="","",MAX(CG$12:CG394)+1)</f>
        <v/>
      </c>
      <c r="CH395" s="31" t="str">
        <f t="shared" si="491"/>
        <v/>
      </c>
      <c r="CI395" s="66" t="str">
        <f t="shared" si="492"/>
        <v/>
      </c>
      <c r="CJ395" s="47" t="s">
        <v>0</v>
      </c>
      <c r="CK395" s="73" t="str">
        <f t="shared" si="446"/>
        <v/>
      </c>
      <c r="CL395" s="47"/>
      <c r="CM395" s="19" t="str">
        <f t="shared" si="493"/>
        <v/>
      </c>
      <c r="CN395" s="47" t="s">
        <v>0</v>
      </c>
      <c r="CO395" s="143" t="str">
        <f t="shared" si="494"/>
        <v/>
      </c>
      <c r="CP395" s="47" t="s">
        <v>0</v>
      </c>
      <c r="CQ395" s="58" t="str">
        <f t="shared" si="510"/>
        <v/>
      </c>
      <c r="CR395" s="73" t="str">
        <f t="shared" si="511"/>
        <v/>
      </c>
      <c r="CS395" s="229" t="str">
        <f t="shared" si="447"/>
        <v/>
      </c>
      <c r="CT395" s="230" t="str">
        <f t="shared" si="512"/>
        <v/>
      </c>
      <c r="CU395" s="163" t="str">
        <f t="shared" si="448"/>
        <v/>
      </c>
      <c r="CV395" s="47" t="s">
        <v>0</v>
      </c>
      <c r="CW395" s="222" t="str">
        <f t="shared" si="495"/>
        <v xml:space="preserve">
</v>
      </c>
      <c r="CX395" s="223" t="str">
        <f t="shared" si="496"/>
        <v/>
      </c>
      <c r="CY395" s="47" t="s">
        <v>0</v>
      </c>
      <c r="CZ395" s="47"/>
      <c r="DA395" s="47"/>
      <c r="DB395" s="47"/>
      <c r="DC395" s="47" t="s">
        <v>0</v>
      </c>
      <c r="DD395" s="53" t="str">
        <f t="shared" si="504"/>
        <v/>
      </c>
      <c r="DE395" t="s">
        <v>0</v>
      </c>
      <c r="DF395" s="128" t="str">
        <f t="shared" si="505"/>
        <v/>
      </c>
      <c r="DG395" t="s">
        <v>0</v>
      </c>
      <c r="DH395" s="52" t="str">
        <f t="shared" si="506"/>
        <v/>
      </c>
      <c r="DI395" s="66" t="str">
        <f t="shared" si="507"/>
        <v/>
      </c>
      <c r="DJ395" t="s">
        <v>0</v>
      </c>
      <c r="DK395" s="19" t="str">
        <f t="shared" si="508"/>
        <v/>
      </c>
      <c r="DL395" s="47" t="s">
        <v>0</v>
      </c>
      <c r="DM395" s="19" t="str">
        <f t="shared" si="509"/>
        <v/>
      </c>
      <c r="DN395" s="47" t="s">
        <v>0</v>
      </c>
      <c r="DO395" s="52" t="str">
        <f t="shared" si="449"/>
        <v/>
      </c>
      <c r="DP395" s="53" t="str">
        <f t="shared" si="450"/>
        <v/>
      </c>
      <c r="DQ395" s="47" t="s">
        <v>0</v>
      </c>
      <c r="DR395" s="52" t="str">
        <f t="shared" si="451"/>
        <v/>
      </c>
      <c r="DS395" s="53" t="str">
        <f t="shared" si="452"/>
        <v/>
      </c>
      <c r="DT395" s="47" t="s">
        <v>0</v>
      </c>
      <c r="DU395" s="52" t="str">
        <f t="shared" si="453"/>
        <v/>
      </c>
      <c r="DV395" s="53" t="str">
        <f t="shared" si="454"/>
        <v/>
      </c>
      <c r="DW395" s="47" t="s">
        <v>0</v>
      </c>
      <c r="DX395" s="58" t="str">
        <f t="shared" si="497"/>
        <v/>
      </c>
      <c r="DY395" s="53" t="str" cm="1">
        <f t="array" ref="DY395">IF(DX395&lt;&gt;"",INDEX(regNatjecatelj_id,DX395,0),IF(BD395&lt;&gt;"",BD395,""))</f>
        <v/>
      </c>
      <c r="DZ395" s="47" t="s">
        <v>0</v>
      </c>
      <c r="EA395" s="58" t="str">
        <f t="shared" si="455"/>
        <v/>
      </c>
      <c r="EB395" s="73" t="str">
        <f t="shared" si="456"/>
        <v/>
      </c>
      <c r="EC395" s="73" t="str">
        <f t="shared" si="457"/>
        <v/>
      </c>
      <c r="ED395" s="73" t="str">
        <f t="shared" si="458"/>
        <v/>
      </c>
      <c r="EE395" s="66" t="str">
        <f t="shared" si="459"/>
        <v/>
      </c>
      <c r="EF395" s="47" t="s">
        <v>0</v>
      </c>
      <c r="EG395" s="58" t="str">
        <f>IF(AL395="","",MAX(EG$12:EG394)+1)</f>
        <v/>
      </c>
      <c r="EH395" s="73" t="str">
        <f t="shared" si="460"/>
        <v/>
      </c>
      <c r="EI395" s="73" t="str">
        <f t="shared" si="498"/>
        <v/>
      </c>
      <c r="EJ395" s="73" t="str">
        <f t="shared" si="461"/>
        <v/>
      </c>
      <c r="EK395" s="73" t="str">
        <f t="shared" si="462"/>
        <v/>
      </c>
      <c r="EL395" s="73" t="str">
        <f t="shared" si="499"/>
        <v/>
      </c>
      <c r="EM395" s="73" t="str">
        <f t="shared" si="500"/>
        <v/>
      </c>
      <c r="EN395" s="73" t="str">
        <f t="shared" si="463"/>
        <v/>
      </c>
      <c r="EO395" s="73" t="str">
        <f t="shared" si="464"/>
        <v/>
      </c>
      <c r="EP395" s="73" t="str">
        <f t="shared" si="465"/>
        <v/>
      </c>
      <c r="EQ395" s="53" t="str">
        <f t="shared" si="466"/>
        <v/>
      </c>
      <c r="ER395" s="47" t="s">
        <v>0</v>
      </c>
      <c r="ES395" s="19" t="str">
        <f t="shared" si="501"/>
        <v/>
      </c>
      <c r="ET395" s="47" t="s">
        <v>0</v>
      </c>
      <c r="EU395" s="19" t="str">
        <f t="shared" si="502"/>
        <v/>
      </c>
      <c r="EV395" s="47" t="s">
        <v>0</v>
      </c>
      <c r="EW395" s="180" t="str">
        <f t="shared" si="467"/>
        <v/>
      </c>
      <c r="EX395" s="47" t="s">
        <v>0</v>
      </c>
    </row>
    <row r="396" spans="1:154" x14ac:dyDescent="0.25">
      <c r="A396" t="s">
        <v>0</v>
      </c>
      <c r="B396" s="52" t="str">
        <f>IF(csv!F386="","",csv!T386)</f>
        <v/>
      </c>
      <c r="C396" s="31" t="s">
        <v>0</v>
      </c>
      <c r="D396" s="31" t="str">
        <f>IF(csv!F386="","",csv!F386)</f>
        <v/>
      </c>
      <c r="E396" s="31" t="str">
        <f>IF(csv!E386="","",csv!E386)</f>
        <v/>
      </c>
      <c r="F396" s="31" t="s">
        <v>0</v>
      </c>
      <c r="G396" s="73" t="str">
        <f>IF(csv!M386="","",csv!M386)</f>
        <v/>
      </c>
      <c r="H396" s="73" t="str">
        <f>IF(csv!N386="","",csv!N386)</f>
        <v/>
      </c>
      <c r="I396" s="31" t="s">
        <v>0</v>
      </c>
      <c r="J396" s="31" t="str">
        <f>IF(csv!P386="","",csv!P386)</f>
        <v/>
      </c>
      <c r="K396" s="31" t="str">
        <f>IF(csv!Q386="","",csv!Q386)</f>
        <v/>
      </c>
      <c r="L396" s="31" t="s">
        <v>0</v>
      </c>
      <c r="M396" s="66" t="str">
        <f>IF(csv!R386="","",csv!R386)</f>
        <v/>
      </c>
      <c r="N396" s="47" t="s">
        <v>0</v>
      </c>
      <c r="O396" s="246" t="str">
        <f t="shared" si="468"/>
        <v/>
      </c>
      <c r="P396" s="47"/>
      <c r="Q396" s="52" t="str">
        <f t="shared" si="469"/>
        <v/>
      </c>
      <c r="R396" s="73" t="str">
        <f>IF(Q396="","",IF(COUNTIF(Q$12:Q395,Q396)=0,R395+1,R395))</f>
        <v/>
      </c>
      <c r="S396" s="73" t="str">
        <f t="shared" si="470"/>
        <v/>
      </c>
      <c r="T396" s="73" t="str">
        <f t="shared" si="434"/>
        <v/>
      </c>
      <c r="U396" s="66" t="str">
        <f t="shared" si="435"/>
        <v/>
      </c>
      <c r="V396" s="47" t="s">
        <v>0</v>
      </c>
      <c r="W396" s="222" t="str">
        <f t="shared" si="436"/>
        <v/>
      </c>
      <c r="X396" s="223" t="str">
        <f t="shared" si="437"/>
        <v/>
      </c>
      <c r="Y396" s="47" t="s">
        <v>0</v>
      </c>
      <c r="Z396" s="52" t="str">
        <f t="shared" si="471"/>
        <v/>
      </c>
      <c r="AA396" s="73" t="str">
        <f t="shared" si="438"/>
        <v/>
      </c>
      <c r="AB396" s="31" t="str">
        <f t="shared" si="472"/>
        <v/>
      </c>
      <c r="AC396" s="66" t="str">
        <f>IF(AB396="","",MAX(AC$12:AC395)+1)</f>
        <v/>
      </c>
      <c r="AD396" s="47" t="s">
        <v>0</v>
      </c>
      <c r="AE396" s="125"/>
      <c r="AF396" s="47" t="s">
        <v>0</v>
      </c>
      <c r="AG396" s="19" t="str">
        <f t="shared" si="473"/>
        <v/>
      </c>
      <c r="AH396" s="47" t="s">
        <v>0</v>
      </c>
      <c r="AI396" s="143" t="str">
        <f t="shared" si="474"/>
        <v/>
      </c>
      <c r="AJ396" s="47"/>
      <c r="AK396" s="52" t="str">
        <f t="shared" si="475"/>
        <v/>
      </c>
      <c r="AL396" s="31" t="str">
        <f t="shared" si="476"/>
        <v/>
      </c>
      <c r="AM396" s="73" t="str">
        <f t="shared" si="477"/>
        <v/>
      </c>
      <c r="AN396" s="73" t="str">
        <f t="shared" si="478"/>
        <v/>
      </c>
      <c r="AO396" s="31" t="str">
        <f t="shared" si="439"/>
        <v/>
      </c>
      <c r="AP396" s="66" t="str">
        <f t="shared" si="440"/>
        <v/>
      </c>
      <c r="AQ396" s="47" t="s">
        <v>0</v>
      </c>
      <c r="AR396" s="82" t="str">
        <f t="shared" si="479"/>
        <v/>
      </c>
      <c r="AS396" s="47" t="s">
        <v>0</v>
      </c>
      <c r="AT396" s="19" t="str">
        <f t="shared" si="480"/>
        <v/>
      </c>
      <c r="AU396" s="47" t="s">
        <v>0</v>
      </c>
      <c r="AV396" s="103"/>
      <c r="AW396" s="105"/>
      <c r="AX396" s="47" t="s">
        <v>0</v>
      </c>
      <c r="AY396" s="259" t="str">
        <f t="shared" si="503"/>
        <v/>
      </c>
      <c r="AZ396" s="47" t="s">
        <v>0</v>
      </c>
      <c r="BA396" s="52" t="str">
        <f t="shared" si="513"/>
        <v/>
      </c>
      <c r="BB396" s="73" t="str">
        <f>IF(AV396&amp;AW396="","",MAX(BB$12:BB395)+1)</f>
        <v/>
      </c>
      <c r="BC396" s="272" t="str">
        <f t="shared" si="441"/>
        <v/>
      </c>
      <c r="BD396" s="53" t="str">
        <f>IF(AND(AM396="NEMA",AN396="NEMA",OR(AV396&amp;AW396="",BC396="NEMA")),MAX(BD$12:BD395)+1,"")</f>
        <v/>
      </c>
      <c r="BE396" s="47" t="s">
        <v>0</v>
      </c>
      <c r="BF396" s="52" t="str">
        <f t="shared" si="481"/>
        <v/>
      </c>
      <c r="BG396" s="66" t="str">
        <f t="shared" si="482"/>
        <v/>
      </c>
      <c r="BH396" s="47" t="s">
        <v>0</v>
      </c>
      <c r="BI396" s="52" t="str">
        <f t="shared" si="442"/>
        <v/>
      </c>
      <c r="BJ396" s="31" t="str">
        <f t="shared" si="443"/>
        <v/>
      </c>
      <c r="BK396" s="73" t="str">
        <f t="shared" si="444"/>
        <v/>
      </c>
      <c r="BL396" s="31" t="str" cm="1">
        <f t="array" ref="BL396">IF(BK396="",""&amp;BJ396,IF(BK396="NEMA",BJ396,INDEX(regKlub_naziv,MATCH(INDEX(regKlub_alias_klubId,BK396),regKlub_id,0))))</f>
        <v/>
      </c>
      <c r="BM396" s="31" t="str" cm="1">
        <f t="array" ref="BM396">IFERROR(""&amp;INDEX(regNatjecatelj_klub,DV396),"")</f>
        <v/>
      </c>
      <c r="BN396" s="88" t="str">
        <f t="shared" si="483"/>
        <v/>
      </c>
      <c r="BO396" s="66" t="str">
        <f t="shared" si="484"/>
        <v/>
      </c>
      <c r="BP396" s="47" t="s">
        <v>0</v>
      </c>
      <c r="BQ396" s="52" t="str">
        <f>IF(X396&lt;&gt;"NEMA","",IF(IFERROR(MATCH(W396,W$12:W395,0),0)&lt;&gt;0,"",W396))</f>
        <v/>
      </c>
      <c r="BR396" s="73" t="str">
        <f t="shared" si="485"/>
        <v/>
      </c>
      <c r="BS396" s="31" t="str">
        <f>IF(OR(BR396="",BR396&lt;&gt;"NEMA"),"",MAX(BS$12:BS395)+1)</f>
        <v/>
      </c>
      <c r="BT396" s="66" t="str">
        <f t="shared" si="486"/>
        <v/>
      </c>
      <c r="BU396" s="47" t="s">
        <v>0</v>
      </c>
      <c r="BV396" s="19" t="str">
        <f t="shared" si="487"/>
        <v/>
      </c>
      <c r="BW396" s="47" t="s">
        <v>0</v>
      </c>
      <c r="BX396" s="82" t="str">
        <f>IF(BK396&lt;&gt;"NEMA","",IF(IFERROR(MATCH(BJ396,BJ$12:BJ395,0),0)&lt;&gt;0,"",BJ396))</f>
        <v/>
      </c>
      <c r="BY396" s="47" t="s">
        <v>0</v>
      </c>
      <c r="BZ396" s="125"/>
      <c r="CA396" s="47" t="s">
        <v>0</v>
      </c>
      <c r="CB396" s="58" t="str">
        <f t="shared" si="488"/>
        <v/>
      </c>
      <c r="CC396" s="31" t="str">
        <f t="shared" si="489"/>
        <v/>
      </c>
      <c r="CD396" s="31" t="str">
        <f>IF(CC396="","",MAX(CD$12:CD395)+1)</f>
        <v/>
      </c>
      <c r="CE396" s="31" t="str">
        <f t="shared" si="445"/>
        <v/>
      </c>
      <c r="CF396" s="31" t="str">
        <f t="shared" si="490"/>
        <v/>
      </c>
      <c r="CG396" s="31" t="str">
        <f>IF(BZ396="","",MAX(CG$12:CG395)+1)</f>
        <v/>
      </c>
      <c r="CH396" s="31" t="str">
        <f t="shared" si="491"/>
        <v/>
      </c>
      <c r="CI396" s="66" t="str">
        <f t="shared" si="492"/>
        <v/>
      </c>
      <c r="CJ396" s="47" t="s">
        <v>0</v>
      </c>
      <c r="CK396" s="73" t="str">
        <f t="shared" si="446"/>
        <v/>
      </c>
      <c r="CL396" s="47"/>
      <c r="CM396" s="19" t="str">
        <f t="shared" si="493"/>
        <v/>
      </c>
      <c r="CN396" s="47" t="s">
        <v>0</v>
      </c>
      <c r="CO396" s="143" t="str">
        <f t="shared" si="494"/>
        <v/>
      </c>
      <c r="CP396" s="47" t="s">
        <v>0</v>
      </c>
      <c r="CQ396" s="58" t="str">
        <f t="shared" si="510"/>
        <v/>
      </c>
      <c r="CR396" s="73" t="str">
        <f t="shared" si="511"/>
        <v/>
      </c>
      <c r="CS396" s="229" t="str">
        <f t="shared" si="447"/>
        <v/>
      </c>
      <c r="CT396" s="230" t="str">
        <f t="shared" si="512"/>
        <v/>
      </c>
      <c r="CU396" s="163" t="str">
        <f t="shared" si="448"/>
        <v/>
      </c>
      <c r="CV396" s="47" t="s">
        <v>0</v>
      </c>
      <c r="CW396" s="222" t="str">
        <f t="shared" si="495"/>
        <v xml:space="preserve">
</v>
      </c>
      <c r="CX396" s="223" t="str">
        <f t="shared" si="496"/>
        <v/>
      </c>
      <c r="CY396" s="47" t="s">
        <v>0</v>
      </c>
      <c r="CZ396" s="47"/>
      <c r="DA396" s="47"/>
      <c r="DB396" s="47"/>
      <c r="DC396" s="47" t="s">
        <v>0</v>
      </c>
      <c r="DD396" s="53" t="str">
        <f t="shared" si="504"/>
        <v/>
      </c>
      <c r="DE396" t="s">
        <v>0</v>
      </c>
      <c r="DF396" s="128" t="str">
        <f t="shared" si="505"/>
        <v/>
      </c>
      <c r="DG396" t="s">
        <v>0</v>
      </c>
      <c r="DH396" s="52" t="str">
        <f t="shared" si="506"/>
        <v/>
      </c>
      <c r="DI396" s="66" t="str">
        <f t="shared" si="507"/>
        <v/>
      </c>
      <c r="DJ396" t="s">
        <v>0</v>
      </c>
      <c r="DK396" s="19" t="str">
        <f t="shared" si="508"/>
        <v/>
      </c>
      <c r="DL396" s="47" t="s">
        <v>0</v>
      </c>
      <c r="DM396" s="19" t="str">
        <f t="shared" si="509"/>
        <v/>
      </c>
      <c r="DN396" s="47" t="s">
        <v>0</v>
      </c>
      <c r="DO396" s="52" t="str">
        <f t="shared" si="449"/>
        <v/>
      </c>
      <c r="DP396" s="53" t="str">
        <f t="shared" si="450"/>
        <v/>
      </c>
      <c r="DQ396" s="47" t="s">
        <v>0</v>
      </c>
      <c r="DR396" s="52" t="str">
        <f t="shared" si="451"/>
        <v/>
      </c>
      <c r="DS396" s="53" t="str">
        <f t="shared" si="452"/>
        <v/>
      </c>
      <c r="DT396" s="47" t="s">
        <v>0</v>
      </c>
      <c r="DU396" s="52" t="str">
        <f t="shared" si="453"/>
        <v/>
      </c>
      <c r="DV396" s="53" t="str">
        <f t="shared" si="454"/>
        <v/>
      </c>
      <c r="DW396" s="47" t="s">
        <v>0</v>
      </c>
      <c r="DX396" s="58" t="str">
        <f t="shared" si="497"/>
        <v/>
      </c>
      <c r="DY396" s="53" t="str" cm="1">
        <f t="array" ref="DY396">IF(DX396&lt;&gt;"",INDEX(regNatjecatelj_id,DX396,0),IF(BD396&lt;&gt;"",BD396,""))</f>
        <v/>
      </c>
      <c r="DZ396" s="47" t="s">
        <v>0</v>
      </c>
      <c r="EA396" s="58" t="str">
        <f t="shared" si="455"/>
        <v/>
      </c>
      <c r="EB396" s="73" t="str">
        <f t="shared" si="456"/>
        <v/>
      </c>
      <c r="EC396" s="73" t="str">
        <f t="shared" si="457"/>
        <v/>
      </c>
      <c r="ED396" s="73" t="str">
        <f t="shared" si="458"/>
        <v/>
      </c>
      <c r="EE396" s="66" t="str">
        <f t="shared" si="459"/>
        <v/>
      </c>
      <c r="EF396" s="47" t="s">
        <v>0</v>
      </c>
      <c r="EG396" s="58" t="str">
        <f>IF(AL396="","",MAX(EG$12:EG395)+1)</f>
        <v/>
      </c>
      <c r="EH396" s="73" t="str">
        <f t="shared" si="460"/>
        <v/>
      </c>
      <c r="EI396" s="73" t="str">
        <f t="shared" si="498"/>
        <v/>
      </c>
      <c r="EJ396" s="73" t="str">
        <f t="shared" si="461"/>
        <v/>
      </c>
      <c r="EK396" s="73" t="str">
        <f t="shared" si="462"/>
        <v/>
      </c>
      <c r="EL396" s="73" t="str">
        <f t="shared" si="499"/>
        <v/>
      </c>
      <c r="EM396" s="73" t="str">
        <f t="shared" si="500"/>
        <v/>
      </c>
      <c r="EN396" s="73" t="str">
        <f t="shared" si="463"/>
        <v/>
      </c>
      <c r="EO396" s="73" t="str">
        <f t="shared" si="464"/>
        <v/>
      </c>
      <c r="EP396" s="73" t="str">
        <f t="shared" si="465"/>
        <v/>
      </c>
      <c r="EQ396" s="53" t="str">
        <f t="shared" si="466"/>
        <v/>
      </c>
      <c r="ER396" s="47" t="s">
        <v>0</v>
      </c>
      <c r="ES396" s="19" t="str">
        <f t="shared" si="501"/>
        <v/>
      </c>
      <c r="ET396" s="47" t="s">
        <v>0</v>
      </c>
      <c r="EU396" s="19" t="str">
        <f t="shared" si="502"/>
        <v/>
      </c>
      <c r="EV396" s="47" t="s">
        <v>0</v>
      </c>
      <c r="EW396" s="180" t="str">
        <f t="shared" si="467"/>
        <v/>
      </c>
      <c r="EX396" s="47" t="s">
        <v>0</v>
      </c>
    </row>
    <row r="397" spans="1:154" x14ac:dyDescent="0.25">
      <c r="A397" t="s">
        <v>0</v>
      </c>
      <c r="B397" s="52" t="str">
        <f>IF(csv!F387="","",csv!T387)</f>
        <v/>
      </c>
      <c r="C397" s="31" t="s">
        <v>0</v>
      </c>
      <c r="D397" s="31" t="str">
        <f>IF(csv!F387="","",csv!F387)</f>
        <v/>
      </c>
      <c r="E397" s="31" t="str">
        <f>IF(csv!E387="","",csv!E387)</f>
        <v/>
      </c>
      <c r="F397" s="31" t="s">
        <v>0</v>
      </c>
      <c r="G397" s="73" t="str">
        <f>IF(csv!M387="","",csv!M387)</f>
        <v/>
      </c>
      <c r="H397" s="73" t="str">
        <f>IF(csv!N387="","",csv!N387)</f>
        <v/>
      </c>
      <c r="I397" s="31" t="s">
        <v>0</v>
      </c>
      <c r="J397" s="31" t="str">
        <f>IF(csv!P387="","",csv!P387)</f>
        <v/>
      </c>
      <c r="K397" s="31" t="str">
        <f>IF(csv!Q387="","",csv!Q387)</f>
        <v/>
      </c>
      <c r="L397" s="31" t="s">
        <v>0</v>
      </c>
      <c r="M397" s="66" t="str">
        <f>IF(csv!R387="","",csv!R387)</f>
        <v/>
      </c>
      <c r="N397" s="47" t="s">
        <v>0</v>
      </c>
      <c r="O397" s="246" t="str">
        <f t="shared" si="468"/>
        <v/>
      </c>
      <c r="P397" s="47"/>
      <c r="Q397" s="52" t="str">
        <f t="shared" si="469"/>
        <v/>
      </c>
      <c r="R397" s="73" t="str">
        <f>IF(Q397="","",IF(COUNTIF(Q$12:Q396,Q397)=0,R396+1,R396))</f>
        <v/>
      </c>
      <c r="S397" s="73" t="str">
        <f t="shared" si="470"/>
        <v/>
      </c>
      <c r="T397" s="73" t="str">
        <f t="shared" ref="T397:T412" si="514">IF(Q397="","",IFERROR(INDEX(natStaza_id,MATCH(Q397,natStaza_kategorija,0)),""))</f>
        <v/>
      </c>
      <c r="U397" s="66" t="str">
        <f t="shared" ref="U397:U412" si="515">IF(T397="","",INDEX(natStaza_naziv,MATCH(T397,natStaza_id,0)))</f>
        <v/>
      </c>
      <c r="V397" s="47" t="s">
        <v>0</v>
      </c>
      <c r="W397" s="222" t="str">
        <f t="shared" ref="W397:W412" si="516">IF(O397="","",INDEX(regKategorija_oznaka,MATCH(S397,regKategorija_id,0)))</f>
        <v/>
      </c>
      <c r="X397" s="223" t="str">
        <f t="shared" ref="X397:X412" si="517">IF(W397="","",INDEX(natKategorija_stazaKatId,MATCH(S397,natKategorija_katRegId,0)))</f>
        <v/>
      </c>
      <c r="Y397" s="47" t="s">
        <v>0</v>
      </c>
      <c r="Z397" s="52" t="str">
        <f t="shared" si="471"/>
        <v/>
      </c>
      <c r="AA397" s="73" t="str">
        <f t="shared" ref="AA397:AA412" si="518">IF(Z397="","",IFERROR(INDEX(regDrzava_id,MATCH(Z397,regDrzava_oznaka,0)),"NEMA"))</f>
        <v/>
      </c>
      <c r="AB397" s="31" t="str">
        <f t="shared" si="472"/>
        <v/>
      </c>
      <c r="AC397" s="66" t="str">
        <f>IF(AB397="","",MAX(AC$12:AC396)+1)</f>
        <v/>
      </c>
      <c r="AD397" s="47" t="s">
        <v>0</v>
      </c>
      <c r="AE397" s="125"/>
      <c r="AF397" s="47" t="s">
        <v>0</v>
      </c>
      <c r="AG397" s="19" t="str">
        <f t="shared" si="473"/>
        <v/>
      </c>
      <c r="AH397" s="47" t="s">
        <v>0</v>
      </c>
      <c r="AI397" s="143" t="str">
        <f t="shared" si="474"/>
        <v/>
      </c>
      <c r="AJ397" s="47"/>
      <c r="AK397" s="52" t="str">
        <f t="shared" si="475"/>
        <v/>
      </c>
      <c r="AL397" s="31" t="str">
        <f t="shared" si="476"/>
        <v/>
      </c>
      <c r="AM397" s="73" t="str">
        <f t="shared" si="477"/>
        <v/>
      </c>
      <c r="AN397" s="73" t="str">
        <f t="shared" si="478"/>
        <v/>
      </c>
      <c r="AO397" s="31" t="str">
        <f t="shared" ref="AO397:AO412" si="519">IF(O397="","",IF(OR(AN397="",AN397="NEMA"),AK397,INDEX(regNatjecatelj_ime,MATCH(AN397,regNatjecatelj_id,0))))</f>
        <v/>
      </c>
      <c r="AP397" s="66" t="str">
        <f t="shared" ref="AP397:AP412" si="520">IF(O397="","",IF(OR(AN397="",AN397="NEMA"),AL397,INDEX(regNatjecatelj_prezime,MATCH(AN397,regNatjecatelj_id,0))))</f>
        <v/>
      </c>
      <c r="AQ397" s="47" t="s">
        <v>0</v>
      </c>
      <c r="AR397" s="82" t="str">
        <f t="shared" si="479"/>
        <v/>
      </c>
      <c r="AS397" s="47" t="s">
        <v>0</v>
      </c>
      <c r="AT397" s="19" t="str">
        <f t="shared" si="480"/>
        <v/>
      </c>
      <c r="AU397" s="47" t="s">
        <v>0</v>
      </c>
      <c r="AV397" s="103"/>
      <c r="AW397" s="105"/>
      <c r="AX397" s="47" t="s">
        <v>0</v>
      </c>
      <c r="AY397" s="259" t="str">
        <f t="shared" si="503"/>
        <v/>
      </c>
      <c r="AZ397" s="47" t="s">
        <v>0</v>
      </c>
      <c r="BA397" s="52" t="str">
        <f t="shared" si="513"/>
        <v/>
      </c>
      <c r="BB397" s="73" t="str">
        <f>IF(AV397&amp;AW397="","",MAX(BB$12:BB396)+1)</f>
        <v/>
      </c>
      <c r="BC397" s="272" t="str">
        <f t="shared" ref="BC397:BC412" si="521">IF(AV397&amp;AW397="","",IFERROR(INDEX(regNatjecatelj_id,MATCH(AV397&amp;" – "&amp;AW397,regNatjecatelj_imePrezime,0)),"NEMA"))</f>
        <v/>
      </c>
      <c r="BD397" s="53" t="str">
        <f>IF(AND(AM397="NEMA",AN397="NEMA",OR(AV397&amp;AW397="",BC397="NEMA")),MAX(BD$12:BD396)+1,"")</f>
        <v/>
      </c>
      <c r="BE397" s="47" t="s">
        <v>0</v>
      </c>
      <c r="BF397" s="52" t="str">
        <f t="shared" si="481"/>
        <v/>
      </c>
      <c r="BG397" s="66" t="str">
        <f t="shared" si="482"/>
        <v/>
      </c>
      <c r="BH397" s="47" t="s">
        <v>0</v>
      </c>
      <c r="BI397" s="52" t="str">
        <f t="shared" ref="BI397:BI412" si="522">IF(O397="","",J397)</f>
        <v/>
      </c>
      <c r="BJ397" s="31" t="str">
        <f t="shared" ref="BJ397:BJ412" si="523">IF(O397="","",K397)</f>
        <v/>
      </c>
      <c r="BK397" s="73" t="str">
        <f t="shared" ref="BK397:BK412" si="524">IF(BJ397="","",IF(IFERROR(MATCH(BJ397,regKlub_naziv,0),"")&lt;&gt;"","",IFERROR(MATCH(BJ397,regKlub_alias_alias,0),"NEMA")))</f>
        <v/>
      </c>
      <c r="BL397" s="31" t="str" cm="1">
        <f t="array" ref="BL397">IF(BK397="",""&amp;BJ397,IF(BK397="NEMA",BJ397,INDEX(regKlub_naziv,MATCH(INDEX(regKlub_alias_klubId,BK397),regKlub_id,0))))</f>
        <v/>
      </c>
      <c r="BM397" s="31" t="str" cm="1">
        <f t="array" ref="BM397">IFERROR(""&amp;INDEX(regNatjecatelj_klub,DV397),"")</f>
        <v/>
      </c>
      <c r="BN397" s="88" t="str">
        <f t="shared" si="483"/>
        <v/>
      </c>
      <c r="BO397" s="66" t="str">
        <f t="shared" si="484"/>
        <v/>
      </c>
      <c r="BP397" s="47" t="s">
        <v>0</v>
      </c>
      <c r="BQ397" s="52" t="str">
        <f>IF(X397&lt;&gt;"NEMA","",IF(IFERROR(MATCH(W397,W$12:W396,0),0)&lt;&gt;0,"",W397))</f>
        <v/>
      </c>
      <c r="BR397" s="73" t="str">
        <f t="shared" si="485"/>
        <v/>
      </c>
      <c r="BS397" s="31" t="str">
        <f>IF(OR(BR397="",BR397&lt;&gt;"NEMA"),"",MAX(BS$12:BS396)+1)</f>
        <v/>
      </c>
      <c r="BT397" s="66" t="str">
        <f t="shared" si="486"/>
        <v/>
      </c>
      <c r="BU397" s="47" t="s">
        <v>0</v>
      </c>
      <c r="BV397" s="19" t="str">
        <f t="shared" si="487"/>
        <v/>
      </c>
      <c r="BW397" s="47" t="s">
        <v>0</v>
      </c>
      <c r="BX397" s="82" t="str">
        <f>IF(BK397&lt;&gt;"NEMA","",IF(IFERROR(MATCH(BJ397,BJ$12:BJ396,0),0)&lt;&gt;0,"",BJ397))</f>
        <v/>
      </c>
      <c r="BY397" s="47" t="s">
        <v>0</v>
      </c>
      <c r="BZ397" s="125"/>
      <c r="CA397" s="47" t="s">
        <v>0</v>
      </c>
      <c r="CB397" s="58" t="str">
        <f t="shared" si="488"/>
        <v/>
      </c>
      <c r="CC397" s="31" t="str">
        <f t="shared" si="489"/>
        <v/>
      </c>
      <c r="CD397" s="31" t="str">
        <f>IF(CC397="","",MAX(CD$12:CD396)+1)</f>
        <v/>
      </c>
      <c r="CE397" s="31" t="str">
        <f t="shared" ref="CE397:CE412" si="525">IF(CC397="","",IF(AA397="","",IF(AA397="NEMA",AC397,AA397)))</f>
        <v/>
      </c>
      <c r="CF397" s="31" t="str">
        <f t="shared" si="490"/>
        <v/>
      </c>
      <c r="CG397" s="31" t="str">
        <f>IF(BZ397="","",MAX(CG$12:CG396)+1)</f>
        <v/>
      </c>
      <c r="CH397" s="31" t="str">
        <f t="shared" si="491"/>
        <v/>
      </c>
      <c r="CI397" s="66" t="str">
        <f t="shared" si="492"/>
        <v/>
      </c>
      <c r="CJ397" s="47" t="s">
        <v>0</v>
      </c>
      <c r="CK397" s="73" t="str">
        <f t="shared" ref="CK397:CK412" si="526">IF(BK397="","",IF(BK397&lt;&gt;"NEMA","",IFERROR(INDEX(nat_klubAliasId,MATCH(BJ397,nat_noviKluboviAliasi,0)),"")))</f>
        <v/>
      </c>
      <c r="CL397" s="47"/>
      <c r="CM397" s="19" t="str">
        <f t="shared" si="493"/>
        <v/>
      </c>
      <c r="CN397" s="47" t="s">
        <v>0</v>
      </c>
      <c r="CO397" s="143" t="str">
        <f t="shared" si="494"/>
        <v/>
      </c>
      <c r="CP397" s="47" t="s">
        <v>0</v>
      </c>
      <c r="CQ397" s="58" t="str">
        <f t="shared" si="510"/>
        <v/>
      </c>
      <c r="CR397" s="73" t="str">
        <f t="shared" si="511"/>
        <v/>
      </c>
      <c r="CS397" s="229" t="str">
        <f t="shared" ref="CS397:CS412" si="527">IF(CQ397="",IF(OR(AL397="",CR397&lt;&gt;"0"),"","GREŠKA"),IF(AND(65535&gt;=VALUE(LEFT(CQ397,SEARCH(":",CQ397)-1))*60+VALUE(RIGHT(CQ397,2)),OR(CR397="0",CR397="1",CR397="2",CR397="3",CR397="4")),"","GREŠKA"))</f>
        <v/>
      </c>
      <c r="CT397" s="230" t="str">
        <f t="shared" si="512"/>
        <v/>
      </c>
      <c r="CU397" s="163" t="str">
        <f t="shared" ref="CU397:CU412" si="528">IF(DU397="","",IF(AND(CR397="0",N(CT397)&gt;data_max_minuta*60),2,INDEX(regStatusRezultat_id,MATCH(VALUE(CR397),regStatusRezultat_oEvent,0))))</f>
        <v/>
      </c>
      <c r="CV397" s="47" t="s">
        <v>0</v>
      </c>
      <c r="CW397" s="222" t="str">
        <f t="shared" si="495"/>
        <v xml:space="preserve">
</v>
      </c>
      <c r="CX397" s="223" t="str">
        <f t="shared" si="496"/>
        <v/>
      </c>
      <c r="CY397" s="47" t="s">
        <v>0</v>
      </c>
      <c r="CZ397" s="47"/>
      <c r="DA397" s="47"/>
      <c r="DB397" s="47"/>
      <c r="DC397" s="47" t="s">
        <v>0</v>
      </c>
      <c r="DD397" s="53" t="str">
        <f t="shared" si="504"/>
        <v/>
      </c>
      <c r="DE397" t="s">
        <v>0</v>
      </c>
      <c r="DF397" s="128" t="str">
        <f t="shared" si="505"/>
        <v/>
      </c>
      <c r="DG397" t="s">
        <v>0</v>
      </c>
      <c r="DH397" s="52" t="str">
        <f t="shared" si="506"/>
        <v/>
      </c>
      <c r="DI397" s="66" t="str">
        <f t="shared" si="507"/>
        <v/>
      </c>
      <c r="DJ397" t="s">
        <v>0</v>
      </c>
      <c r="DK397" s="19" t="str">
        <f t="shared" si="508"/>
        <v/>
      </c>
      <c r="DL397" s="47" t="s">
        <v>0</v>
      </c>
      <c r="DM397" s="19" t="str">
        <f t="shared" si="509"/>
        <v/>
      </c>
      <c r="DN397" s="47" t="s">
        <v>0</v>
      </c>
      <c r="DO397" s="52" t="str">
        <f t="shared" ref="DO397:DO412" si="529">IF(AL397="","",DR397 &amp; IF(Q397="",""," – " &amp; Q397))</f>
        <v/>
      </c>
      <c r="DP397" s="53" t="str">
        <f t="shared" ref="DP397:DP412" si="530">IF(DO397="","",IFERROR(MATCH(DO397,regNatjecatelj_imePrezimeKlubKategorija,0),"NEMA"))</f>
        <v/>
      </c>
      <c r="DQ397" s="47" t="s">
        <v>0</v>
      </c>
      <c r="DR397" s="52" t="str">
        <f t="shared" ref="DR397:DR412" si="531">IF(AL397="","",DU397 &amp; IF(CO397="",""," – " &amp; CO397))</f>
        <v/>
      </c>
      <c r="DS397" s="53" t="str">
        <f t="shared" ref="DS397:DS412" si="532">IF(DR397="","",IFERROR(MATCH(DR397,regNatjecatelj_imePrezimeKlub,0),"NEMA"))</f>
        <v/>
      </c>
      <c r="DT397" s="47" t="s">
        <v>0</v>
      </c>
      <c r="DU397" s="52" t="str">
        <f t="shared" ref="DU397:DU412" si="533">IF(BG397="","",BF397&amp;" – "&amp;BG397)</f>
        <v/>
      </c>
      <c r="DV397" s="53" t="str">
        <f t="shared" ref="DV397:DV412" si="534">IF(DU397="","",IFERROR(MATCH(DU397,regNatjecatelj_imePrezime,0),"NEMA"))</f>
        <v/>
      </c>
      <c r="DW397" s="47" t="s">
        <v>0</v>
      </c>
      <c r="DX397" s="58" t="str">
        <f t="shared" si="497"/>
        <v/>
      </c>
      <c r="DY397" s="53" t="str" cm="1">
        <f t="array" ref="DY397">IF(DX397&lt;&gt;"",INDEX(regNatjecatelj_id,DX397,0),IF(BD397&lt;&gt;"",BD397,""))</f>
        <v/>
      </c>
      <c r="DZ397" s="47" t="s">
        <v>0</v>
      </c>
      <c r="EA397" s="58" t="str">
        <f t="shared" ref="EA397:EA412" si="535">IF(AL397="","",IF(BD397&lt;&gt;"","novo",IF(AN397="","imepre","imepre(ali)")))</f>
        <v/>
      </c>
      <c r="EB397" s="73" t="str">
        <f t="shared" ref="EB397:EB412" si="536">IF(AL397="","",IF(BJ397="",IF(IFERROR(INDEX(regNatjecatelj_klub,MATCH(DY397,regNatjecatelj_id,0)),"NEMA")="","klu",""),IF(OR(AND(BK397&lt;&gt;"",BK397&lt;&gt;"NEMA"),CH397&lt;&gt;""),"klu(ali)",IF(AND(BM397&lt;&gt;"",BM397&lt;&gt;BL397),"(raz-klu)","klu"))))</f>
        <v/>
      </c>
      <c r="EC397" s="73" t="str">
        <f t="shared" ref="EC397:EC412" si="537">IF(AL397="","","kat"&amp;IF(AND(W397&lt;&gt;Q397,Q397&lt;&gt;"Open"),"(ali)",""))</f>
        <v/>
      </c>
      <c r="ED397" s="73" t="str">
        <f t="shared" ref="ED397:ED412" si="538">IF(OR(CS397&lt;&gt;"",CU397=2),"ot","")</f>
        <v/>
      </c>
      <c r="EE397" s="66" t="str">
        <f t="shared" ref="EE397:EE412" si="539">IF(AL397="","",EA397&amp;IF(EA397="novo","","-"&amp;EB397&amp;"-"&amp;EC397)&amp;IF(ED397="","","-"&amp;ED397))</f>
        <v/>
      </c>
      <c r="EF397" s="47" t="s">
        <v>0</v>
      </c>
      <c r="EG397" s="58" t="str">
        <f>IF(AL397="","",MAX(EG$12:EG396)+1)</f>
        <v/>
      </c>
      <c r="EH397" s="73" t="str">
        <f t="shared" ref="EH397:EH412" si="540">IF(AO397="","",X397)</f>
        <v/>
      </c>
      <c r="EI397" s="73" t="str">
        <f t="shared" si="498"/>
        <v/>
      </c>
      <c r="EJ397" s="73" t="str">
        <f t="shared" ref="EJ397:EJ412" si="541">IF(CT397="","",CT397)</f>
        <v/>
      </c>
      <c r="EK397" s="73" t="str">
        <f t="shared" ref="EK397:EK412" si="542">IF(CU397="","",IF(AND(EJ397="",CU397=1),6,CU397))</f>
        <v/>
      </c>
      <c r="EL397" s="73" t="str">
        <f t="shared" si="499"/>
        <v/>
      </c>
      <c r="EM397" s="73" t="str">
        <f t="shared" si="500"/>
        <v/>
      </c>
      <c r="EN397" s="73" t="str">
        <f t="shared" ref="EN397:EN412" si="543">IF(CU397="","",CR397)</f>
        <v/>
      </c>
      <c r="EO397" s="73" t="str">
        <f t="shared" ref="EO397:EO412" si="544">IF(OR(AN397="",AN397="NEMA"),BB397,AN397)</f>
        <v/>
      </c>
      <c r="EP397" s="73" t="str">
        <f t="shared" ref="EP397:EP412" si="545">IF(AND(BK397&lt;&gt;"",BK397&lt;&gt;"NEMA"),BK397,IF(CK397&lt;&gt;"",CK397,IF(AND(BR397&lt;&gt;"",BR397&lt;&gt;"NEMA"),BR397,IF(BS397&lt;&gt;"",BS397,""))))</f>
        <v/>
      </c>
      <c r="EQ397" s="53" t="str">
        <f t="shared" ref="EQ397:EQ412" si="546">IF(INDEX(natKategorija_alias_Id,MATCH(S397,natKategorija_katRegId,0))="","",INDEX(natKategorija_alias_Id,MATCH(S397,natKategorija_katRegId,0)))</f>
        <v/>
      </c>
      <c r="ER397" s="47" t="s">
        <v>0</v>
      </c>
      <c r="ES397" s="19" t="str">
        <f t="shared" si="501"/>
        <v/>
      </c>
      <c r="ET397" s="47" t="s">
        <v>0</v>
      </c>
      <c r="EU397" s="19" t="str">
        <f t="shared" si="502"/>
        <v/>
      </c>
      <c r="EV397" s="47" t="s">
        <v>0</v>
      </c>
      <c r="EW397" s="180" t="str">
        <f t="shared" ref="EW397:EW412" si="547">AG397&amp;IF(BV397="","","
")&amp;BV397&amp;IF(CM397="","","
")&amp;CM397&amp;IF(DK397="","","
")&amp;DK397&amp;IF(DM397="","","
")&amp;DM397&amp;IF(ES397="","","
")&amp;ES397&amp;IF(EU397="","","
")&amp;EU397</f>
        <v/>
      </c>
      <c r="EX397" s="47" t="s">
        <v>0</v>
      </c>
    </row>
    <row r="398" spans="1:154" x14ac:dyDescent="0.25">
      <c r="A398" t="s">
        <v>0</v>
      </c>
      <c r="B398" s="52" t="str">
        <f>IF(csv!F388="","",csv!T388)</f>
        <v/>
      </c>
      <c r="C398" s="31" t="s">
        <v>0</v>
      </c>
      <c r="D398" s="31" t="str">
        <f>IF(csv!F388="","",csv!F388)</f>
        <v/>
      </c>
      <c r="E398" s="31" t="str">
        <f>IF(csv!E388="","",csv!E388)</f>
        <v/>
      </c>
      <c r="F398" s="31" t="s">
        <v>0</v>
      </c>
      <c r="G398" s="73" t="str">
        <f>IF(csv!M388="","",csv!M388)</f>
        <v/>
      </c>
      <c r="H398" s="73" t="str">
        <f>IF(csv!N388="","",csv!N388)</f>
        <v/>
      </c>
      <c r="I398" s="31" t="s">
        <v>0</v>
      </c>
      <c r="J398" s="31" t="str">
        <f>IF(csv!P388="","",csv!P388)</f>
        <v/>
      </c>
      <c r="K398" s="31" t="str">
        <f>IF(csv!Q388="","",csv!Q388)</f>
        <v/>
      </c>
      <c r="L398" s="31" t="s">
        <v>0</v>
      </c>
      <c r="M398" s="66" t="str">
        <f>IF(csv!R388="","",csv!R388)</f>
        <v/>
      </c>
      <c r="N398" s="47" t="s">
        <v>0</v>
      </c>
      <c r="O398" s="246" t="str">
        <f t="shared" ref="O398:O412" si="548">IF(E398="","","ok")</f>
        <v/>
      </c>
      <c r="P398" s="47"/>
      <c r="Q398" s="52" t="str">
        <f t="shared" ref="Q398:Q412" si="549">IF(B398="","",B398)</f>
        <v/>
      </c>
      <c r="R398" s="73" t="str">
        <f>IF(Q398="","",IF(COUNTIF(Q$12:Q397,Q398)=0,R397+1,R397))</f>
        <v/>
      </c>
      <c r="S398" s="73" t="str">
        <f t="shared" ref="S398:S412" si="550">IF(Q398="","",IFERROR(INDEX(regKategorija_id,MATCH(Q398,regKategorija_oznaka,0)),IFERROR(INDEX(regKategorija_alias_id,MATCH(Q398,regKategorija_alias_oznaka,0)),INDEX(natKategorija_katRegId,MATCH(Q398,natKategorija_kategorija,0)))))</f>
        <v/>
      </c>
      <c r="T398" s="73" t="str">
        <f t="shared" si="514"/>
        <v/>
      </c>
      <c r="U398" s="66" t="str">
        <f t="shared" si="515"/>
        <v/>
      </c>
      <c r="V398" s="47" t="s">
        <v>0</v>
      </c>
      <c r="W398" s="222" t="str">
        <f t="shared" si="516"/>
        <v/>
      </c>
      <c r="X398" s="223" t="str">
        <f t="shared" si="517"/>
        <v/>
      </c>
      <c r="Y398" s="47" t="s">
        <v>0</v>
      </c>
      <c r="Z398" s="52" t="str">
        <f t="shared" ref="Z398:Z412" si="551">IF(O398="","",M398)</f>
        <v/>
      </c>
      <c r="AA398" s="73" t="str">
        <f t="shared" si="518"/>
        <v/>
      </c>
      <c r="AB398" s="31" t="str">
        <f t="shared" ref="AB398:AB412" si="552">IF(OR(AA398="",AA398&lt;&gt;"NEMA"),"",Z398)</f>
        <v/>
      </c>
      <c r="AC398" s="66" t="str">
        <f>IF(AB398="","",MAX(AC$12:AC397)+1)</f>
        <v/>
      </c>
      <c r="AD398" s="47" t="s">
        <v>0</v>
      </c>
      <c r="AE398" s="125"/>
      <c r="AF398" s="47" t="s">
        <v>0</v>
      </c>
      <c r="AG398" s="19" t="str">
        <f t="shared" ref="AG398:AG412" si="553">IF(AB398="","","INSERT INTO drzava(id,naziv,oznaka) VALUES ("&amp;AC398&amp;",'"&amp;AE398&amp;"','"&amp;UPPER(LEFT(AB398,1))&amp;LOWER(RIGHT(AB398,2))&amp;"');")</f>
        <v/>
      </c>
      <c r="AH398" s="47" t="s">
        <v>0</v>
      </c>
      <c r="AI398" s="143" t="str">
        <f t="shared" ref="AI398:AI412" si="554">IF(AA398="","",IF(AA398="NEMA",AB398,Z398))</f>
        <v/>
      </c>
      <c r="AJ398" s="47"/>
      <c r="AK398" s="52" t="str">
        <f t="shared" ref="AK398:AK412" si="555">IF(O398="","",D398)</f>
        <v/>
      </c>
      <c r="AL398" s="31" t="str">
        <f t="shared" ref="AL398:AL412" si="556">IF(O398="","",E398)</f>
        <v/>
      </c>
      <c r="AM398" s="73" t="str">
        <f t="shared" ref="AM398:AM412" si="557">IF(AL398="","",IFERROR(INDEX(regNatjecatelj_id,MATCH(AK398&amp;" – "&amp;AL398,regNatjecatelj_imePrezime,0)),"NEMA"))</f>
        <v/>
      </c>
      <c r="AN398" s="73" t="str">
        <f t="shared" ref="AN398:AN412" si="558">IF(AM398&lt;&gt;"NEMA","",IFERROR(INDEX(regNatjecatelj_alias_natjecateljId,MATCH(AK398&amp;" "&amp;AL398,regNatjecatelj_alias_alias,0)),"NEMA"))</f>
        <v/>
      </c>
      <c r="AO398" s="31" t="str">
        <f t="shared" si="519"/>
        <v/>
      </c>
      <c r="AP398" s="66" t="str">
        <f t="shared" si="520"/>
        <v/>
      </c>
      <c r="AQ398" s="47" t="s">
        <v>0</v>
      </c>
      <c r="AR398" s="82" t="str">
        <f t="shared" ref="AR398:AR412" si="559">IF(OR(O398="",AN398&lt;&gt;"NEMA"),"",AK398&amp;" "&amp;AL398)</f>
        <v/>
      </c>
      <c r="AS398" s="47" t="s">
        <v>0</v>
      </c>
      <c r="AT398" s="19" t="str">
        <f t="shared" ref="AT398:AT412" si="560">IF(OR(AM398&lt;&gt;"NEMA",AN398&lt;&gt;"NEMA"),"","SELECT '"&amp;AO398&amp;" – "&amp;AP398&amp;"', ime, prezime FROM imeprezime WHERE ime LIKE '%"&amp;MID(AO398,2,LEN(AO398)-2)&amp;"%' Or prezime LIKE '%"&amp;MID(AP398,2,LEN(AP398)-2)&amp;"%' Or ime LIKE '%"&amp;MID(AP398,2,LEN(AP398)-2)&amp;"%' Or prezime LIKE '%"&amp;MID(AO398,2,LEN(AO398)-2)&amp;"%' ORDER BY ime, prezime;")</f>
        <v/>
      </c>
      <c r="AU398" s="47" t="s">
        <v>0</v>
      </c>
      <c r="AV398" s="103"/>
      <c r="AW398" s="105"/>
      <c r="AX398" s="47" t="s">
        <v>0</v>
      </c>
      <c r="AY398" s="259" t="str">
        <f t="shared" si="503"/>
        <v/>
      </c>
      <c r="AZ398" s="47" t="s">
        <v>0</v>
      </c>
      <c r="BA398" s="52" t="str">
        <f t="shared" si="513"/>
        <v/>
      </c>
      <c r="BB398" s="73" t="str">
        <f>IF(AV398&amp;AW398="","",MAX(BB$12:BB397)+1)</f>
        <v/>
      </c>
      <c r="BC398" s="272" t="str">
        <f t="shared" si="521"/>
        <v/>
      </c>
      <c r="BD398" s="53" t="str">
        <f>IF(AND(AM398="NEMA",AN398="NEMA",OR(AV398&amp;AW398="",BC398="NEMA")),MAX(BD$12:BD397)+1,"")</f>
        <v/>
      </c>
      <c r="BE398" s="47" t="s">
        <v>0</v>
      </c>
      <c r="BF398" s="52" t="str">
        <f t="shared" ref="BF398:BF412" si="561">IF(AL398="","",IF(BC398="",AO398,IF(BC398="NEMA",AV398,INDEX(regNatjecatelj_ime,MATCH(BC398,regNatjecatelj_id,0)))))</f>
        <v/>
      </c>
      <c r="BG398" s="66" t="str">
        <f t="shared" ref="BG398:BG412" si="562">IF(AL398="","",IF(BC398="",AP398,IF(BC398="NEMA",AW398,INDEX(regNatjecatelj_prezime,MATCH(BC398,regNatjecatelj_id,0)))))</f>
        <v/>
      </c>
      <c r="BH398" s="47" t="s">
        <v>0</v>
      </c>
      <c r="BI398" s="52" t="str">
        <f t="shared" si="522"/>
        <v/>
      </c>
      <c r="BJ398" s="31" t="str">
        <f t="shared" si="523"/>
        <v/>
      </c>
      <c r="BK398" s="73" t="str">
        <f t="shared" si="524"/>
        <v/>
      </c>
      <c r="BL398" s="31" t="str" cm="1">
        <f t="array" ref="BL398">IF(BK398="",""&amp;BJ398,IF(BK398="NEMA",BJ398,INDEX(regKlub_naziv,MATCH(INDEX(regKlub_alias_klubId,BK398),regKlub_id,0))))</f>
        <v/>
      </c>
      <c r="BM398" s="31" t="str" cm="1">
        <f t="array" ref="BM398">IFERROR(""&amp;INDEX(regNatjecatelj_klub,DV398),"")</f>
        <v/>
      </c>
      <c r="BN398" s="88" t="str">
        <f t="shared" ref="BN398:BN412" si="563">IF(BL398=BM398,"",IF(BM398="","",1))</f>
        <v/>
      </c>
      <c r="BO398" s="66" t="str">
        <f t="shared" ref="BO398:BO412" si="564">IF(AND(BM398&lt;&gt;"",BM398&lt;&gt;BL398),BM398,""&amp;BL398)</f>
        <v/>
      </c>
      <c r="BP398" s="47" t="s">
        <v>0</v>
      </c>
      <c r="BQ398" s="52" t="str">
        <f>IF(X398&lt;&gt;"NEMA","",IF(IFERROR(MATCH(W398,W$12:W397,0),0)&lt;&gt;0,"",W398))</f>
        <v/>
      </c>
      <c r="BR398" s="73" t="str">
        <f t="shared" ref="BR398:BR412" si="565">IF(BQ398="","",IFERROR(INDEX(regKlub_alias_id,MATCH(BQ398,regKlub_alias_alias,0)),"NEMA"))</f>
        <v/>
      </c>
      <c r="BS398" s="31" t="str">
        <f>IF(OR(BR398="",BR398&lt;&gt;"NEMA"),"",MAX(BS$12:BS397)+1)</f>
        <v/>
      </c>
      <c r="BT398" s="66" t="str">
        <f t="shared" ref="BT398:BT412" si="566">IF(OR(BR398="",BR398&lt;&gt;"NEMA"),"",INDEX(regKlub_id,MATCH(BQ398,regKlub_naziv,0)))</f>
        <v/>
      </c>
      <c r="BU398" s="47" t="s">
        <v>0</v>
      </c>
      <c r="BV398" s="19" t="str">
        <f t="shared" ref="BV398:BV412" si="567">IF(OR(BR398="",BR398&lt;&gt;"NEMA"),"","INSERT INTO klub_alias(id,alias,klub_id) VALUES ("&amp;BS398&amp;",'"&amp;BQ398&amp;"',"&amp;BT398&amp;");")</f>
        <v/>
      </c>
      <c r="BW398" s="47" t="s">
        <v>0</v>
      </c>
      <c r="BX398" s="82" t="str">
        <f>IF(BK398&lt;&gt;"NEMA","",IF(IFERROR(MATCH(BJ398,BJ$12:BJ397,0),0)&lt;&gt;0,"",BJ398))</f>
        <v/>
      </c>
      <c r="BY398" s="47" t="s">
        <v>0</v>
      </c>
      <c r="BZ398" s="125"/>
      <c r="CA398" s="47" t="s">
        <v>0</v>
      </c>
      <c r="CB398" s="58" t="str">
        <f t="shared" ref="CB398:CB412" si="568">IF(BZ398="","",IFERROR(INDEX(regKlub_id,MATCH(BZ398,regKlub_naziv,0)),"NEMA"))</f>
        <v/>
      </c>
      <c r="CC398" s="31" t="str">
        <f t="shared" ref="CC398:CC412" si="569">IF(BX398="","",IF(BZ398="",BX398,""))</f>
        <v/>
      </c>
      <c r="CD398" s="31" t="str">
        <f>IF(CC398="","",MAX(CD$12:CD397)+1)</f>
        <v/>
      </c>
      <c r="CE398" s="31" t="str">
        <f t="shared" si="525"/>
        <v/>
      </c>
      <c r="CF398" s="31" t="str">
        <f t="shared" ref="CF398:CF412" si="570">IF(CC398="","","INSERT INTO klub(id,naziv,drzava_id,aktivan) VALUES ("&amp;CD398&amp;",'"&amp;CC398&amp;"',"&amp;CE398&amp;",1);")</f>
        <v/>
      </c>
      <c r="CG398" s="31" t="str">
        <f>IF(BZ398="","",MAX(CG$12:CG397)+1)</f>
        <v/>
      </c>
      <c r="CH398" s="31" t="str">
        <f t="shared" ref="CH398:CH412" si="571">IF(BZ398="","",IF(CD398="",INDEX(regKlub_id,MATCH(BZ398,regKlub_naziv,0)),CD398))</f>
        <v/>
      </c>
      <c r="CI398" s="66" t="str">
        <f t="shared" ref="CI398:CI412" si="572">IF(BZ398="","","INSERT INTO klub_alias(id,alias,klub_id) VALUES ("&amp;CG398&amp;",'"&amp;BX398&amp;"',"&amp;CH398&amp;");")</f>
        <v/>
      </c>
      <c r="CJ398" s="47" t="s">
        <v>0</v>
      </c>
      <c r="CK398" s="73" t="str">
        <f t="shared" si="526"/>
        <v/>
      </c>
      <c r="CL398" s="47"/>
      <c r="CM398" s="19" t="str">
        <f t="shared" ref="CM398:CM412" si="573">""&amp;CF398&amp;IF(AND(CF398&lt;&gt;"",CI398&lt;&gt;""),"
","")&amp;CI398</f>
        <v/>
      </c>
      <c r="CN398" s="47" t="s">
        <v>0</v>
      </c>
      <c r="CO398" s="143" t="str">
        <f t="shared" ref="CO398:CO412" si="574">IF(BO398="","",IF(BZ398="",IF(IFERROR(MATCH(BO398,nat_noviKluboviAliasi,0),0)&gt;0,INDEX(nat_kluboviAliasi,MATCH(BO398,nat_noviKluboviAliasi,0)),BO398),BZ398))</f>
        <v/>
      </c>
      <c r="CP398" s="47" t="s">
        <v>0</v>
      </c>
      <c r="CQ398" s="58" t="str">
        <f t="shared" si="510"/>
        <v/>
      </c>
      <c r="CR398" s="73" t="str">
        <f t="shared" si="511"/>
        <v/>
      </c>
      <c r="CS398" s="229" t="str">
        <f t="shared" si="527"/>
        <v/>
      </c>
      <c r="CT398" s="230" t="str">
        <f t="shared" si="512"/>
        <v/>
      </c>
      <c r="CU398" s="163" t="str">
        <f t="shared" si="528"/>
        <v/>
      </c>
      <c r="CV398" s="47" t="s">
        <v>0</v>
      </c>
      <c r="CW398" s="222" t="str">
        <f t="shared" ref="CW398:CW412" si="575">IF(CS398&lt;&gt;"GREŠKA","",AK398&amp;" "&amp;AL398&amp;" – Molim u OEventu provjeriti i ispraviti rezultat – vrijeme ("&amp;IF(CQ398="","nije upisano",CQ398)&amp;") i classifier ("&amp;CR398&amp;").")&amp;IF(OR(CS398&lt;&gt;"GREŠKA",CU398&lt;&gt;5),"
","")&amp;IF(CU398&lt;&gt;5,"",AK398&amp;" "&amp;AL398&amp;" – Molim u provjeriti je li natjecatelj zaista diskvalificiran. Ako je koje je obrazloženje, ako nije molim u OEventu ispraviti rezultat")</f>
        <v xml:space="preserve">
</v>
      </c>
      <c r="CX398" s="223" t="str">
        <f t="shared" ref="CX398:CX412" si="576">IF(DX398="","",IF(AND(CU398="0",N(CW398)&gt;data_max_minuta*60),2,INDEX(regStatusRezultat_id,MATCH(VALUE(CU398),regStatusRezultat_oEvent,0))))</f>
        <v/>
      </c>
      <c r="CY398" s="47" t="s">
        <v>0</v>
      </c>
      <c r="CZ398" s="47"/>
      <c r="DA398" s="47"/>
      <c r="DB398" s="47"/>
      <c r="DC398" s="47" t="s">
        <v>0</v>
      </c>
      <c r="DD398" s="53" t="str">
        <f t="shared" si="504"/>
        <v/>
      </c>
      <c r="DE398" t="s">
        <v>0</v>
      </c>
      <c r="DF398" s="128" t="str">
        <f t="shared" si="505"/>
        <v/>
      </c>
      <c r="DG398" t="s">
        <v>0</v>
      </c>
      <c r="DH398" s="52" t="str">
        <f t="shared" si="506"/>
        <v/>
      </c>
      <c r="DI398" s="66" t="str">
        <f t="shared" si="507"/>
        <v/>
      </c>
      <c r="DJ398" t="s">
        <v>0</v>
      </c>
      <c r="DK398" s="19" t="str">
        <f t="shared" si="508"/>
        <v/>
      </c>
      <c r="DL398" s="47" t="s">
        <v>0</v>
      </c>
      <c r="DM398" s="19" t="str">
        <f t="shared" si="509"/>
        <v/>
      </c>
      <c r="DN398" s="47" t="s">
        <v>0</v>
      </c>
      <c r="DO398" s="52" t="str">
        <f t="shared" si="529"/>
        <v/>
      </c>
      <c r="DP398" s="53" t="str">
        <f t="shared" si="530"/>
        <v/>
      </c>
      <c r="DQ398" s="47" t="s">
        <v>0</v>
      </c>
      <c r="DR398" s="52" t="str">
        <f t="shared" si="531"/>
        <v/>
      </c>
      <c r="DS398" s="53" t="str">
        <f t="shared" si="532"/>
        <v/>
      </c>
      <c r="DT398" s="47" t="s">
        <v>0</v>
      </c>
      <c r="DU398" s="52" t="str">
        <f t="shared" si="533"/>
        <v/>
      </c>
      <c r="DV398" s="53" t="str">
        <f t="shared" si="534"/>
        <v/>
      </c>
      <c r="DW398" s="47" t="s">
        <v>0</v>
      </c>
      <c r="DX398" s="58" t="str">
        <f t="shared" ref="DX398:DX412" si="577">IF(DP398="","",IF(DP398&lt;&gt;"NEMA",DP398,IF(DS398&lt;&gt;"NEMA",DS398,IF(DV398&lt;&gt;"NEMA",DV398,""))))</f>
        <v/>
      </c>
      <c r="DY398" s="53" t="str" cm="1">
        <f t="array" ref="DY398">IF(DX398&lt;&gt;"",INDEX(regNatjecatelj_id,DX398,0),IF(BD398&lt;&gt;"",BD398,""))</f>
        <v/>
      </c>
      <c r="DZ398" s="47" t="s">
        <v>0</v>
      </c>
      <c r="EA398" s="58" t="str">
        <f t="shared" si="535"/>
        <v/>
      </c>
      <c r="EB398" s="73" t="str">
        <f t="shared" si="536"/>
        <v/>
      </c>
      <c r="EC398" s="73" t="str">
        <f t="shared" si="537"/>
        <v/>
      </c>
      <c r="ED398" s="73" t="str">
        <f t="shared" si="538"/>
        <v/>
      </c>
      <c r="EE398" s="66" t="str">
        <f t="shared" si="539"/>
        <v/>
      </c>
      <c r="EF398" s="47" t="s">
        <v>0</v>
      </c>
      <c r="EG398" s="58" t="str">
        <f>IF(AL398="","",MAX(EG$12:EG397)+1)</f>
        <v/>
      </c>
      <c r="EH398" s="73" t="str">
        <f t="shared" si="540"/>
        <v/>
      </c>
      <c r="EI398" s="73" t="str">
        <f t="shared" ref="EI398:EI412" si="578">IF(DY398="","",DY398)</f>
        <v/>
      </c>
      <c r="EJ398" s="73" t="str">
        <f t="shared" si="541"/>
        <v/>
      </c>
      <c r="EK398" s="73" t="str">
        <f t="shared" si="542"/>
        <v/>
      </c>
      <c r="EL398" s="73" t="str">
        <f t="shared" ref="EL398:EL412" si="579">IF(DU398="","",IF(data_trka_je_rangirana=0,0,IF(OR(DP398="",DP398="NEMA"),0,1)))</f>
        <v/>
      </c>
      <c r="EM398" s="73" t="str">
        <f t="shared" ref="EM398:EM412" si="580">IF(EG398="","",INDEX(regUparivanje_id,MATCH(EE398,regUparivanje_oznaka,0)))</f>
        <v/>
      </c>
      <c r="EN398" s="73" t="str">
        <f t="shared" si="543"/>
        <v/>
      </c>
      <c r="EO398" s="73" t="str">
        <f t="shared" si="544"/>
        <v/>
      </c>
      <c r="EP398" s="73" t="str">
        <f t="shared" si="545"/>
        <v/>
      </c>
      <c r="EQ398" s="53" t="str">
        <f t="shared" si="546"/>
        <v/>
      </c>
      <c r="ER398" s="47" t="s">
        <v>0</v>
      </c>
      <c r="ES398" s="19" t="str">
        <f t="shared" ref="ES398:ES412" si="581">IF(EH398="","","INSERT INTO rezultat(id,stazakategorija_id,imeprezime_id,vrijeme_sec,status_id,registracija,uparivanje_id,originalstatus_id,imeprezimealias_id,klubalias_id,kategorijaalias_id) VALUES ("&amp;EG398&amp;","&amp;EH398&amp;","&amp;EI398&amp;","&amp;IF(EJ398="","Null",EJ398)&amp;","&amp;EK398&amp;","&amp;EL398&amp;","&amp;EM398&amp;","&amp;EN398&amp;","&amp;IF(EO398="","Null",EO398)&amp;","&amp;IF(EP398="","Null",EP398)&amp;","&amp;IF(EQ398="","Null",EQ398)&amp;");")</f>
        <v/>
      </c>
      <c r="ET398" s="47" t="s">
        <v>0</v>
      </c>
      <c r="EU398" s="19" t="str">
        <f t="shared" ref="EU398:EU412" si="582">IF(EH398="","",IF(EL398=1,"UPDATE
	registar
SET
	potvrda = 1
WHERE
	imeprezime_id="&amp;EI398&amp;"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"&amp;EH398&amp;")
                         		AND
                         	kategorija_liga.liga_id = "&amp;data_liga_id&amp;")
		AND
	datum_od &lt;= '"&amp;data_datum_natjecanja&amp;"'
    	AND
    datum_do is Null;",""))</f>
        <v/>
      </c>
      <c r="EV398" s="47" t="s">
        <v>0</v>
      </c>
      <c r="EW398" s="180" t="str">
        <f t="shared" si="547"/>
        <v/>
      </c>
      <c r="EX398" s="47" t="s">
        <v>0</v>
      </c>
    </row>
    <row r="399" spans="1:154" x14ac:dyDescent="0.25">
      <c r="A399" t="s">
        <v>0</v>
      </c>
      <c r="B399" s="52" t="str">
        <f>IF(csv!F389="","",csv!T389)</f>
        <v/>
      </c>
      <c r="C399" s="31" t="s">
        <v>0</v>
      </c>
      <c r="D399" s="31" t="str">
        <f>IF(csv!F389="","",csv!F389)</f>
        <v/>
      </c>
      <c r="E399" s="31" t="str">
        <f>IF(csv!E389="","",csv!E389)</f>
        <v/>
      </c>
      <c r="F399" s="31" t="s">
        <v>0</v>
      </c>
      <c r="G399" s="73" t="str">
        <f>IF(csv!M389="","",csv!M389)</f>
        <v/>
      </c>
      <c r="H399" s="73" t="str">
        <f>IF(csv!N389="","",csv!N389)</f>
        <v/>
      </c>
      <c r="I399" s="31" t="s">
        <v>0</v>
      </c>
      <c r="J399" s="31" t="str">
        <f>IF(csv!P389="","",csv!P389)</f>
        <v/>
      </c>
      <c r="K399" s="31" t="str">
        <f>IF(csv!Q389="","",csv!Q389)</f>
        <v/>
      </c>
      <c r="L399" s="31" t="s">
        <v>0</v>
      </c>
      <c r="M399" s="66" t="str">
        <f>IF(csv!R389="","",csv!R389)</f>
        <v/>
      </c>
      <c r="N399" s="47" t="s">
        <v>0</v>
      </c>
      <c r="O399" s="246" t="str">
        <f t="shared" si="548"/>
        <v/>
      </c>
      <c r="P399" s="47"/>
      <c r="Q399" s="52" t="str">
        <f t="shared" si="549"/>
        <v/>
      </c>
      <c r="R399" s="73" t="str">
        <f>IF(Q399="","",IF(COUNTIF(Q$12:Q398,Q399)=0,R398+1,R398))</f>
        <v/>
      </c>
      <c r="S399" s="73" t="str">
        <f t="shared" si="550"/>
        <v/>
      </c>
      <c r="T399" s="73" t="str">
        <f t="shared" si="514"/>
        <v/>
      </c>
      <c r="U399" s="66" t="str">
        <f t="shared" si="515"/>
        <v/>
      </c>
      <c r="V399" s="47" t="s">
        <v>0</v>
      </c>
      <c r="W399" s="222" t="str">
        <f t="shared" si="516"/>
        <v/>
      </c>
      <c r="X399" s="223" t="str">
        <f t="shared" si="517"/>
        <v/>
      </c>
      <c r="Y399" s="47" t="s">
        <v>0</v>
      </c>
      <c r="Z399" s="52" t="str">
        <f t="shared" si="551"/>
        <v/>
      </c>
      <c r="AA399" s="73" t="str">
        <f t="shared" si="518"/>
        <v/>
      </c>
      <c r="AB399" s="31" t="str">
        <f t="shared" si="552"/>
        <v/>
      </c>
      <c r="AC399" s="66" t="str">
        <f>IF(AB399="","",MAX(AC$12:AC398)+1)</f>
        <v/>
      </c>
      <c r="AD399" s="47" t="s">
        <v>0</v>
      </c>
      <c r="AE399" s="125"/>
      <c r="AF399" s="47" t="s">
        <v>0</v>
      </c>
      <c r="AG399" s="19" t="str">
        <f t="shared" si="553"/>
        <v/>
      </c>
      <c r="AH399" s="47" t="s">
        <v>0</v>
      </c>
      <c r="AI399" s="143" t="str">
        <f t="shared" si="554"/>
        <v/>
      </c>
      <c r="AJ399" s="47"/>
      <c r="AK399" s="52" t="str">
        <f t="shared" si="555"/>
        <v/>
      </c>
      <c r="AL399" s="31" t="str">
        <f t="shared" si="556"/>
        <v/>
      </c>
      <c r="AM399" s="73" t="str">
        <f t="shared" si="557"/>
        <v/>
      </c>
      <c r="AN399" s="73" t="str">
        <f t="shared" si="558"/>
        <v/>
      </c>
      <c r="AO399" s="31" t="str">
        <f t="shared" si="519"/>
        <v/>
      </c>
      <c r="AP399" s="66" t="str">
        <f t="shared" si="520"/>
        <v/>
      </c>
      <c r="AQ399" s="47" t="s">
        <v>0</v>
      </c>
      <c r="AR399" s="82" t="str">
        <f t="shared" si="559"/>
        <v/>
      </c>
      <c r="AS399" s="47" t="s">
        <v>0</v>
      </c>
      <c r="AT399" s="19" t="str">
        <f t="shared" si="560"/>
        <v/>
      </c>
      <c r="AU399" s="47" t="s">
        <v>0</v>
      </c>
      <c r="AV399" s="103"/>
      <c r="AW399" s="105"/>
      <c r="AX399" s="47" t="s">
        <v>0</v>
      </c>
      <c r="AY399" s="259" t="str">
        <f t="shared" si="503"/>
        <v/>
      </c>
      <c r="AZ399" s="47" t="s">
        <v>0</v>
      </c>
      <c r="BA399" s="52" t="str">
        <f t="shared" si="513"/>
        <v/>
      </c>
      <c r="BB399" s="73" t="str">
        <f>IF(AV399&amp;AW399="","",MAX(BB$12:BB398)+1)</f>
        <v/>
      </c>
      <c r="BC399" s="272" t="str">
        <f t="shared" si="521"/>
        <v/>
      </c>
      <c r="BD399" s="53" t="str">
        <f>IF(AND(AM399="NEMA",AN399="NEMA",OR(AV399&amp;AW399="",BC399="NEMA")),MAX(BD$12:BD398)+1,"")</f>
        <v/>
      </c>
      <c r="BE399" s="47" t="s">
        <v>0</v>
      </c>
      <c r="BF399" s="52" t="str">
        <f t="shared" si="561"/>
        <v/>
      </c>
      <c r="BG399" s="66" t="str">
        <f t="shared" si="562"/>
        <v/>
      </c>
      <c r="BH399" s="47" t="s">
        <v>0</v>
      </c>
      <c r="BI399" s="52" t="str">
        <f t="shared" si="522"/>
        <v/>
      </c>
      <c r="BJ399" s="31" t="str">
        <f t="shared" si="523"/>
        <v/>
      </c>
      <c r="BK399" s="73" t="str">
        <f t="shared" si="524"/>
        <v/>
      </c>
      <c r="BL399" s="31" t="str" cm="1">
        <f t="array" ref="BL399">IF(BK399="",""&amp;BJ399,IF(BK399="NEMA",BJ399,INDEX(regKlub_naziv,MATCH(INDEX(regKlub_alias_klubId,BK399),regKlub_id,0))))</f>
        <v/>
      </c>
      <c r="BM399" s="31" t="str" cm="1">
        <f t="array" ref="BM399">IFERROR(""&amp;INDEX(regNatjecatelj_klub,DV399),"")</f>
        <v/>
      </c>
      <c r="BN399" s="88" t="str">
        <f t="shared" si="563"/>
        <v/>
      </c>
      <c r="BO399" s="66" t="str">
        <f t="shared" si="564"/>
        <v/>
      </c>
      <c r="BP399" s="47" t="s">
        <v>0</v>
      </c>
      <c r="BQ399" s="52" t="str">
        <f>IF(X399&lt;&gt;"NEMA","",IF(IFERROR(MATCH(W399,W$12:W398,0),0)&lt;&gt;0,"",W399))</f>
        <v/>
      </c>
      <c r="BR399" s="73" t="str">
        <f t="shared" si="565"/>
        <v/>
      </c>
      <c r="BS399" s="31" t="str">
        <f>IF(OR(BR399="",BR399&lt;&gt;"NEMA"),"",MAX(BS$12:BS398)+1)</f>
        <v/>
      </c>
      <c r="BT399" s="66" t="str">
        <f t="shared" si="566"/>
        <v/>
      </c>
      <c r="BU399" s="47" t="s">
        <v>0</v>
      </c>
      <c r="BV399" s="19" t="str">
        <f t="shared" si="567"/>
        <v/>
      </c>
      <c r="BW399" s="47" t="s">
        <v>0</v>
      </c>
      <c r="BX399" s="82" t="str">
        <f>IF(BK399&lt;&gt;"NEMA","",IF(IFERROR(MATCH(BJ399,BJ$12:BJ398,0),0)&lt;&gt;0,"",BJ399))</f>
        <v/>
      </c>
      <c r="BY399" s="47" t="s">
        <v>0</v>
      </c>
      <c r="BZ399" s="125"/>
      <c r="CA399" s="47" t="s">
        <v>0</v>
      </c>
      <c r="CB399" s="58" t="str">
        <f t="shared" si="568"/>
        <v/>
      </c>
      <c r="CC399" s="31" t="str">
        <f t="shared" si="569"/>
        <v/>
      </c>
      <c r="CD399" s="31" t="str">
        <f>IF(CC399="","",MAX(CD$12:CD398)+1)</f>
        <v/>
      </c>
      <c r="CE399" s="31" t="str">
        <f t="shared" si="525"/>
        <v/>
      </c>
      <c r="CF399" s="31" t="str">
        <f t="shared" si="570"/>
        <v/>
      </c>
      <c r="CG399" s="31" t="str">
        <f>IF(BZ399="","",MAX(CG$12:CG398)+1)</f>
        <v/>
      </c>
      <c r="CH399" s="31" t="str">
        <f t="shared" si="571"/>
        <v/>
      </c>
      <c r="CI399" s="66" t="str">
        <f t="shared" si="572"/>
        <v/>
      </c>
      <c r="CJ399" s="47" t="s">
        <v>0</v>
      </c>
      <c r="CK399" s="73" t="str">
        <f t="shared" si="526"/>
        <v/>
      </c>
      <c r="CL399" s="47"/>
      <c r="CM399" s="19" t="str">
        <f t="shared" si="573"/>
        <v/>
      </c>
      <c r="CN399" s="47" t="s">
        <v>0</v>
      </c>
      <c r="CO399" s="143" t="str">
        <f t="shared" si="574"/>
        <v/>
      </c>
      <c r="CP399" s="47" t="s">
        <v>0</v>
      </c>
      <c r="CQ399" s="58" t="str">
        <f t="shared" si="510"/>
        <v/>
      </c>
      <c r="CR399" s="73" t="str">
        <f t="shared" si="511"/>
        <v/>
      </c>
      <c r="CS399" s="229" t="str">
        <f t="shared" si="527"/>
        <v/>
      </c>
      <c r="CT399" s="230" t="str">
        <f t="shared" si="512"/>
        <v/>
      </c>
      <c r="CU399" s="163" t="str">
        <f t="shared" si="528"/>
        <v/>
      </c>
      <c r="CV399" s="47" t="s">
        <v>0</v>
      </c>
      <c r="CW399" s="222" t="str">
        <f t="shared" si="575"/>
        <v xml:space="preserve">
</v>
      </c>
      <c r="CX399" s="223" t="str">
        <f t="shared" si="576"/>
        <v/>
      </c>
      <c r="CY399" s="47" t="s">
        <v>0</v>
      </c>
      <c r="CZ399" s="47"/>
      <c r="DA399" s="47"/>
      <c r="DB399" s="47"/>
      <c r="DC399" s="47" t="s">
        <v>0</v>
      </c>
      <c r="DD399" s="53" t="str">
        <f t="shared" si="504"/>
        <v/>
      </c>
      <c r="DE399" t="s">
        <v>0</v>
      </c>
      <c r="DF399" s="128" t="str">
        <f t="shared" si="505"/>
        <v/>
      </c>
      <c r="DG399" t="s">
        <v>0</v>
      </c>
      <c r="DH399" s="52" t="str">
        <f t="shared" si="506"/>
        <v/>
      </c>
      <c r="DI399" s="66" t="str">
        <f t="shared" si="507"/>
        <v/>
      </c>
      <c r="DJ399" t="s">
        <v>0</v>
      </c>
      <c r="DK399" s="19" t="str">
        <f t="shared" si="508"/>
        <v/>
      </c>
      <c r="DL399" s="47" t="s">
        <v>0</v>
      </c>
      <c r="DM399" s="19" t="str">
        <f t="shared" si="509"/>
        <v/>
      </c>
      <c r="DN399" s="47" t="s">
        <v>0</v>
      </c>
      <c r="DO399" s="52" t="str">
        <f t="shared" si="529"/>
        <v/>
      </c>
      <c r="DP399" s="53" t="str">
        <f t="shared" si="530"/>
        <v/>
      </c>
      <c r="DQ399" s="47" t="s">
        <v>0</v>
      </c>
      <c r="DR399" s="52" t="str">
        <f t="shared" si="531"/>
        <v/>
      </c>
      <c r="DS399" s="53" t="str">
        <f t="shared" si="532"/>
        <v/>
      </c>
      <c r="DT399" s="47" t="s">
        <v>0</v>
      </c>
      <c r="DU399" s="52" t="str">
        <f t="shared" si="533"/>
        <v/>
      </c>
      <c r="DV399" s="53" t="str">
        <f t="shared" si="534"/>
        <v/>
      </c>
      <c r="DW399" s="47" t="s">
        <v>0</v>
      </c>
      <c r="DX399" s="58" t="str">
        <f t="shared" si="577"/>
        <v/>
      </c>
      <c r="DY399" s="53" t="str" cm="1">
        <f t="array" ref="DY399">IF(DX399&lt;&gt;"",INDEX(regNatjecatelj_id,DX399,0),IF(BD399&lt;&gt;"",BD399,""))</f>
        <v/>
      </c>
      <c r="DZ399" s="47" t="s">
        <v>0</v>
      </c>
      <c r="EA399" s="58" t="str">
        <f t="shared" si="535"/>
        <v/>
      </c>
      <c r="EB399" s="73" t="str">
        <f t="shared" si="536"/>
        <v/>
      </c>
      <c r="EC399" s="73" t="str">
        <f t="shared" si="537"/>
        <v/>
      </c>
      <c r="ED399" s="73" t="str">
        <f t="shared" si="538"/>
        <v/>
      </c>
      <c r="EE399" s="66" t="str">
        <f t="shared" si="539"/>
        <v/>
      </c>
      <c r="EF399" s="47" t="s">
        <v>0</v>
      </c>
      <c r="EG399" s="58" t="str">
        <f>IF(AL399="","",MAX(EG$12:EG398)+1)</f>
        <v/>
      </c>
      <c r="EH399" s="73" t="str">
        <f t="shared" si="540"/>
        <v/>
      </c>
      <c r="EI399" s="73" t="str">
        <f t="shared" si="578"/>
        <v/>
      </c>
      <c r="EJ399" s="73" t="str">
        <f t="shared" si="541"/>
        <v/>
      </c>
      <c r="EK399" s="73" t="str">
        <f t="shared" si="542"/>
        <v/>
      </c>
      <c r="EL399" s="73" t="str">
        <f t="shared" si="579"/>
        <v/>
      </c>
      <c r="EM399" s="73" t="str">
        <f t="shared" si="580"/>
        <v/>
      </c>
      <c r="EN399" s="73" t="str">
        <f t="shared" si="543"/>
        <v/>
      </c>
      <c r="EO399" s="73" t="str">
        <f t="shared" si="544"/>
        <v/>
      </c>
      <c r="EP399" s="73" t="str">
        <f t="shared" si="545"/>
        <v/>
      </c>
      <c r="EQ399" s="53" t="str">
        <f t="shared" si="546"/>
        <v/>
      </c>
      <c r="ER399" s="47" t="s">
        <v>0</v>
      </c>
      <c r="ES399" s="19" t="str">
        <f t="shared" si="581"/>
        <v/>
      </c>
      <c r="ET399" s="47" t="s">
        <v>0</v>
      </c>
      <c r="EU399" s="19" t="str">
        <f t="shared" si="582"/>
        <v/>
      </c>
      <c r="EV399" s="47" t="s">
        <v>0</v>
      </c>
      <c r="EW399" s="180" t="str">
        <f t="shared" si="547"/>
        <v/>
      </c>
      <c r="EX399" s="47" t="s">
        <v>0</v>
      </c>
    </row>
    <row r="400" spans="1:154" x14ac:dyDescent="0.25">
      <c r="A400" t="s">
        <v>0</v>
      </c>
      <c r="B400" s="52" t="str">
        <f>IF(csv!F390="","",csv!T390)</f>
        <v/>
      </c>
      <c r="C400" s="31" t="s">
        <v>0</v>
      </c>
      <c r="D400" s="31" t="str">
        <f>IF(csv!F390="","",csv!F390)</f>
        <v/>
      </c>
      <c r="E400" s="31" t="str">
        <f>IF(csv!E390="","",csv!E390)</f>
        <v/>
      </c>
      <c r="F400" s="31" t="s">
        <v>0</v>
      </c>
      <c r="G400" s="73" t="str">
        <f>IF(csv!M390="","",csv!M390)</f>
        <v/>
      </c>
      <c r="H400" s="73" t="str">
        <f>IF(csv!N390="","",csv!N390)</f>
        <v/>
      </c>
      <c r="I400" s="31" t="s">
        <v>0</v>
      </c>
      <c r="J400" s="31" t="str">
        <f>IF(csv!P390="","",csv!P390)</f>
        <v/>
      </c>
      <c r="K400" s="31" t="str">
        <f>IF(csv!Q390="","",csv!Q390)</f>
        <v/>
      </c>
      <c r="L400" s="31" t="s">
        <v>0</v>
      </c>
      <c r="M400" s="66" t="str">
        <f>IF(csv!R390="","",csv!R390)</f>
        <v/>
      </c>
      <c r="N400" s="47" t="s">
        <v>0</v>
      </c>
      <c r="O400" s="246" t="str">
        <f t="shared" si="548"/>
        <v/>
      </c>
      <c r="P400" s="47"/>
      <c r="Q400" s="52" t="str">
        <f t="shared" si="549"/>
        <v/>
      </c>
      <c r="R400" s="73" t="str">
        <f>IF(Q400="","",IF(COUNTIF(Q$12:Q399,Q400)=0,R399+1,R399))</f>
        <v/>
      </c>
      <c r="S400" s="73" t="str">
        <f t="shared" si="550"/>
        <v/>
      </c>
      <c r="T400" s="73" t="str">
        <f t="shared" si="514"/>
        <v/>
      </c>
      <c r="U400" s="66" t="str">
        <f t="shared" si="515"/>
        <v/>
      </c>
      <c r="V400" s="47" t="s">
        <v>0</v>
      </c>
      <c r="W400" s="222" t="str">
        <f t="shared" si="516"/>
        <v/>
      </c>
      <c r="X400" s="223" t="str">
        <f t="shared" si="517"/>
        <v/>
      </c>
      <c r="Y400" s="47" t="s">
        <v>0</v>
      </c>
      <c r="Z400" s="52" t="str">
        <f t="shared" si="551"/>
        <v/>
      </c>
      <c r="AA400" s="73" t="str">
        <f t="shared" si="518"/>
        <v/>
      </c>
      <c r="AB400" s="31" t="str">
        <f t="shared" si="552"/>
        <v/>
      </c>
      <c r="AC400" s="66" t="str">
        <f>IF(AB400="","",MAX(AC$12:AC399)+1)</f>
        <v/>
      </c>
      <c r="AD400" s="47" t="s">
        <v>0</v>
      </c>
      <c r="AE400" s="125"/>
      <c r="AF400" s="47" t="s">
        <v>0</v>
      </c>
      <c r="AG400" s="19" t="str">
        <f t="shared" si="553"/>
        <v/>
      </c>
      <c r="AH400" s="47" t="s">
        <v>0</v>
      </c>
      <c r="AI400" s="143" t="str">
        <f t="shared" si="554"/>
        <v/>
      </c>
      <c r="AJ400" s="47"/>
      <c r="AK400" s="52" t="str">
        <f t="shared" si="555"/>
        <v/>
      </c>
      <c r="AL400" s="31" t="str">
        <f t="shared" si="556"/>
        <v/>
      </c>
      <c r="AM400" s="73" t="str">
        <f t="shared" si="557"/>
        <v/>
      </c>
      <c r="AN400" s="73" t="str">
        <f t="shared" si="558"/>
        <v/>
      </c>
      <c r="AO400" s="31" t="str">
        <f t="shared" si="519"/>
        <v/>
      </c>
      <c r="AP400" s="66" t="str">
        <f t="shared" si="520"/>
        <v/>
      </c>
      <c r="AQ400" s="47" t="s">
        <v>0</v>
      </c>
      <c r="AR400" s="82" t="str">
        <f t="shared" si="559"/>
        <v/>
      </c>
      <c r="AS400" s="47" t="s">
        <v>0</v>
      </c>
      <c r="AT400" s="19" t="str">
        <f t="shared" si="560"/>
        <v/>
      </c>
      <c r="AU400" s="47" t="s">
        <v>0</v>
      </c>
      <c r="AV400" s="103"/>
      <c r="AW400" s="105"/>
      <c r="AX400" s="47" t="s">
        <v>0</v>
      </c>
      <c r="AY400" s="259" t="str">
        <f t="shared" si="503"/>
        <v/>
      </c>
      <c r="AZ400" s="47" t="s">
        <v>0</v>
      </c>
      <c r="BA400" s="52" t="str">
        <f t="shared" si="513"/>
        <v/>
      </c>
      <c r="BB400" s="73" t="str">
        <f>IF(AV400&amp;AW400="","",MAX(BB$12:BB399)+1)</f>
        <v/>
      </c>
      <c r="BC400" s="272" t="str">
        <f t="shared" si="521"/>
        <v/>
      </c>
      <c r="BD400" s="53" t="str">
        <f>IF(AND(AM400="NEMA",AN400="NEMA",OR(AV400&amp;AW400="",BC400="NEMA")),MAX(BD$12:BD399)+1,"")</f>
        <v/>
      </c>
      <c r="BE400" s="47" t="s">
        <v>0</v>
      </c>
      <c r="BF400" s="52" t="str">
        <f t="shared" si="561"/>
        <v/>
      </c>
      <c r="BG400" s="66" t="str">
        <f t="shared" si="562"/>
        <v/>
      </c>
      <c r="BH400" s="47" t="s">
        <v>0</v>
      </c>
      <c r="BI400" s="52" t="str">
        <f t="shared" si="522"/>
        <v/>
      </c>
      <c r="BJ400" s="31" t="str">
        <f t="shared" si="523"/>
        <v/>
      </c>
      <c r="BK400" s="73" t="str">
        <f t="shared" si="524"/>
        <v/>
      </c>
      <c r="BL400" s="31" t="str" cm="1">
        <f t="array" ref="BL400">IF(BK400="",""&amp;BJ400,IF(BK400="NEMA",BJ400,INDEX(regKlub_naziv,MATCH(INDEX(regKlub_alias_klubId,BK400),regKlub_id,0))))</f>
        <v/>
      </c>
      <c r="BM400" s="31" t="str" cm="1">
        <f t="array" ref="BM400">IFERROR(""&amp;INDEX(regNatjecatelj_klub,DV400),"")</f>
        <v/>
      </c>
      <c r="BN400" s="88" t="str">
        <f t="shared" si="563"/>
        <v/>
      </c>
      <c r="BO400" s="66" t="str">
        <f t="shared" si="564"/>
        <v/>
      </c>
      <c r="BP400" s="47" t="s">
        <v>0</v>
      </c>
      <c r="BQ400" s="52" t="str">
        <f>IF(X400&lt;&gt;"NEMA","",IF(IFERROR(MATCH(W400,W$12:W399,0),0)&lt;&gt;0,"",W400))</f>
        <v/>
      </c>
      <c r="BR400" s="73" t="str">
        <f t="shared" si="565"/>
        <v/>
      </c>
      <c r="BS400" s="31" t="str">
        <f>IF(OR(BR400="",BR400&lt;&gt;"NEMA"),"",MAX(BS$12:BS399)+1)</f>
        <v/>
      </c>
      <c r="BT400" s="66" t="str">
        <f t="shared" si="566"/>
        <v/>
      </c>
      <c r="BU400" s="47" t="s">
        <v>0</v>
      </c>
      <c r="BV400" s="19" t="str">
        <f t="shared" si="567"/>
        <v/>
      </c>
      <c r="BW400" s="47" t="s">
        <v>0</v>
      </c>
      <c r="BX400" s="82" t="str">
        <f>IF(BK400&lt;&gt;"NEMA","",IF(IFERROR(MATCH(BJ400,BJ$12:BJ399,0),0)&lt;&gt;0,"",BJ400))</f>
        <v/>
      </c>
      <c r="BY400" s="47" t="s">
        <v>0</v>
      </c>
      <c r="BZ400" s="125"/>
      <c r="CA400" s="47" t="s">
        <v>0</v>
      </c>
      <c r="CB400" s="58" t="str">
        <f t="shared" si="568"/>
        <v/>
      </c>
      <c r="CC400" s="31" t="str">
        <f t="shared" si="569"/>
        <v/>
      </c>
      <c r="CD400" s="31" t="str">
        <f>IF(CC400="","",MAX(CD$12:CD399)+1)</f>
        <v/>
      </c>
      <c r="CE400" s="31" t="str">
        <f t="shared" si="525"/>
        <v/>
      </c>
      <c r="CF400" s="31" t="str">
        <f t="shared" si="570"/>
        <v/>
      </c>
      <c r="CG400" s="31" t="str">
        <f>IF(BZ400="","",MAX(CG$12:CG399)+1)</f>
        <v/>
      </c>
      <c r="CH400" s="31" t="str">
        <f t="shared" si="571"/>
        <v/>
      </c>
      <c r="CI400" s="66" t="str">
        <f t="shared" si="572"/>
        <v/>
      </c>
      <c r="CJ400" s="47" t="s">
        <v>0</v>
      </c>
      <c r="CK400" s="73" t="str">
        <f t="shared" si="526"/>
        <v/>
      </c>
      <c r="CL400" s="47"/>
      <c r="CM400" s="19" t="str">
        <f t="shared" si="573"/>
        <v/>
      </c>
      <c r="CN400" s="47" t="s">
        <v>0</v>
      </c>
      <c r="CO400" s="143" t="str">
        <f t="shared" si="574"/>
        <v/>
      </c>
      <c r="CP400" s="47" t="s">
        <v>0</v>
      </c>
      <c r="CQ400" s="58" t="str">
        <f t="shared" si="510"/>
        <v/>
      </c>
      <c r="CR400" s="73" t="str">
        <f t="shared" si="511"/>
        <v/>
      </c>
      <c r="CS400" s="229" t="str">
        <f t="shared" si="527"/>
        <v/>
      </c>
      <c r="CT400" s="230" t="str">
        <f t="shared" si="512"/>
        <v/>
      </c>
      <c r="CU400" s="163" t="str">
        <f t="shared" si="528"/>
        <v/>
      </c>
      <c r="CV400" s="47" t="s">
        <v>0</v>
      </c>
      <c r="CW400" s="222" t="str">
        <f t="shared" si="575"/>
        <v xml:space="preserve">
</v>
      </c>
      <c r="CX400" s="223" t="str">
        <f t="shared" si="576"/>
        <v/>
      </c>
      <c r="CY400" s="47" t="s">
        <v>0</v>
      </c>
      <c r="CZ400" s="47"/>
      <c r="DA400" s="47"/>
      <c r="DB400" s="47"/>
      <c r="DC400" s="47" t="s">
        <v>0</v>
      </c>
      <c r="DD400" s="53" t="str">
        <f t="shared" si="504"/>
        <v/>
      </c>
      <c r="DE400" t="s">
        <v>0</v>
      </c>
      <c r="DF400" s="128" t="str">
        <f t="shared" si="505"/>
        <v/>
      </c>
      <c r="DG400" t="s">
        <v>0</v>
      </c>
      <c r="DH400" s="52" t="str">
        <f t="shared" si="506"/>
        <v/>
      </c>
      <c r="DI400" s="66" t="str">
        <f t="shared" si="507"/>
        <v/>
      </c>
      <c r="DJ400" t="s">
        <v>0</v>
      </c>
      <c r="DK400" s="19" t="str">
        <f t="shared" si="508"/>
        <v/>
      </c>
      <c r="DL400" s="47" t="s">
        <v>0</v>
      </c>
      <c r="DM400" s="19" t="str">
        <f t="shared" si="509"/>
        <v/>
      </c>
      <c r="DN400" s="47" t="s">
        <v>0</v>
      </c>
      <c r="DO400" s="52" t="str">
        <f t="shared" si="529"/>
        <v/>
      </c>
      <c r="DP400" s="53" t="str">
        <f t="shared" si="530"/>
        <v/>
      </c>
      <c r="DQ400" s="47" t="s">
        <v>0</v>
      </c>
      <c r="DR400" s="52" t="str">
        <f t="shared" si="531"/>
        <v/>
      </c>
      <c r="DS400" s="53" t="str">
        <f t="shared" si="532"/>
        <v/>
      </c>
      <c r="DT400" s="47" t="s">
        <v>0</v>
      </c>
      <c r="DU400" s="52" t="str">
        <f t="shared" si="533"/>
        <v/>
      </c>
      <c r="DV400" s="53" t="str">
        <f t="shared" si="534"/>
        <v/>
      </c>
      <c r="DW400" s="47" t="s">
        <v>0</v>
      </c>
      <c r="DX400" s="58" t="str">
        <f t="shared" si="577"/>
        <v/>
      </c>
      <c r="DY400" s="53" t="str" cm="1">
        <f t="array" ref="DY400">IF(DX400&lt;&gt;"",INDEX(regNatjecatelj_id,DX400,0),IF(BD400&lt;&gt;"",BD400,""))</f>
        <v/>
      </c>
      <c r="DZ400" s="47" t="s">
        <v>0</v>
      </c>
      <c r="EA400" s="58" t="str">
        <f t="shared" si="535"/>
        <v/>
      </c>
      <c r="EB400" s="73" t="str">
        <f t="shared" si="536"/>
        <v/>
      </c>
      <c r="EC400" s="73" t="str">
        <f t="shared" si="537"/>
        <v/>
      </c>
      <c r="ED400" s="73" t="str">
        <f t="shared" si="538"/>
        <v/>
      </c>
      <c r="EE400" s="66" t="str">
        <f t="shared" si="539"/>
        <v/>
      </c>
      <c r="EF400" s="47" t="s">
        <v>0</v>
      </c>
      <c r="EG400" s="58" t="str">
        <f>IF(AL400="","",MAX(EG$12:EG399)+1)</f>
        <v/>
      </c>
      <c r="EH400" s="73" t="str">
        <f t="shared" si="540"/>
        <v/>
      </c>
      <c r="EI400" s="73" t="str">
        <f t="shared" si="578"/>
        <v/>
      </c>
      <c r="EJ400" s="73" t="str">
        <f t="shared" si="541"/>
        <v/>
      </c>
      <c r="EK400" s="73" t="str">
        <f t="shared" si="542"/>
        <v/>
      </c>
      <c r="EL400" s="73" t="str">
        <f t="shared" si="579"/>
        <v/>
      </c>
      <c r="EM400" s="73" t="str">
        <f t="shared" si="580"/>
        <v/>
      </c>
      <c r="EN400" s="73" t="str">
        <f t="shared" si="543"/>
        <v/>
      </c>
      <c r="EO400" s="73" t="str">
        <f t="shared" si="544"/>
        <v/>
      </c>
      <c r="EP400" s="73" t="str">
        <f t="shared" si="545"/>
        <v/>
      </c>
      <c r="EQ400" s="53" t="str">
        <f t="shared" si="546"/>
        <v/>
      </c>
      <c r="ER400" s="47" t="s">
        <v>0</v>
      </c>
      <c r="ES400" s="19" t="str">
        <f t="shared" si="581"/>
        <v/>
      </c>
      <c r="ET400" s="47" t="s">
        <v>0</v>
      </c>
      <c r="EU400" s="19" t="str">
        <f t="shared" si="582"/>
        <v/>
      </c>
      <c r="EV400" s="47" t="s">
        <v>0</v>
      </c>
      <c r="EW400" s="180" t="str">
        <f t="shared" si="547"/>
        <v/>
      </c>
      <c r="EX400" s="47" t="s">
        <v>0</v>
      </c>
    </row>
    <row r="401" spans="1:154" x14ac:dyDescent="0.25">
      <c r="A401" t="s">
        <v>0</v>
      </c>
      <c r="B401" s="52" t="str">
        <f>IF(csv!F391="","",csv!T391)</f>
        <v/>
      </c>
      <c r="C401" s="31" t="s">
        <v>0</v>
      </c>
      <c r="D401" s="31" t="str">
        <f>IF(csv!F391="","",csv!F391)</f>
        <v/>
      </c>
      <c r="E401" s="31" t="str">
        <f>IF(csv!E391="","",csv!E391)</f>
        <v/>
      </c>
      <c r="F401" s="31" t="s">
        <v>0</v>
      </c>
      <c r="G401" s="73" t="str">
        <f>IF(csv!M391="","",csv!M391)</f>
        <v/>
      </c>
      <c r="H401" s="73" t="str">
        <f>IF(csv!N391="","",csv!N391)</f>
        <v/>
      </c>
      <c r="I401" s="31" t="s">
        <v>0</v>
      </c>
      <c r="J401" s="31" t="str">
        <f>IF(csv!P391="","",csv!P391)</f>
        <v/>
      </c>
      <c r="K401" s="31" t="str">
        <f>IF(csv!Q391="","",csv!Q391)</f>
        <v/>
      </c>
      <c r="L401" s="31" t="s">
        <v>0</v>
      </c>
      <c r="M401" s="66" t="str">
        <f>IF(csv!R391="","",csv!R391)</f>
        <v/>
      </c>
      <c r="N401" s="47" t="s">
        <v>0</v>
      </c>
      <c r="O401" s="246" t="str">
        <f t="shared" si="548"/>
        <v/>
      </c>
      <c r="P401" s="47"/>
      <c r="Q401" s="52" t="str">
        <f t="shared" si="549"/>
        <v/>
      </c>
      <c r="R401" s="73" t="str">
        <f>IF(Q401="","",IF(COUNTIF(Q$12:Q400,Q401)=0,R400+1,R400))</f>
        <v/>
      </c>
      <c r="S401" s="73" t="str">
        <f t="shared" si="550"/>
        <v/>
      </c>
      <c r="T401" s="73" t="str">
        <f t="shared" si="514"/>
        <v/>
      </c>
      <c r="U401" s="66" t="str">
        <f t="shared" si="515"/>
        <v/>
      </c>
      <c r="V401" s="47" t="s">
        <v>0</v>
      </c>
      <c r="W401" s="222" t="str">
        <f t="shared" si="516"/>
        <v/>
      </c>
      <c r="X401" s="223" t="str">
        <f t="shared" si="517"/>
        <v/>
      </c>
      <c r="Y401" s="47" t="s">
        <v>0</v>
      </c>
      <c r="Z401" s="52" t="str">
        <f t="shared" si="551"/>
        <v/>
      </c>
      <c r="AA401" s="73" t="str">
        <f t="shared" si="518"/>
        <v/>
      </c>
      <c r="AB401" s="31" t="str">
        <f t="shared" si="552"/>
        <v/>
      </c>
      <c r="AC401" s="66" t="str">
        <f>IF(AB401="","",MAX(AC$12:AC400)+1)</f>
        <v/>
      </c>
      <c r="AD401" s="47" t="s">
        <v>0</v>
      </c>
      <c r="AE401" s="125"/>
      <c r="AF401" s="47" t="s">
        <v>0</v>
      </c>
      <c r="AG401" s="19" t="str">
        <f t="shared" si="553"/>
        <v/>
      </c>
      <c r="AH401" s="47" t="s">
        <v>0</v>
      </c>
      <c r="AI401" s="143" t="str">
        <f t="shared" si="554"/>
        <v/>
      </c>
      <c r="AJ401" s="47"/>
      <c r="AK401" s="52" t="str">
        <f t="shared" si="555"/>
        <v/>
      </c>
      <c r="AL401" s="31" t="str">
        <f t="shared" si="556"/>
        <v/>
      </c>
      <c r="AM401" s="73" t="str">
        <f t="shared" si="557"/>
        <v/>
      </c>
      <c r="AN401" s="73" t="str">
        <f t="shared" si="558"/>
        <v/>
      </c>
      <c r="AO401" s="31" t="str">
        <f t="shared" si="519"/>
        <v/>
      </c>
      <c r="AP401" s="66" t="str">
        <f t="shared" si="520"/>
        <v/>
      </c>
      <c r="AQ401" s="47" t="s">
        <v>0</v>
      </c>
      <c r="AR401" s="82" t="str">
        <f t="shared" si="559"/>
        <v/>
      </c>
      <c r="AS401" s="47" t="s">
        <v>0</v>
      </c>
      <c r="AT401" s="19" t="str">
        <f t="shared" si="560"/>
        <v/>
      </c>
      <c r="AU401" s="47" t="s">
        <v>0</v>
      </c>
      <c r="AV401" s="103"/>
      <c r="AW401" s="105"/>
      <c r="AX401" s="47" t="s">
        <v>0</v>
      </c>
      <c r="AY401" s="259" t="str">
        <f t="shared" si="503"/>
        <v/>
      </c>
      <c r="AZ401" s="47" t="s">
        <v>0</v>
      </c>
      <c r="BA401" s="52" t="str">
        <f t="shared" si="513"/>
        <v/>
      </c>
      <c r="BB401" s="73" t="str">
        <f>IF(AV401&amp;AW401="","",MAX(BB$12:BB400)+1)</f>
        <v/>
      </c>
      <c r="BC401" s="272" t="str">
        <f t="shared" si="521"/>
        <v/>
      </c>
      <c r="BD401" s="53" t="str">
        <f>IF(AND(AM401="NEMA",AN401="NEMA",OR(AV401&amp;AW401="",BC401="NEMA")),MAX(BD$12:BD400)+1,"")</f>
        <v/>
      </c>
      <c r="BE401" s="47" t="s">
        <v>0</v>
      </c>
      <c r="BF401" s="52" t="str">
        <f t="shared" si="561"/>
        <v/>
      </c>
      <c r="BG401" s="66" t="str">
        <f t="shared" si="562"/>
        <v/>
      </c>
      <c r="BH401" s="47" t="s">
        <v>0</v>
      </c>
      <c r="BI401" s="52" t="str">
        <f t="shared" si="522"/>
        <v/>
      </c>
      <c r="BJ401" s="31" t="str">
        <f t="shared" si="523"/>
        <v/>
      </c>
      <c r="BK401" s="73" t="str">
        <f t="shared" si="524"/>
        <v/>
      </c>
      <c r="BL401" s="31" t="str" cm="1">
        <f t="array" ref="BL401">IF(BK401="",""&amp;BJ401,IF(BK401="NEMA",BJ401,INDEX(regKlub_naziv,MATCH(INDEX(regKlub_alias_klubId,BK401),regKlub_id,0))))</f>
        <v/>
      </c>
      <c r="BM401" s="31" t="str" cm="1">
        <f t="array" ref="BM401">IFERROR(""&amp;INDEX(regNatjecatelj_klub,DV401),"")</f>
        <v/>
      </c>
      <c r="BN401" s="88" t="str">
        <f t="shared" si="563"/>
        <v/>
      </c>
      <c r="BO401" s="66" t="str">
        <f t="shared" si="564"/>
        <v/>
      </c>
      <c r="BP401" s="47" t="s">
        <v>0</v>
      </c>
      <c r="BQ401" s="52" t="str">
        <f>IF(X401&lt;&gt;"NEMA","",IF(IFERROR(MATCH(W401,W$12:W400,0),0)&lt;&gt;0,"",W401))</f>
        <v/>
      </c>
      <c r="BR401" s="73" t="str">
        <f t="shared" si="565"/>
        <v/>
      </c>
      <c r="BS401" s="31" t="str">
        <f>IF(OR(BR401="",BR401&lt;&gt;"NEMA"),"",MAX(BS$12:BS400)+1)</f>
        <v/>
      </c>
      <c r="BT401" s="66" t="str">
        <f t="shared" si="566"/>
        <v/>
      </c>
      <c r="BU401" s="47" t="s">
        <v>0</v>
      </c>
      <c r="BV401" s="19" t="str">
        <f t="shared" si="567"/>
        <v/>
      </c>
      <c r="BW401" s="47" t="s">
        <v>0</v>
      </c>
      <c r="BX401" s="82" t="str">
        <f>IF(BK401&lt;&gt;"NEMA","",IF(IFERROR(MATCH(BJ401,BJ$12:BJ400,0),0)&lt;&gt;0,"",BJ401))</f>
        <v/>
      </c>
      <c r="BY401" s="47" t="s">
        <v>0</v>
      </c>
      <c r="BZ401" s="125"/>
      <c r="CA401" s="47" t="s">
        <v>0</v>
      </c>
      <c r="CB401" s="58" t="str">
        <f t="shared" si="568"/>
        <v/>
      </c>
      <c r="CC401" s="31" t="str">
        <f t="shared" si="569"/>
        <v/>
      </c>
      <c r="CD401" s="31" t="str">
        <f>IF(CC401="","",MAX(CD$12:CD400)+1)</f>
        <v/>
      </c>
      <c r="CE401" s="31" t="str">
        <f t="shared" si="525"/>
        <v/>
      </c>
      <c r="CF401" s="31" t="str">
        <f t="shared" si="570"/>
        <v/>
      </c>
      <c r="CG401" s="31" t="str">
        <f>IF(BZ401="","",MAX(CG$12:CG400)+1)</f>
        <v/>
      </c>
      <c r="CH401" s="31" t="str">
        <f t="shared" si="571"/>
        <v/>
      </c>
      <c r="CI401" s="66" t="str">
        <f t="shared" si="572"/>
        <v/>
      </c>
      <c r="CJ401" s="47" t="s">
        <v>0</v>
      </c>
      <c r="CK401" s="73" t="str">
        <f t="shared" si="526"/>
        <v/>
      </c>
      <c r="CL401" s="47"/>
      <c r="CM401" s="19" t="str">
        <f t="shared" si="573"/>
        <v/>
      </c>
      <c r="CN401" s="47" t="s">
        <v>0</v>
      </c>
      <c r="CO401" s="143" t="str">
        <f t="shared" si="574"/>
        <v/>
      </c>
      <c r="CP401" s="47" t="s">
        <v>0</v>
      </c>
      <c r="CQ401" s="58" t="str">
        <f t="shared" si="510"/>
        <v/>
      </c>
      <c r="CR401" s="73" t="str">
        <f t="shared" si="511"/>
        <v/>
      </c>
      <c r="CS401" s="229" t="str">
        <f t="shared" si="527"/>
        <v/>
      </c>
      <c r="CT401" s="230" t="str">
        <f t="shared" si="512"/>
        <v/>
      </c>
      <c r="CU401" s="163" t="str">
        <f t="shared" si="528"/>
        <v/>
      </c>
      <c r="CV401" s="47" t="s">
        <v>0</v>
      </c>
      <c r="CW401" s="222" t="str">
        <f t="shared" si="575"/>
        <v xml:space="preserve">
</v>
      </c>
      <c r="CX401" s="223" t="str">
        <f t="shared" si="576"/>
        <v/>
      </c>
      <c r="CY401" s="47" t="s">
        <v>0</v>
      </c>
      <c r="CZ401" s="47"/>
      <c r="DA401" s="47"/>
      <c r="DB401" s="47"/>
      <c r="DC401" s="47" t="s">
        <v>0</v>
      </c>
      <c r="DD401" s="53" t="str">
        <f t="shared" si="504"/>
        <v/>
      </c>
      <c r="DE401" t="s">
        <v>0</v>
      </c>
      <c r="DF401" s="128" t="str">
        <f t="shared" si="505"/>
        <v/>
      </c>
      <c r="DG401" t="s">
        <v>0</v>
      </c>
      <c r="DH401" s="52" t="str">
        <f t="shared" si="506"/>
        <v/>
      </c>
      <c r="DI401" s="66" t="str">
        <f t="shared" si="507"/>
        <v/>
      </c>
      <c r="DJ401" t="s">
        <v>0</v>
      </c>
      <c r="DK401" s="19" t="str">
        <f t="shared" si="508"/>
        <v/>
      </c>
      <c r="DL401" s="47" t="s">
        <v>0</v>
      </c>
      <c r="DM401" s="19" t="str">
        <f t="shared" si="509"/>
        <v/>
      </c>
      <c r="DN401" s="47" t="s">
        <v>0</v>
      </c>
      <c r="DO401" s="52" t="str">
        <f t="shared" si="529"/>
        <v/>
      </c>
      <c r="DP401" s="53" t="str">
        <f t="shared" si="530"/>
        <v/>
      </c>
      <c r="DQ401" s="47" t="s">
        <v>0</v>
      </c>
      <c r="DR401" s="52" t="str">
        <f t="shared" si="531"/>
        <v/>
      </c>
      <c r="DS401" s="53" t="str">
        <f t="shared" si="532"/>
        <v/>
      </c>
      <c r="DT401" s="47" t="s">
        <v>0</v>
      </c>
      <c r="DU401" s="52" t="str">
        <f t="shared" si="533"/>
        <v/>
      </c>
      <c r="DV401" s="53" t="str">
        <f t="shared" si="534"/>
        <v/>
      </c>
      <c r="DW401" s="47" t="s">
        <v>0</v>
      </c>
      <c r="DX401" s="58" t="str">
        <f t="shared" si="577"/>
        <v/>
      </c>
      <c r="DY401" s="53" t="str" cm="1">
        <f t="array" ref="DY401">IF(DX401&lt;&gt;"",INDEX(regNatjecatelj_id,DX401,0),IF(BD401&lt;&gt;"",BD401,""))</f>
        <v/>
      </c>
      <c r="DZ401" s="47" t="s">
        <v>0</v>
      </c>
      <c r="EA401" s="58" t="str">
        <f t="shared" si="535"/>
        <v/>
      </c>
      <c r="EB401" s="73" t="str">
        <f t="shared" si="536"/>
        <v/>
      </c>
      <c r="EC401" s="73" t="str">
        <f t="shared" si="537"/>
        <v/>
      </c>
      <c r="ED401" s="73" t="str">
        <f t="shared" si="538"/>
        <v/>
      </c>
      <c r="EE401" s="66" t="str">
        <f t="shared" si="539"/>
        <v/>
      </c>
      <c r="EF401" s="47" t="s">
        <v>0</v>
      </c>
      <c r="EG401" s="58" t="str">
        <f>IF(AL401="","",MAX(EG$12:EG400)+1)</f>
        <v/>
      </c>
      <c r="EH401" s="73" t="str">
        <f t="shared" si="540"/>
        <v/>
      </c>
      <c r="EI401" s="73" t="str">
        <f t="shared" si="578"/>
        <v/>
      </c>
      <c r="EJ401" s="73" t="str">
        <f t="shared" si="541"/>
        <v/>
      </c>
      <c r="EK401" s="73" t="str">
        <f t="shared" si="542"/>
        <v/>
      </c>
      <c r="EL401" s="73" t="str">
        <f t="shared" si="579"/>
        <v/>
      </c>
      <c r="EM401" s="73" t="str">
        <f t="shared" si="580"/>
        <v/>
      </c>
      <c r="EN401" s="73" t="str">
        <f t="shared" si="543"/>
        <v/>
      </c>
      <c r="EO401" s="73" t="str">
        <f t="shared" si="544"/>
        <v/>
      </c>
      <c r="EP401" s="73" t="str">
        <f t="shared" si="545"/>
        <v/>
      </c>
      <c r="EQ401" s="53" t="str">
        <f t="shared" si="546"/>
        <v/>
      </c>
      <c r="ER401" s="47" t="s">
        <v>0</v>
      </c>
      <c r="ES401" s="19" t="str">
        <f t="shared" si="581"/>
        <v/>
      </c>
      <c r="ET401" s="47" t="s">
        <v>0</v>
      </c>
      <c r="EU401" s="19" t="str">
        <f t="shared" si="582"/>
        <v/>
      </c>
      <c r="EV401" s="47" t="s">
        <v>0</v>
      </c>
      <c r="EW401" s="180" t="str">
        <f t="shared" si="547"/>
        <v/>
      </c>
      <c r="EX401" s="47" t="s">
        <v>0</v>
      </c>
    </row>
    <row r="402" spans="1:154" x14ac:dyDescent="0.25">
      <c r="A402" t="s">
        <v>0</v>
      </c>
      <c r="B402" s="52" t="str">
        <f>IF(csv!F392="","",csv!T392)</f>
        <v/>
      </c>
      <c r="C402" s="31" t="s">
        <v>0</v>
      </c>
      <c r="D402" s="31" t="str">
        <f>IF(csv!F392="","",csv!F392)</f>
        <v/>
      </c>
      <c r="E402" s="31" t="str">
        <f>IF(csv!E392="","",csv!E392)</f>
        <v/>
      </c>
      <c r="F402" s="31" t="s">
        <v>0</v>
      </c>
      <c r="G402" s="73" t="str">
        <f>IF(csv!M392="","",csv!M392)</f>
        <v/>
      </c>
      <c r="H402" s="73" t="str">
        <f>IF(csv!N392="","",csv!N392)</f>
        <v/>
      </c>
      <c r="I402" s="31" t="s">
        <v>0</v>
      </c>
      <c r="J402" s="31" t="str">
        <f>IF(csv!P392="","",csv!P392)</f>
        <v/>
      </c>
      <c r="K402" s="31" t="str">
        <f>IF(csv!Q392="","",csv!Q392)</f>
        <v/>
      </c>
      <c r="L402" s="31" t="s">
        <v>0</v>
      </c>
      <c r="M402" s="66" t="str">
        <f>IF(csv!R392="","",csv!R392)</f>
        <v/>
      </c>
      <c r="N402" s="47" t="s">
        <v>0</v>
      </c>
      <c r="O402" s="246" t="str">
        <f t="shared" si="548"/>
        <v/>
      </c>
      <c r="P402" s="47"/>
      <c r="Q402" s="52" t="str">
        <f t="shared" si="549"/>
        <v/>
      </c>
      <c r="R402" s="73" t="str">
        <f>IF(Q402="","",IF(COUNTIF(Q$12:Q401,Q402)=0,R401+1,R401))</f>
        <v/>
      </c>
      <c r="S402" s="73" t="str">
        <f t="shared" si="550"/>
        <v/>
      </c>
      <c r="T402" s="73" t="str">
        <f t="shared" si="514"/>
        <v/>
      </c>
      <c r="U402" s="66" t="str">
        <f t="shared" si="515"/>
        <v/>
      </c>
      <c r="V402" s="47" t="s">
        <v>0</v>
      </c>
      <c r="W402" s="222" t="str">
        <f t="shared" si="516"/>
        <v/>
      </c>
      <c r="X402" s="223" t="str">
        <f t="shared" si="517"/>
        <v/>
      </c>
      <c r="Y402" s="47" t="s">
        <v>0</v>
      </c>
      <c r="Z402" s="52" t="str">
        <f t="shared" si="551"/>
        <v/>
      </c>
      <c r="AA402" s="73" t="str">
        <f t="shared" si="518"/>
        <v/>
      </c>
      <c r="AB402" s="31" t="str">
        <f t="shared" si="552"/>
        <v/>
      </c>
      <c r="AC402" s="66" t="str">
        <f>IF(AB402="","",MAX(AC$12:AC401)+1)</f>
        <v/>
      </c>
      <c r="AD402" s="47" t="s">
        <v>0</v>
      </c>
      <c r="AE402" s="125"/>
      <c r="AF402" s="47" t="s">
        <v>0</v>
      </c>
      <c r="AG402" s="19" t="str">
        <f t="shared" si="553"/>
        <v/>
      </c>
      <c r="AH402" s="47" t="s">
        <v>0</v>
      </c>
      <c r="AI402" s="143" t="str">
        <f t="shared" si="554"/>
        <v/>
      </c>
      <c r="AJ402" s="47"/>
      <c r="AK402" s="52" t="str">
        <f t="shared" si="555"/>
        <v/>
      </c>
      <c r="AL402" s="31" t="str">
        <f t="shared" si="556"/>
        <v/>
      </c>
      <c r="AM402" s="73" t="str">
        <f t="shared" si="557"/>
        <v/>
      </c>
      <c r="AN402" s="73" t="str">
        <f t="shared" si="558"/>
        <v/>
      </c>
      <c r="AO402" s="31" t="str">
        <f t="shared" si="519"/>
        <v/>
      </c>
      <c r="AP402" s="66" t="str">
        <f t="shared" si="520"/>
        <v/>
      </c>
      <c r="AQ402" s="47" t="s">
        <v>0</v>
      </c>
      <c r="AR402" s="82" t="str">
        <f t="shared" si="559"/>
        <v/>
      </c>
      <c r="AS402" s="47" t="s">
        <v>0</v>
      </c>
      <c r="AT402" s="19" t="str">
        <f t="shared" si="560"/>
        <v/>
      </c>
      <c r="AU402" s="47" t="s">
        <v>0</v>
      </c>
      <c r="AV402" s="103"/>
      <c r="AW402" s="105"/>
      <c r="AX402" s="47" t="s">
        <v>0</v>
      </c>
      <c r="AY402" s="259" t="str">
        <f t="shared" si="503"/>
        <v/>
      </c>
      <c r="AZ402" s="47" t="s">
        <v>0</v>
      </c>
      <c r="BA402" s="52" t="str">
        <f t="shared" si="513"/>
        <v/>
      </c>
      <c r="BB402" s="73" t="str">
        <f>IF(AV402&amp;AW402="","",MAX(BB$12:BB401)+1)</f>
        <v/>
      </c>
      <c r="BC402" s="272" t="str">
        <f t="shared" si="521"/>
        <v/>
      </c>
      <c r="BD402" s="53" t="str">
        <f>IF(AND(AM402="NEMA",AN402="NEMA",OR(AV402&amp;AW402="",BC402="NEMA")),MAX(BD$12:BD401)+1,"")</f>
        <v/>
      </c>
      <c r="BE402" s="47" t="s">
        <v>0</v>
      </c>
      <c r="BF402" s="52" t="str">
        <f t="shared" si="561"/>
        <v/>
      </c>
      <c r="BG402" s="66" t="str">
        <f t="shared" si="562"/>
        <v/>
      </c>
      <c r="BH402" s="47" t="s">
        <v>0</v>
      </c>
      <c r="BI402" s="52" t="str">
        <f t="shared" si="522"/>
        <v/>
      </c>
      <c r="BJ402" s="31" t="str">
        <f t="shared" si="523"/>
        <v/>
      </c>
      <c r="BK402" s="73" t="str">
        <f t="shared" si="524"/>
        <v/>
      </c>
      <c r="BL402" s="31" t="str" cm="1">
        <f t="array" ref="BL402">IF(BK402="",""&amp;BJ402,IF(BK402="NEMA",BJ402,INDEX(regKlub_naziv,MATCH(INDEX(regKlub_alias_klubId,BK402),regKlub_id,0))))</f>
        <v/>
      </c>
      <c r="BM402" s="31" t="str" cm="1">
        <f t="array" ref="BM402">IFERROR(""&amp;INDEX(regNatjecatelj_klub,DV402),"")</f>
        <v/>
      </c>
      <c r="BN402" s="88" t="str">
        <f t="shared" si="563"/>
        <v/>
      </c>
      <c r="BO402" s="66" t="str">
        <f t="shared" si="564"/>
        <v/>
      </c>
      <c r="BP402" s="47" t="s">
        <v>0</v>
      </c>
      <c r="BQ402" s="52" t="str">
        <f>IF(X402&lt;&gt;"NEMA","",IF(IFERROR(MATCH(W402,W$12:W401,0),0)&lt;&gt;0,"",W402))</f>
        <v/>
      </c>
      <c r="BR402" s="73" t="str">
        <f t="shared" si="565"/>
        <v/>
      </c>
      <c r="BS402" s="31" t="str">
        <f>IF(OR(BR402="",BR402&lt;&gt;"NEMA"),"",MAX(BS$12:BS401)+1)</f>
        <v/>
      </c>
      <c r="BT402" s="66" t="str">
        <f t="shared" si="566"/>
        <v/>
      </c>
      <c r="BU402" s="47" t="s">
        <v>0</v>
      </c>
      <c r="BV402" s="19" t="str">
        <f t="shared" si="567"/>
        <v/>
      </c>
      <c r="BW402" s="47" t="s">
        <v>0</v>
      </c>
      <c r="BX402" s="82" t="str">
        <f>IF(BK402&lt;&gt;"NEMA","",IF(IFERROR(MATCH(BJ402,BJ$12:BJ401,0),0)&lt;&gt;0,"",BJ402))</f>
        <v/>
      </c>
      <c r="BY402" s="47" t="s">
        <v>0</v>
      </c>
      <c r="BZ402" s="125"/>
      <c r="CA402" s="47" t="s">
        <v>0</v>
      </c>
      <c r="CB402" s="58" t="str">
        <f t="shared" si="568"/>
        <v/>
      </c>
      <c r="CC402" s="31" t="str">
        <f t="shared" si="569"/>
        <v/>
      </c>
      <c r="CD402" s="31" t="str">
        <f>IF(CC402="","",MAX(CD$12:CD401)+1)</f>
        <v/>
      </c>
      <c r="CE402" s="31" t="str">
        <f t="shared" si="525"/>
        <v/>
      </c>
      <c r="CF402" s="31" t="str">
        <f t="shared" si="570"/>
        <v/>
      </c>
      <c r="CG402" s="31" t="str">
        <f>IF(BZ402="","",MAX(CG$12:CG401)+1)</f>
        <v/>
      </c>
      <c r="CH402" s="31" t="str">
        <f t="shared" si="571"/>
        <v/>
      </c>
      <c r="CI402" s="66" t="str">
        <f t="shared" si="572"/>
        <v/>
      </c>
      <c r="CJ402" s="47" t="s">
        <v>0</v>
      </c>
      <c r="CK402" s="73" t="str">
        <f t="shared" si="526"/>
        <v/>
      </c>
      <c r="CL402" s="47"/>
      <c r="CM402" s="19" t="str">
        <f t="shared" si="573"/>
        <v/>
      </c>
      <c r="CN402" s="47" t="s">
        <v>0</v>
      </c>
      <c r="CO402" s="143" t="str">
        <f t="shared" si="574"/>
        <v/>
      </c>
      <c r="CP402" s="47" t="s">
        <v>0</v>
      </c>
      <c r="CQ402" s="58" t="str">
        <f t="shared" si="510"/>
        <v/>
      </c>
      <c r="CR402" s="73" t="str">
        <f t="shared" si="511"/>
        <v/>
      </c>
      <c r="CS402" s="229" t="str">
        <f t="shared" si="527"/>
        <v/>
      </c>
      <c r="CT402" s="230" t="str">
        <f t="shared" si="512"/>
        <v/>
      </c>
      <c r="CU402" s="163" t="str">
        <f t="shared" si="528"/>
        <v/>
      </c>
      <c r="CV402" s="47" t="s">
        <v>0</v>
      </c>
      <c r="CW402" s="222" t="str">
        <f t="shared" si="575"/>
        <v xml:space="preserve">
</v>
      </c>
      <c r="CX402" s="223" t="str">
        <f t="shared" si="576"/>
        <v/>
      </c>
      <c r="CY402" s="47" t="s">
        <v>0</v>
      </c>
      <c r="CZ402" s="47"/>
      <c r="DA402" s="47"/>
      <c r="DB402" s="47"/>
      <c r="DC402" s="47" t="s">
        <v>0</v>
      </c>
      <c r="DD402" s="53" t="str">
        <f t="shared" si="504"/>
        <v/>
      </c>
      <c r="DE402" t="s">
        <v>0</v>
      </c>
      <c r="DF402" s="128" t="str">
        <f t="shared" si="505"/>
        <v/>
      </c>
      <c r="DG402" t="s">
        <v>0</v>
      </c>
      <c r="DH402" s="52" t="str">
        <f t="shared" si="506"/>
        <v/>
      </c>
      <c r="DI402" s="66" t="str">
        <f t="shared" si="507"/>
        <v/>
      </c>
      <c r="DJ402" t="s">
        <v>0</v>
      </c>
      <c r="DK402" s="19" t="str">
        <f t="shared" si="508"/>
        <v/>
      </c>
      <c r="DL402" s="47" t="s">
        <v>0</v>
      </c>
      <c r="DM402" s="19" t="str">
        <f t="shared" si="509"/>
        <v/>
      </c>
      <c r="DN402" s="47" t="s">
        <v>0</v>
      </c>
      <c r="DO402" s="52" t="str">
        <f t="shared" si="529"/>
        <v/>
      </c>
      <c r="DP402" s="53" t="str">
        <f t="shared" si="530"/>
        <v/>
      </c>
      <c r="DQ402" s="47" t="s">
        <v>0</v>
      </c>
      <c r="DR402" s="52" t="str">
        <f t="shared" si="531"/>
        <v/>
      </c>
      <c r="DS402" s="53" t="str">
        <f t="shared" si="532"/>
        <v/>
      </c>
      <c r="DT402" s="47" t="s">
        <v>0</v>
      </c>
      <c r="DU402" s="52" t="str">
        <f t="shared" si="533"/>
        <v/>
      </c>
      <c r="DV402" s="53" t="str">
        <f t="shared" si="534"/>
        <v/>
      </c>
      <c r="DW402" s="47" t="s">
        <v>0</v>
      </c>
      <c r="DX402" s="58" t="str">
        <f t="shared" si="577"/>
        <v/>
      </c>
      <c r="DY402" s="53" t="str" cm="1">
        <f t="array" ref="DY402">IF(DX402&lt;&gt;"",INDEX(regNatjecatelj_id,DX402,0),IF(BD402&lt;&gt;"",BD402,""))</f>
        <v/>
      </c>
      <c r="DZ402" s="47" t="s">
        <v>0</v>
      </c>
      <c r="EA402" s="58" t="str">
        <f t="shared" si="535"/>
        <v/>
      </c>
      <c r="EB402" s="73" t="str">
        <f t="shared" si="536"/>
        <v/>
      </c>
      <c r="EC402" s="73" t="str">
        <f t="shared" si="537"/>
        <v/>
      </c>
      <c r="ED402" s="73" t="str">
        <f t="shared" si="538"/>
        <v/>
      </c>
      <c r="EE402" s="66" t="str">
        <f t="shared" si="539"/>
        <v/>
      </c>
      <c r="EF402" s="47" t="s">
        <v>0</v>
      </c>
      <c r="EG402" s="58" t="str">
        <f>IF(AL402="","",MAX(EG$12:EG401)+1)</f>
        <v/>
      </c>
      <c r="EH402" s="73" t="str">
        <f t="shared" si="540"/>
        <v/>
      </c>
      <c r="EI402" s="73" t="str">
        <f t="shared" si="578"/>
        <v/>
      </c>
      <c r="EJ402" s="73" t="str">
        <f t="shared" si="541"/>
        <v/>
      </c>
      <c r="EK402" s="73" t="str">
        <f t="shared" si="542"/>
        <v/>
      </c>
      <c r="EL402" s="73" t="str">
        <f t="shared" si="579"/>
        <v/>
      </c>
      <c r="EM402" s="73" t="str">
        <f t="shared" si="580"/>
        <v/>
      </c>
      <c r="EN402" s="73" t="str">
        <f t="shared" si="543"/>
        <v/>
      </c>
      <c r="EO402" s="73" t="str">
        <f t="shared" si="544"/>
        <v/>
      </c>
      <c r="EP402" s="73" t="str">
        <f t="shared" si="545"/>
        <v/>
      </c>
      <c r="EQ402" s="53" t="str">
        <f t="shared" si="546"/>
        <v/>
      </c>
      <c r="ER402" s="47" t="s">
        <v>0</v>
      </c>
      <c r="ES402" s="19" t="str">
        <f t="shared" si="581"/>
        <v/>
      </c>
      <c r="ET402" s="47" t="s">
        <v>0</v>
      </c>
      <c r="EU402" s="19" t="str">
        <f t="shared" si="582"/>
        <v/>
      </c>
      <c r="EV402" s="47" t="s">
        <v>0</v>
      </c>
      <c r="EW402" s="180" t="str">
        <f t="shared" si="547"/>
        <v/>
      </c>
      <c r="EX402" s="47" t="s">
        <v>0</v>
      </c>
    </row>
    <row r="403" spans="1:154" x14ac:dyDescent="0.25">
      <c r="A403" t="s">
        <v>0</v>
      </c>
      <c r="B403" s="52" t="str">
        <f>IF(csv!F393="","",csv!T393)</f>
        <v/>
      </c>
      <c r="C403" s="31" t="s">
        <v>0</v>
      </c>
      <c r="D403" s="31" t="str">
        <f>IF(csv!F393="","",csv!F393)</f>
        <v/>
      </c>
      <c r="E403" s="31" t="str">
        <f>IF(csv!E393="","",csv!E393)</f>
        <v/>
      </c>
      <c r="F403" s="31" t="s">
        <v>0</v>
      </c>
      <c r="G403" s="73" t="str">
        <f>IF(csv!M393="","",csv!M393)</f>
        <v/>
      </c>
      <c r="H403" s="73" t="str">
        <f>IF(csv!N393="","",csv!N393)</f>
        <v/>
      </c>
      <c r="I403" s="31" t="s">
        <v>0</v>
      </c>
      <c r="J403" s="31" t="str">
        <f>IF(csv!P393="","",csv!P393)</f>
        <v/>
      </c>
      <c r="K403" s="31" t="str">
        <f>IF(csv!Q393="","",csv!Q393)</f>
        <v/>
      </c>
      <c r="L403" s="31" t="s">
        <v>0</v>
      </c>
      <c r="M403" s="66" t="str">
        <f>IF(csv!R393="","",csv!R393)</f>
        <v/>
      </c>
      <c r="N403" s="47" t="s">
        <v>0</v>
      </c>
      <c r="O403" s="246" t="str">
        <f t="shared" si="548"/>
        <v/>
      </c>
      <c r="P403" s="47"/>
      <c r="Q403" s="52" t="str">
        <f t="shared" si="549"/>
        <v/>
      </c>
      <c r="R403" s="73" t="str">
        <f>IF(Q403="","",IF(COUNTIF(Q$12:Q402,Q403)=0,R402+1,R402))</f>
        <v/>
      </c>
      <c r="S403" s="73" t="str">
        <f t="shared" si="550"/>
        <v/>
      </c>
      <c r="T403" s="73" t="str">
        <f t="shared" si="514"/>
        <v/>
      </c>
      <c r="U403" s="66" t="str">
        <f t="shared" si="515"/>
        <v/>
      </c>
      <c r="V403" s="47" t="s">
        <v>0</v>
      </c>
      <c r="W403" s="222" t="str">
        <f t="shared" si="516"/>
        <v/>
      </c>
      <c r="X403" s="223" t="str">
        <f t="shared" si="517"/>
        <v/>
      </c>
      <c r="Y403" s="47" t="s">
        <v>0</v>
      </c>
      <c r="Z403" s="52" t="str">
        <f t="shared" si="551"/>
        <v/>
      </c>
      <c r="AA403" s="73" t="str">
        <f t="shared" si="518"/>
        <v/>
      </c>
      <c r="AB403" s="31" t="str">
        <f t="shared" si="552"/>
        <v/>
      </c>
      <c r="AC403" s="66" t="str">
        <f>IF(AB403="","",MAX(AC$12:AC402)+1)</f>
        <v/>
      </c>
      <c r="AD403" s="47" t="s">
        <v>0</v>
      </c>
      <c r="AE403" s="125"/>
      <c r="AF403" s="47" t="s">
        <v>0</v>
      </c>
      <c r="AG403" s="19" t="str">
        <f t="shared" si="553"/>
        <v/>
      </c>
      <c r="AH403" s="47" t="s">
        <v>0</v>
      </c>
      <c r="AI403" s="143" t="str">
        <f t="shared" si="554"/>
        <v/>
      </c>
      <c r="AJ403" s="47"/>
      <c r="AK403" s="52" t="str">
        <f t="shared" si="555"/>
        <v/>
      </c>
      <c r="AL403" s="31" t="str">
        <f t="shared" si="556"/>
        <v/>
      </c>
      <c r="AM403" s="73" t="str">
        <f t="shared" si="557"/>
        <v/>
      </c>
      <c r="AN403" s="73" t="str">
        <f t="shared" si="558"/>
        <v/>
      </c>
      <c r="AO403" s="31" t="str">
        <f t="shared" si="519"/>
        <v/>
      </c>
      <c r="AP403" s="66" t="str">
        <f t="shared" si="520"/>
        <v/>
      </c>
      <c r="AQ403" s="47" t="s">
        <v>0</v>
      </c>
      <c r="AR403" s="82" t="str">
        <f t="shared" si="559"/>
        <v/>
      </c>
      <c r="AS403" s="47" t="s">
        <v>0</v>
      </c>
      <c r="AT403" s="19" t="str">
        <f t="shared" si="560"/>
        <v/>
      </c>
      <c r="AU403" s="47" t="s">
        <v>0</v>
      </c>
      <c r="AV403" s="103"/>
      <c r="AW403" s="105"/>
      <c r="AX403" s="47" t="s">
        <v>0</v>
      </c>
      <c r="AY403" s="259" t="str">
        <f t="shared" si="503"/>
        <v/>
      </c>
      <c r="AZ403" s="47" t="s">
        <v>0</v>
      </c>
      <c r="BA403" s="52" t="str">
        <f t="shared" si="513"/>
        <v/>
      </c>
      <c r="BB403" s="73" t="str">
        <f>IF(AV403&amp;AW403="","",MAX(BB$12:BB402)+1)</f>
        <v/>
      </c>
      <c r="BC403" s="272" t="str">
        <f t="shared" si="521"/>
        <v/>
      </c>
      <c r="BD403" s="53" t="str">
        <f>IF(AND(AM403="NEMA",AN403="NEMA",OR(AV403&amp;AW403="",BC403="NEMA")),MAX(BD$12:BD402)+1,"")</f>
        <v/>
      </c>
      <c r="BE403" s="47" t="s">
        <v>0</v>
      </c>
      <c r="BF403" s="52" t="str">
        <f t="shared" si="561"/>
        <v/>
      </c>
      <c r="BG403" s="66" t="str">
        <f t="shared" si="562"/>
        <v/>
      </c>
      <c r="BH403" s="47" t="s">
        <v>0</v>
      </c>
      <c r="BI403" s="52" t="str">
        <f t="shared" si="522"/>
        <v/>
      </c>
      <c r="BJ403" s="31" t="str">
        <f t="shared" si="523"/>
        <v/>
      </c>
      <c r="BK403" s="73" t="str">
        <f t="shared" si="524"/>
        <v/>
      </c>
      <c r="BL403" s="31" t="str" cm="1">
        <f t="array" ref="BL403">IF(BK403="",""&amp;BJ403,IF(BK403="NEMA",BJ403,INDEX(regKlub_naziv,MATCH(INDEX(regKlub_alias_klubId,BK403),regKlub_id,0))))</f>
        <v/>
      </c>
      <c r="BM403" s="31" t="str" cm="1">
        <f t="array" ref="BM403">IFERROR(""&amp;INDEX(regNatjecatelj_klub,DV403),"")</f>
        <v/>
      </c>
      <c r="BN403" s="88" t="str">
        <f t="shared" si="563"/>
        <v/>
      </c>
      <c r="BO403" s="66" t="str">
        <f t="shared" si="564"/>
        <v/>
      </c>
      <c r="BP403" s="47" t="s">
        <v>0</v>
      </c>
      <c r="BQ403" s="52" t="str">
        <f>IF(X403&lt;&gt;"NEMA","",IF(IFERROR(MATCH(W403,W$12:W402,0),0)&lt;&gt;0,"",W403))</f>
        <v/>
      </c>
      <c r="BR403" s="73" t="str">
        <f t="shared" si="565"/>
        <v/>
      </c>
      <c r="BS403" s="31" t="str">
        <f>IF(OR(BR403="",BR403&lt;&gt;"NEMA"),"",MAX(BS$12:BS402)+1)</f>
        <v/>
      </c>
      <c r="BT403" s="66" t="str">
        <f t="shared" si="566"/>
        <v/>
      </c>
      <c r="BU403" s="47" t="s">
        <v>0</v>
      </c>
      <c r="BV403" s="19" t="str">
        <f t="shared" si="567"/>
        <v/>
      </c>
      <c r="BW403" s="47" t="s">
        <v>0</v>
      </c>
      <c r="BX403" s="82" t="str">
        <f>IF(BK403&lt;&gt;"NEMA","",IF(IFERROR(MATCH(BJ403,BJ$12:BJ402,0),0)&lt;&gt;0,"",BJ403))</f>
        <v/>
      </c>
      <c r="BY403" s="47" t="s">
        <v>0</v>
      </c>
      <c r="BZ403" s="125"/>
      <c r="CA403" s="47" t="s">
        <v>0</v>
      </c>
      <c r="CB403" s="58" t="str">
        <f t="shared" si="568"/>
        <v/>
      </c>
      <c r="CC403" s="31" t="str">
        <f t="shared" si="569"/>
        <v/>
      </c>
      <c r="CD403" s="31" t="str">
        <f>IF(CC403="","",MAX(CD$12:CD402)+1)</f>
        <v/>
      </c>
      <c r="CE403" s="31" t="str">
        <f t="shared" si="525"/>
        <v/>
      </c>
      <c r="CF403" s="31" t="str">
        <f t="shared" si="570"/>
        <v/>
      </c>
      <c r="CG403" s="31" t="str">
        <f>IF(BZ403="","",MAX(CG$12:CG402)+1)</f>
        <v/>
      </c>
      <c r="CH403" s="31" t="str">
        <f t="shared" si="571"/>
        <v/>
      </c>
      <c r="CI403" s="66" t="str">
        <f t="shared" si="572"/>
        <v/>
      </c>
      <c r="CJ403" s="47" t="s">
        <v>0</v>
      </c>
      <c r="CK403" s="73" t="str">
        <f t="shared" si="526"/>
        <v/>
      </c>
      <c r="CL403" s="47"/>
      <c r="CM403" s="19" t="str">
        <f t="shared" si="573"/>
        <v/>
      </c>
      <c r="CN403" s="47" t="s">
        <v>0</v>
      </c>
      <c r="CO403" s="143" t="str">
        <f t="shared" si="574"/>
        <v/>
      </c>
      <c r="CP403" s="47" t="s">
        <v>0</v>
      </c>
      <c r="CQ403" s="58" t="str">
        <f t="shared" si="510"/>
        <v/>
      </c>
      <c r="CR403" s="73" t="str">
        <f t="shared" si="511"/>
        <v/>
      </c>
      <c r="CS403" s="229" t="str">
        <f t="shared" si="527"/>
        <v/>
      </c>
      <c r="CT403" s="230" t="str">
        <f t="shared" si="512"/>
        <v/>
      </c>
      <c r="CU403" s="163" t="str">
        <f t="shared" si="528"/>
        <v/>
      </c>
      <c r="CV403" s="47" t="s">
        <v>0</v>
      </c>
      <c r="CW403" s="222" t="str">
        <f t="shared" si="575"/>
        <v xml:space="preserve">
</v>
      </c>
      <c r="CX403" s="223" t="str">
        <f t="shared" si="576"/>
        <v/>
      </c>
      <c r="CY403" s="47" t="s">
        <v>0</v>
      </c>
      <c r="CZ403" s="47"/>
      <c r="DA403" s="47"/>
      <c r="DB403" s="47"/>
      <c r="DC403" s="47" t="s">
        <v>0</v>
      </c>
      <c r="DD403" s="53" t="str">
        <f t="shared" si="504"/>
        <v/>
      </c>
      <c r="DE403" t="s">
        <v>0</v>
      </c>
      <c r="DF403" s="128" t="str">
        <f t="shared" si="505"/>
        <v/>
      </c>
      <c r="DG403" t="s">
        <v>0</v>
      </c>
      <c r="DH403" s="52" t="str">
        <f t="shared" si="506"/>
        <v/>
      </c>
      <c r="DI403" s="66" t="str">
        <f t="shared" si="507"/>
        <v/>
      </c>
      <c r="DJ403" t="s">
        <v>0</v>
      </c>
      <c r="DK403" s="19" t="str">
        <f t="shared" si="508"/>
        <v/>
      </c>
      <c r="DL403" s="47" t="s">
        <v>0</v>
      </c>
      <c r="DM403" s="19" t="str">
        <f t="shared" si="509"/>
        <v/>
      </c>
      <c r="DN403" s="47" t="s">
        <v>0</v>
      </c>
      <c r="DO403" s="52" t="str">
        <f t="shared" si="529"/>
        <v/>
      </c>
      <c r="DP403" s="53" t="str">
        <f t="shared" si="530"/>
        <v/>
      </c>
      <c r="DQ403" s="47" t="s">
        <v>0</v>
      </c>
      <c r="DR403" s="52" t="str">
        <f t="shared" si="531"/>
        <v/>
      </c>
      <c r="DS403" s="53" t="str">
        <f t="shared" si="532"/>
        <v/>
      </c>
      <c r="DT403" s="47" t="s">
        <v>0</v>
      </c>
      <c r="DU403" s="52" t="str">
        <f t="shared" si="533"/>
        <v/>
      </c>
      <c r="DV403" s="53" t="str">
        <f t="shared" si="534"/>
        <v/>
      </c>
      <c r="DW403" s="47" t="s">
        <v>0</v>
      </c>
      <c r="DX403" s="58" t="str">
        <f t="shared" si="577"/>
        <v/>
      </c>
      <c r="DY403" s="53" t="str" cm="1">
        <f t="array" ref="DY403">IF(DX403&lt;&gt;"",INDEX(regNatjecatelj_id,DX403,0),IF(BD403&lt;&gt;"",BD403,""))</f>
        <v/>
      </c>
      <c r="DZ403" s="47" t="s">
        <v>0</v>
      </c>
      <c r="EA403" s="58" t="str">
        <f t="shared" si="535"/>
        <v/>
      </c>
      <c r="EB403" s="73" t="str">
        <f t="shared" si="536"/>
        <v/>
      </c>
      <c r="EC403" s="73" t="str">
        <f t="shared" si="537"/>
        <v/>
      </c>
      <c r="ED403" s="73" t="str">
        <f t="shared" si="538"/>
        <v/>
      </c>
      <c r="EE403" s="66" t="str">
        <f t="shared" si="539"/>
        <v/>
      </c>
      <c r="EF403" s="47" t="s">
        <v>0</v>
      </c>
      <c r="EG403" s="58" t="str">
        <f>IF(AL403="","",MAX(EG$12:EG402)+1)</f>
        <v/>
      </c>
      <c r="EH403" s="73" t="str">
        <f t="shared" si="540"/>
        <v/>
      </c>
      <c r="EI403" s="73" t="str">
        <f t="shared" si="578"/>
        <v/>
      </c>
      <c r="EJ403" s="73" t="str">
        <f t="shared" si="541"/>
        <v/>
      </c>
      <c r="EK403" s="73" t="str">
        <f t="shared" si="542"/>
        <v/>
      </c>
      <c r="EL403" s="73" t="str">
        <f t="shared" si="579"/>
        <v/>
      </c>
      <c r="EM403" s="73" t="str">
        <f t="shared" si="580"/>
        <v/>
      </c>
      <c r="EN403" s="73" t="str">
        <f t="shared" si="543"/>
        <v/>
      </c>
      <c r="EO403" s="73" t="str">
        <f t="shared" si="544"/>
        <v/>
      </c>
      <c r="EP403" s="73" t="str">
        <f t="shared" si="545"/>
        <v/>
      </c>
      <c r="EQ403" s="53" t="str">
        <f t="shared" si="546"/>
        <v/>
      </c>
      <c r="ER403" s="47" t="s">
        <v>0</v>
      </c>
      <c r="ES403" s="19" t="str">
        <f t="shared" si="581"/>
        <v/>
      </c>
      <c r="ET403" s="47" t="s">
        <v>0</v>
      </c>
      <c r="EU403" s="19" t="str">
        <f t="shared" si="582"/>
        <v/>
      </c>
      <c r="EV403" s="47" t="s">
        <v>0</v>
      </c>
      <c r="EW403" s="180" t="str">
        <f t="shared" si="547"/>
        <v/>
      </c>
      <c r="EX403" s="47" t="s">
        <v>0</v>
      </c>
    </row>
    <row r="404" spans="1:154" x14ac:dyDescent="0.25">
      <c r="A404" t="s">
        <v>0</v>
      </c>
      <c r="B404" s="52" t="str">
        <f>IF(csv!F394="","",csv!T394)</f>
        <v/>
      </c>
      <c r="C404" s="31" t="s">
        <v>0</v>
      </c>
      <c r="D404" s="31" t="str">
        <f>IF(csv!F394="","",csv!F394)</f>
        <v/>
      </c>
      <c r="E404" s="31" t="str">
        <f>IF(csv!E394="","",csv!E394)</f>
        <v/>
      </c>
      <c r="F404" s="31" t="s">
        <v>0</v>
      </c>
      <c r="G404" s="73" t="str">
        <f>IF(csv!M394="","",csv!M394)</f>
        <v/>
      </c>
      <c r="H404" s="73" t="str">
        <f>IF(csv!N394="","",csv!N394)</f>
        <v/>
      </c>
      <c r="I404" s="31" t="s">
        <v>0</v>
      </c>
      <c r="J404" s="31" t="str">
        <f>IF(csv!P394="","",csv!P394)</f>
        <v/>
      </c>
      <c r="K404" s="31" t="str">
        <f>IF(csv!Q394="","",csv!Q394)</f>
        <v/>
      </c>
      <c r="L404" s="31" t="s">
        <v>0</v>
      </c>
      <c r="M404" s="66" t="str">
        <f>IF(csv!R394="","",csv!R394)</f>
        <v/>
      </c>
      <c r="N404" s="47" t="s">
        <v>0</v>
      </c>
      <c r="O404" s="246" t="str">
        <f t="shared" si="548"/>
        <v/>
      </c>
      <c r="P404" s="47"/>
      <c r="Q404" s="52" t="str">
        <f t="shared" si="549"/>
        <v/>
      </c>
      <c r="R404" s="73" t="str">
        <f>IF(Q404="","",IF(COUNTIF(Q$12:Q403,Q404)=0,R403+1,R403))</f>
        <v/>
      </c>
      <c r="S404" s="73" t="str">
        <f t="shared" si="550"/>
        <v/>
      </c>
      <c r="T404" s="73" t="str">
        <f t="shared" si="514"/>
        <v/>
      </c>
      <c r="U404" s="66" t="str">
        <f t="shared" si="515"/>
        <v/>
      </c>
      <c r="V404" s="47" t="s">
        <v>0</v>
      </c>
      <c r="W404" s="222" t="str">
        <f t="shared" si="516"/>
        <v/>
      </c>
      <c r="X404" s="223" t="str">
        <f t="shared" si="517"/>
        <v/>
      </c>
      <c r="Y404" s="47" t="s">
        <v>0</v>
      </c>
      <c r="Z404" s="52" t="str">
        <f t="shared" si="551"/>
        <v/>
      </c>
      <c r="AA404" s="73" t="str">
        <f t="shared" si="518"/>
        <v/>
      </c>
      <c r="AB404" s="31" t="str">
        <f t="shared" si="552"/>
        <v/>
      </c>
      <c r="AC404" s="66" t="str">
        <f>IF(AB404="","",MAX(AC$12:AC403)+1)</f>
        <v/>
      </c>
      <c r="AD404" s="47" t="s">
        <v>0</v>
      </c>
      <c r="AE404" s="125"/>
      <c r="AF404" s="47" t="s">
        <v>0</v>
      </c>
      <c r="AG404" s="19" t="str">
        <f t="shared" si="553"/>
        <v/>
      </c>
      <c r="AH404" s="47" t="s">
        <v>0</v>
      </c>
      <c r="AI404" s="143" t="str">
        <f t="shared" si="554"/>
        <v/>
      </c>
      <c r="AJ404" s="47"/>
      <c r="AK404" s="52" t="str">
        <f t="shared" si="555"/>
        <v/>
      </c>
      <c r="AL404" s="31" t="str">
        <f t="shared" si="556"/>
        <v/>
      </c>
      <c r="AM404" s="73" t="str">
        <f t="shared" si="557"/>
        <v/>
      </c>
      <c r="AN404" s="73" t="str">
        <f t="shared" si="558"/>
        <v/>
      </c>
      <c r="AO404" s="31" t="str">
        <f t="shared" si="519"/>
        <v/>
      </c>
      <c r="AP404" s="66" t="str">
        <f t="shared" si="520"/>
        <v/>
      </c>
      <c r="AQ404" s="47" t="s">
        <v>0</v>
      </c>
      <c r="AR404" s="82" t="str">
        <f t="shared" si="559"/>
        <v/>
      </c>
      <c r="AS404" s="47" t="s">
        <v>0</v>
      </c>
      <c r="AT404" s="19" t="str">
        <f t="shared" si="560"/>
        <v/>
      </c>
      <c r="AU404" s="47" t="s">
        <v>0</v>
      </c>
      <c r="AV404" s="103"/>
      <c r="AW404" s="105"/>
      <c r="AX404" s="47" t="s">
        <v>0</v>
      </c>
      <c r="AY404" s="259" t="str">
        <f t="shared" si="503"/>
        <v/>
      </c>
      <c r="AZ404" s="47" t="s">
        <v>0</v>
      </c>
      <c r="BA404" s="52" t="str">
        <f t="shared" si="513"/>
        <v/>
      </c>
      <c r="BB404" s="73" t="str">
        <f>IF(AV404&amp;AW404="","",MAX(BB$12:BB403)+1)</f>
        <v/>
      </c>
      <c r="BC404" s="272" t="str">
        <f t="shared" si="521"/>
        <v/>
      </c>
      <c r="BD404" s="53" t="str">
        <f>IF(AND(AM404="NEMA",AN404="NEMA",OR(AV404&amp;AW404="",BC404="NEMA")),MAX(BD$12:BD403)+1,"")</f>
        <v/>
      </c>
      <c r="BE404" s="47" t="s">
        <v>0</v>
      </c>
      <c r="BF404" s="52" t="str">
        <f t="shared" si="561"/>
        <v/>
      </c>
      <c r="BG404" s="66" t="str">
        <f t="shared" si="562"/>
        <v/>
      </c>
      <c r="BH404" s="47" t="s">
        <v>0</v>
      </c>
      <c r="BI404" s="52" t="str">
        <f t="shared" si="522"/>
        <v/>
      </c>
      <c r="BJ404" s="31" t="str">
        <f t="shared" si="523"/>
        <v/>
      </c>
      <c r="BK404" s="73" t="str">
        <f t="shared" si="524"/>
        <v/>
      </c>
      <c r="BL404" s="31" t="str" cm="1">
        <f t="array" ref="BL404">IF(BK404="",""&amp;BJ404,IF(BK404="NEMA",BJ404,INDEX(regKlub_naziv,MATCH(INDEX(regKlub_alias_klubId,BK404),regKlub_id,0))))</f>
        <v/>
      </c>
      <c r="BM404" s="31" t="str" cm="1">
        <f t="array" ref="BM404">IFERROR(""&amp;INDEX(regNatjecatelj_klub,DV404),"")</f>
        <v/>
      </c>
      <c r="BN404" s="88" t="str">
        <f t="shared" si="563"/>
        <v/>
      </c>
      <c r="BO404" s="66" t="str">
        <f t="shared" si="564"/>
        <v/>
      </c>
      <c r="BP404" s="47" t="s">
        <v>0</v>
      </c>
      <c r="BQ404" s="52" t="str">
        <f>IF(X404&lt;&gt;"NEMA","",IF(IFERROR(MATCH(W404,W$12:W403,0),0)&lt;&gt;0,"",W404))</f>
        <v/>
      </c>
      <c r="BR404" s="73" t="str">
        <f t="shared" si="565"/>
        <v/>
      </c>
      <c r="BS404" s="31" t="str">
        <f>IF(OR(BR404="",BR404&lt;&gt;"NEMA"),"",MAX(BS$12:BS403)+1)</f>
        <v/>
      </c>
      <c r="BT404" s="66" t="str">
        <f t="shared" si="566"/>
        <v/>
      </c>
      <c r="BU404" s="47" t="s">
        <v>0</v>
      </c>
      <c r="BV404" s="19" t="str">
        <f t="shared" si="567"/>
        <v/>
      </c>
      <c r="BW404" s="47" t="s">
        <v>0</v>
      </c>
      <c r="BX404" s="82" t="str">
        <f>IF(BK404&lt;&gt;"NEMA","",IF(IFERROR(MATCH(BJ404,BJ$12:BJ403,0),0)&lt;&gt;0,"",BJ404))</f>
        <v/>
      </c>
      <c r="BY404" s="47" t="s">
        <v>0</v>
      </c>
      <c r="BZ404" s="125"/>
      <c r="CA404" s="47" t="s">
        <v>0</v>
      </c>
      <c r="CB404" s="58" t="str">
        <f t="shared" si="568"/>
        <v/>
      </c>
      <c r="CC404" s="31" t="str">
        <f t="shared" si="569"/>
        <v/>
      </c>
      <c r="CD404" s="31" t="str">
        <f>IF(CC404="","",MAX(CD$12:CD403)+1)</f>
        <v/>
      </c>
      <c r="CE404" s="31" t="str">
        <f t="shared" si="525"/>
        <v/>
      </c>
      <c r="CF404" s="31" t="str">
        <f t="shared" si="570"/>
        <v/>
      </c>
      <c r="CG404" s="31" t="str">
        <f>IF(BZ404="","",MAX(CG$12:CG403)+1)</f>
        <v/>
      </c>
      <c r="CH404" s="31" t="str">
        <f t="shared" si="571"/>
        <v/>
      </c>
      <c r="CI404" s="66" t="str">
        <f t="shared" si="572"/>
        <v/>
      </c>
      <c r="CJ404" s="47" t="s">
        <v>0</v>
      </c>
      <c r="CK404" s="73" t="str">
        <f t="shared" si="526"/>
        <v/>
      </c>
      <c r="CL404" s="47"/>
      <c r="CM404" s="19" t="str">
        <f t="shared" si="573"/>
        <v/>
      </c>
      <c r="CN404" s="47" t="s">
        <v>0</v>
      </c>
      <c r="CO404" s="143" t="str">
        <f t="shared" si="574"/>
        <v/>
      </c>
      <c r="CP404" s="47" t="s">
        <v>0</v>
      </c>
      <c r="CQ404" s="58" t="str">
        <f t="shared" si="510"/>
        <v/>
      </c>
      <c r="CR404" s="73" t="str">
        <f t="shared" si="511"/>
        <v/>
      </c>
      <c r="CS404" s="229" t="str">
        <f t="shared" si="527"/>
        <v/>
      </c>
      <c r="CT404" s="230" t="str">
        <f t="shared" si="512"/>
        <v/>
      </c>
      <c r="CU404" s="163" t="str">
        <f t="shared" si="528"/>
        <v/>
      </c>
      <c r="CV404" s="47" t="s">
        <v>0</v>
      </c>
      <c r="CW404" s="222" t="str">
        <f t="shared" si="575"/>
        <v xml:space="preserve">
</v>
      </c>
      <c r="CX404" s="223" t="str">
        <f t="shared" si="576"/>
        <v/>
      </c>
      <c r="CY404" s="47" t="s">
        <v>0</v>
      </c>
      <c r="CZ404" s="47"/>
      <c r="DA404" s="47"/>
      <c r="DB404" s="47"/>
      <c r="DC404" s="47" t="s">
        <v>0</v>
      </c>
      <c r="DD404" s="53" t="str">
        <f t="shared" si="504"/>
        <v/>
      </c>
      <c r="DE404" t="s">
        <v>0</v>
      </c>
      <c r="DF404" s="128" t="str">
        <f t="shared" si="505"/>
        <v/>
      </c>
      <c r="DG404" t="s">
        <v>0</v>
      </c>
      <c r="DH404" s="52" t="str">
        <f t="shared" si="506"/>
        <v/>
      </c>
      <c r="DI404" s="66" t="str">
        <f t="shared" si="507"/>
        <v/>
      </c>
      <c r="DJ404" t="s">
        <v>0</v>
      </c>
      <c r="DK404" s="19" t="str">
        <f t="shared" si="508"/>
        <v/>
      </c>
      <c r="DL404" s="47" t="s">
        <v>0</v>
      </c>
      <c r="DM404" s="19" t="str">
        <f t="shared" si="509"/>
        <v/>
      </c>
      <c r="DN404" s="47" t="s">
        <v>0</v>
      </c>
      <c r="DO404" s="52" t="str">
        <f t="shared" si="529"/>
        <v/>
      </c>
      <c r="DP404" s="53" t="str">
        <f t="shared" si="530"/>
        <v/>
      </c>
      <c r="DQ404" s="47" t="s">
        <v>0</v>
      </c>
      <c r="DR404" s="52" t="str">
        <f t="shared" si="531"/>
        <v/>
      </c>
      <c r="DS404" s="53" t="str">
        <f t="shared" si="532"/>
        <v/>
      </c>
      <c r="DT404" s="47" t="s">
        <v>0</v>
      </c>
      <c r="DU404" s="52" t="str">
        <f t="shared" si="533"/>
        <v/>
      </c>
      <c r="DV404" s="53" t="str">
        <f t="shared" si="534"/>
        <v/>
      </c>
      <c r="DW404" s="47" t="s">
        <v>0</v>
      </c>
      <c r="DX404" s="58" t="str">
        <f t="shared" si="577"/>
        <v/>
      </c>
      <c r="DY404" s="53" t="str" cm="1">
        <f t="array" ref="DY404">IF(DX404&lt;&gt;"",INDEX(regNatjecatelj_id,DX404,0),IF(BD404&lt;&gt;"",BD404,""))</f>
        <v/>
      </c>
      <c r="DZ404" s="47" t="s">
        <v>0</v>
      </c>
      <c r="EA404" s="58" t="str">
        <f t="shared" si="535"/>
        <v/>
      </c>
      <c r="EB404" s="73" t="str">
        <f t="shared" si="536"/>
        <v/>
      </c>
      <c r="EC404" s="73" t="str">
        <f t="shared" si="537"/>
        <v/>
      </c>
      <c r="ED404" s="73" t="str">
        <f t="shared" si="538"/>
        <v/>
      </c>
      <c r="EE404" s="66" t="str">
        <f t="shared" si="539"/>
        <v/>
      </c>
      <c r="EF404" s="47" t="s">
        <v>0</v>
      </c>
      <c r="EG404" s="58" t="str">
        <f>IF(AL404="","",MAX(EG$12:EG403)+1)</f>
        <v/>
      </c>
      <c r="EH404" s="73" t="str">
        <f t="shared" si="540"/>
        <v/>
      </c>
      <c r="EI404" s="73" t="str">
        <f t="shared" si="578"/>
        <v/>
      </c>
      <c r="EJ404" s="73" t="str">
        <f t="shared" si="541"/>
        <v/>
      </c>
      <c r="EK404" s="73" t="str">
        <f t="shared" si="542"/>
        <v/>
      </c>
      <c r="EL404" s="73" t="str">
        <f t="shared" si="579"/>
        <v/>
      </c>
      <c r="EM404" s="73" t="str">
        <f t="shared" si="580"/>
        <v/>
      </c>
      <c r="EN404" s="73" t="str">
        <f t="shared" si="543"/>
        <v/>
      </c>
      <c r="EO404" s="73" t="str">
        <f t="shared" si="544"/>
        <v/>
      </c>
      <c r="EP404" s="73" t="str">
        <f t="shared" si="545"/>
        <v/>
      </c>
      <c r="EQ404" s="53" t="str">
        <f t="shared" si="546"/>
        <v/>
      </c>
      <c r="ER404" s="47" t="s">
        <v>0</v>
      </c>
      <c r="ES404" s="19" t="str">
        <f t="shared" si="581"/>
        <v/>
      </c>
      <c r="ET404" s="47" t="s">
        <v>0</v>
      </c>
      <c r="EU404" s="19" t="str">
        <f t="shared" si="582"/>
        <v/>
      </c>
      <c r="EV404" s="47" t="s">
        <v>0</v>
      </c>
      <c r="EW404" s="180" t="str">
        <f t="shared" si="547"/>
        <v/>
      </c>
      <c r="EX404" s="47" t="s">
        <v>0</v>
      </c>
    </row>
    <row r="405" spans="1:154" x14ac:dyDescent="0.25">
      <c r="A405" t="s">
        <v>0</v>
      </c>
      <c r="B405" s="52" t="str">
        <f>IF(csv!F395="","",csv!T395)</f>
        <v/>
      </c>
      <c r="C405" s="31" t="s">
        <v>0</v>
      </c>
      <c r="D405" s="31" t="str">
        <f>IF(csv!F395="","",csv!F395)</f>
        <v/>
      </c>
      <c r="E405" s="31" t="str">
        <f>IF(csv!E395="","",csv!E395)</f>
        <v/>
      </c>
      <c r="F405" s="31" t="s">
        <v>0</v>
      </c>
      <c r="G405" s="73" t="str">
        <f>IF(csv!M395="","",csv!M395)</f>
        <v/>
      </c>
      <c r="H405" s="73" t="str">
        <f>IF(csv!N395="","",csv!N395)</f>
        <v/>
      </c>
      <c r="I405" s="31" t="s">
        <v>0</v>
      </c>
      <c r="J405" s="31" t="str">
        <f>IF(csv!P395="","",csv!P395)</f>
        <v/>
      </c>
      <c r="K405" s="31" t="str">
        <f>IF(csv!Q395="","",csv!Q395)</f>
        <v/>
      </c>
      <c r="L405" s="31" t="s">
        <v>0</v>
      </c>
      <c r="M405" s="66" t="str">
        <f>IF(csv!R395="","",csv!R395)</f>
        <v/>
      </c>
      <c r="N405" s="47" t="s">
        <v>0</v>
      </c>
      <c r="O405" s="246" t="str">
        <f t="shared" si="548"/>
        <v/>
      </c>
      <c r="P405" s="47"/>
      <c r="Q405" s="52" t="str">
        <f t="shared" si="549"/>
        <v/>
      </c>
      <c r="R405" s="73" t="str">
        <f>IF(Q405="","",IF(COUNTIF(Q$12:Q404,Q405)=0,R404+1,R404))</f>
        <v/>
      </c>
      <c r="S405" s="73" t="str">
        <f t="shared" si="550"/>
        <v/>
      </c>
      <c r="T405" s="73" t="str">
        <f t="shared" si="514"/>
        <v/>
      </c>
      <c r="U405" s="66" t="str">
        <f t="shared" si="515"/>
        <v/>
      </c>
      <c r="V405" s="47" t="s">
        <v>0</v>
      </c>
      <c r="W405" s="222" t="str">
        <f t="shared" si="516"/>
        <v/>
      </c>
      <c r="X405" s="223" t="str">
        <f t="shared" si="517"/>
        <v/>
      </c>
      <c r="Y405" s="47" t="s">
        <v>0</v>
      </c>
      <c r="Z405" s="52" t="str">
        <f t="shared" si="551"/>
        <v/>
      </c>
      <c r="AA405" s="73" t="str">
        <f t="shared" si="518"/>
        <v/>
      </c>
      <c r="AB405" s="31" t="str">
        <f t="shared" si="552"/>
        <v/>
      </c>
      <c r="AC405" s="66" t="str">
        <f>IF(AB405="","",MAX(AC$12:AC404)+1)</f>
        <v/>
      </c>
      <c r="AD405" s="47" t="s">
        <v>0</v>
      </c>
      <c r="AE405" s="125"/>
      <c r="AF405" s="47" t="s">
        <v>0</v>
      </c>
      <c r="AG405" s="19" t="str">
        <f t="shared" si="553"/>
        <v/>
      </c>
      <c r="AH405" s="47" t="s">
        <v>0</v>
      </c>
      <c r="AI405" s="143" t="str">
        <f t="shared" si="554"/>
        <v/>
      </c>
      <c r="AJ405" s="47"/>
      <c r="AK405" s="52" t="str">
        <f t="shared" si="555"/>
        <v/>
      </c>
      <c r="AL405" s="31" t="str">
        <f t="shared" si="556"/>
        <v/>
      </c>
      <c r="AM405" s="73" t="str">
        <f t="shared" si="557"/>
        <v/>
      </c>
      <c r="AN405" s="73" t="str">
        <f t="shared" si="558"/>
        <v/>
      </c>
      <c r="AO405" s="31" t="str">
        <f t="shared" si="519"/>
        <v/>
      </c>
      <c r="AP405" s="66" t="str">
        <f t="shared" si="520"/>
        <v/>
      </c>
      <c r="AQ405" s="47" t="s">
        <v>0</v>
      </c>
      <c r="AR405" s="82" t="str">
        <f t="shared" si="559"/>
        <v/>
      </c>
      <c r="AS405" s="47" t="s">
        <v>0</v>
      </c>
      <c r="AT405" s="19" t="str">
        <f t="shared" si="560"/>
        <v/>
      </c>
      <c r="AU405" s="47" t="s">
        <v>0</v>
      </c>
      <c r="AV405" s="103"/>
      <c r="AW405" s="105"/>
      <c r="AX405" s="47" t="s">
        <v>0</v>
      </c>
      <c r="AY405" s="259" t="str">
        <f t="shared" ref="AY405:AY412" si="583">IF(AND(AV405="",AW405&lt;&gt;""),"FALI IME",IF(AND(AV405&lt;&gt;"",AW405=""),"FALI PREZIME",IF(OR(AM405="",AND(AM405="NEMA",AN405="NEMA"),AV405&amp;AW405=""),"","GREŠKA")))</f>
        <v/>
      </c>
      <c r="AZ405" s="47" t="s">
        <v>0</v>
      </c>
      <c r="BA405" s="52" t="str">
        <f t="shared" si="513"/>
        <v/>
      </c>
      <c r="BB405" s="73" t="str">
        <f>IF(AV405&amp;AW405="","",MAX(BB$12:BB404)+1)</f>
        <v/>
      </c>
      <c r="BC405" s="272" t="str">
        <f t="shared" si="521"/>
        <v/>
      </c>
      <c r="BD405" s="53" t="str">
        <f>IF(AND(AM405="NEMA",AN405="NEMA",OR(AV405&amp;AW405="",BC405="NEMA")),MAX(BD$12:BD404)+1,"")</f>
        <v/>
      </c>
      <c r="BE405" s="47" t="s">
        <v>0</v>
      </c>
      <c r="BF405" s="52" t="str">
        <f t="shared" si="561"/>
        <v/>
      </c>
      <c r="BG405" s="66" t="str">
        <f t="shared" si="562"/>
        <v/>
      </c>
      <c r="BH405" s="47" t="s">
        <v>0</v>
      </c>
      <c r="BI405" s="52" t="str">
        <f t="shared" si="522"/>
        <v/>
      </c>
      <c r="BJ405" s="31" t="str">
        <f t="shared" si="523"/>
        <v/>
      </c>
      <c r="BK405" s="73" t="str">
        <f t="shared" si="524"/>
        <v/>
      </c>
      <c r="BL405" s="31" t="str" cm="1">
        <f t="array" ref="BL405">IF(BK405="",""&amp;BJ405,IF(BK405="NEMA",BJ405,INDEX(regKlub_naziv,MATCH(INDEX(regKlub_alias_klubId,BK405),regKlub_id,0))))</f>
        <v/>
      </c>
      <c r="BM405" s="31" t="str" cm="1">
        <f t="array" ref="BM405">IFERROR(""&amp;INDEX(regNatjecatelj_klub,DV405),"")</f>
        <v/>
      </c>
      <c r="BN405" s="88" t="str">
        <f t="shared" si="563"/>
        <v/>
      </c>
      <c r="BO405" s="66" t="str">
        <f t="shared" si="564"/>
        <v/>
      </c>
      <c r="BP405" s="47" t="s">
        <v>0</v>
      </c>
      <c r="BQ405" s="52" t="str">
        <f>IF(X405&lt;&gt;"NEMA","",IF(IFERROR(MATCH(W405,W$12:W404,0),0)&lt;&gt;0,"",W405))</f>
        <v/>
      </c>
      <c r="BR405" s="73" t="str">
        <f t="shared" si="565"/>
        <v/>
      </c>
      <c r="BS405" s="31" t="str">
        <f>IF(OR(BR405="",BR405&lt;&gt;"NEMA"),"",MAX(BS$12:BS404)+1)</f>
        <v/>
      </c>
      <c r="BT405" s="66" t="str">
        <f t="shared" si="566"/>
        <v/>
      </c>
      <c r="BU405" s="47" t="s">
        <v>0</v>
      </c>
      <c r="BV405" s="19" t="str">
        <f t="shared" si="567"/>
        <v/>
      </c>
      <c r="BW405" s="47" t="s">
        <v>0</v>
      </c>
      <c r="BX405" s="82" t="str">
        <f>IF(BK405&lt;&gt;"NEMA","",IF(IFERROR(MATCH(BJ405,BJ$12:BJ404,0),0)&lt;&gt;0,"",BJ405))</f>
        <v/>
      </c>
      <c r="BY405" s="47" t="s">
        <v>0</v>
      </c>
      <c r="BZ405" s="125"/>
      <c r="CA405" s="47" t="s">
        <v>0</v>
      </c>
      <c r="CB405" s="58" t="str">
        <f t="shared" si="568"/>
        <v/>
      </c>
      <c r="CC405" s="31" t="str">
        <f t="shared" si="569"/>
        <v/>
      </c>
      <c r="CD405" s="31" t="str">
        <f>IF(CC405="","",MAX(CD$12:CD404)+1)</f>
        <v/>
      </c>
      <c r="CE405" s="31" t="str">
        <f t="shared" si="525"/>
        <v/>
      </c>
      <c r="CF405" s="31" t="str">
        <f t="shared" si="570"/>
        <v/>
      </c>
      <c r="CG405" s="31" t="str">
        <f>IF(BZ405="","",MAX(CG$12:CG404)+1)</f>
        <v/>
      </c>
      <c r="CH405" s="31" t="str">
        <f t="shared" si="571"/>
        <v/>
      </c>
      <c r="CI405" s="66" t="str">
        <f t="shared" si="572"/>
        <v/>
      </c>
      <c r="CJ405" s="47" t="s">
        <v>0</v>
      </c>
      <c r="CK405" s="73" t="str">
        <f t="shared" si="526"/>
        <v/>
      </c>
      <c r="CL405" s="47"/>
      <c r="CM405" s="19" t="str">
        <f t="shared" si="573"/>
        <v/>
      </c>
      <c r="CN405" s="47" t="s">
        <v>0</v>
      </c>
      <c r="CO405" s="143" t="str">
        <f t="shared" si="574"/>
        <v/>
      </c>
      <c r="CP405" s="47" t="s">
        <v>0</v>
      </c>
      <c r="CQ405" s="58" t="str">
        <f t="shared" si="510"/>
        <v/>
      </c>
      <c r="CR405" s="73" t="str">
        <f t="shared" si="511"/>
        <v/>
      </c>
      <c r="CS405" s="229" t="str">
        <f t="shared" si="527"/>
        <v/>
      </c>
      <c r="CT405" s="230" t="str">
        <f t="shared" si="512"/>
        <v/>
      </c>
      <c r="CU405" s="163" t="str">
        <f t="shared" si="528"/>
        <v/>
      </c>
      <c r="CV405" s="47" t="s">
        <v>0</v>
      </c>
      <c r="CW405" s="222" t="str">
        <f t="shared" si="575"/>
        <v xml:space="preserve">
</v>
      </c>
      <c r="CX405" s="223" t="str">
        <f t="shared" si="576"/>
        <v/>
      </c>
      <c r="CY405" s="47" t="s">
        <v>0</v>
      </c>
      <c r="CZ405" s="47"/>
      <c r="DA405" s="47"/>
      <c r="DB405" s="47"/>
      <c r="DC405" s="47" t="s">
        <v>0</v>
      </c>
      <c r="DD405" s="53" t="str">
        <f t="shared" ref="DD405:DD412" si="584">IF(BD405="","",IF(DF405="O",1,""))</f>
        <v/>
      </c>
      <c r="DE405" t="s">
        <v>0</v>
      </c>
      <c r="DF405" s="128" t="str">
        <f t="shared" ref="DF405:DF412" si="585">IF(Q405="","",LEFT(INDEX(regKategorija_oznaka,MATCH(S405,regKategorija_id,0)),1))</f>
        <v/>
      </c>
      <c r="DG405" t="s">
        <v>0</v>
      </c>
      <c r="DH405" s="52" t="str">
        <f t="shared" ref="DH405:DH412" si="586">IF(BD405="","",IF(M405&lt;&gt;"CRO","","INSERT INTO osoba (id,reg_broj,oib,spol_id,dat_rodjenja) VALUES ("&amp;BD405&amp;",(SELECT max(os.reg_broj)+1 FROM osoba AS os),Null,'"&amp;DF405&amp;"',Null); INSERT INTO osoba_log (id,reg_broj,oib,spol_id,dat_rodjenja,dnevnik_id) SELECT id,reg_broj,oib,spol_id,dat_rodjenja,"&amp;data_dnevnik_id&amp;" FROM osoba WHERE id = "&amp;BD405&amp;";"))</f>
        <v/>
      </c>
      <c r="DI405" s="66" t="str">
        <f t="shared" ref="DI405:DI412" si="587">IF(BD405="","","INSERT INTO imeprezime (id,osoba_id,rbr,ime,prezime,klub_id,identitet_id,sintaksa_id,info,aktivno,dnevnik_id) VALUES ("&amp;BD405&amp;","&amp;IF(DH405="","Null",BD405)&amp;",1,'"&amp;IF(AV405&lt;&gt;"",AV405,AK405)&amp;"','"&amp;IF(AW405&lt;&gt;"",AW405,AL405)&amp;"',(SELECT id FROM klub WHERE naziv = '"&amp;CO405&amp;"'),Null,1,'',1,"&amp;data_dnevnik_id&amp;");")</f>
        <v/>
      </c>
      <c r="DJ405" t="s">
        <v>0</v>
      </c>
      <c r="DK405" s="19" t="str">
        <f t="shared" ref="DK405:DK412" si="588">IF(DH405="",DI405,DH405&amp;" "&amp;DI405)</f>
        <v/>
      </c>
      <c r="DL405" s="47" t="s">
        <v>0</v>
      </c>
      <c r="DM405" s="19" t="str">
        <f t="shared" ref="DM405:DM412" si="589">IF(BA405="","","INSERT INTO imeprezime_alias(id,alias,imeprezime_id) VALUES ("&amp;BB405&amp;",'"&amp;BA405&amp;"',"&amp;IF(BC405="NEMA",BD405,BC405)&amp;");")</f>
        <v/>
      </c>
      <c r="DN405" s="47" t="s">
        <v>0</v>
      </c>
      <c r="DO405" s="52" t="str">
        <f t="shared" si="529"/>
        <v/>
      </c>
      <c r="DP405" s="53" t="str">
        <f t="shared" si="530"/>
        <v/>
      </c>
      <c r="DQ405" s="47" t="s">
        <v>0</v>
      </c>
      <c r="DR405" s="52" t="str">
        <f t="shared" si="531"/>
        <v/>
      </c>
      <c r="DS405" s="53" t="str">
        <f t="shared" si="532"/>
        <v/>
      </c>
      <c r="DT405" s="47" t="s">
        <v>0</v>
      </c>
      <c r="DU405" s="52" t="str">
        <f t="shared" si="533"/>
        <v/>
      </c>
      <c r="DV405" s="53" t="str">
        <f t="shared" si="534"/>
        <v/>
      </c>
      <c r="DW405" s="47" t="s">
        <v>0</v>
      </c>
      <c r="DX405" s="58" t="str">
        <f t="shared" si="577"/>
        <v/>
      </c>
      <c r="DY405" s="53" t="str" cm="1">
        <f t="array" ref="DY405">IF(DX405&lt;&gt;"",INDEX(regNatjecatelj_id,DX405,0),IF(BD405&lt;&gt;"",BD405,""))</f>
        <v/>
      </c>
      <c r="DZ405" s="47" t="s">
        <v>0</v>
      </c>
      <c r="EA405" s="58" t="str">
        <f t="shared" si="535"/>
        <v/>
      </c>
      <c r="EB405" s="73" t="str">
        <f t="shared" si="536"/>
        <v/>
      </c>
      <c r="EC405" s="73" t="str">
        <f t="shared" si="537"/>
        <v/>
      </c>
      <c r="ED405" s="73" t="str">
        <f t="shared" si="538"/>
        <v/>
      </c>
      <c r="EE405" s="66" t="str">
        <f t="shared" si="539"/>
        <v/>
      </c>
      <c r="EF405" s="47" t="s">
        <v>0</v>
      </c>
      <c r="EG405" s="58" t="str">
        <f>IF(AL405="","",MAX(EG$12:EG404)+1)</f>
        <v/>
      </c>
      <c r="EH405" s="73" t="str">
        <f t="shared" si="540"/>
        <v/>
      </c>
      <c r="EI405" s="73" t="str">
        <f t="shared" si="578"/>
        <v/>
      </c>
      <c r="EJ405" s="73" t="str">
        <f t="shared" si="541"/>
        <v/>
      </c>
      <c r="EK405" s="73" t="str">
        <f t="shared" si="542"/>
        <v/>
      </c>
      <c r="EL405" s="73" t="str">
        <f t="shared" si="579"/>
        <v/>
      </c>
      <c r="EM405" s="73" t="str">
        <f t="shared" si="580"/>
        <v/>
      </c>
      <c r="EN405" s="73" t="str">
        <f t="shared" si="543"/>
        <v/>
      </c>
      <c r="EO405" s="73" t="str">
        <f t="shared" si="544"/>
        <v/>
      </c>
      <c r="EP405" s="73" t="str">
        <f t="shared" si="545"/>
        <v/>
      </c>
      <c r="EQ405" s="53" t="str">
        <f t="shared" si="546"/>
        <v/>
      </c>
      <c r="ER405" s="47" t="s">
        <v>0</v>
      </c>
      <c r="ES405" s="19" t="str">
        <f t="shared" si="581"/>
        <v/>
      </c>
      <c r="ET405" s="47" t="s">
        <v>0</v>
      </c>
      <c r="EU405" s="19" t="str">
        <f t="shared" si="582"/>
        <v/>
      </c>
      <c r="EV405" s="47" t="s">
        <v>0</v>
      </c>
      <c r="EW405" s="180" t="str">
        <f t="shared" si="547"/>
        <v/>
      </c>
      <c r="EX405" s="47" t="s">
        <v>0</v>
      </c>
    </row>
    <row r="406" spans="1:154" x14ac:dyDescent="0.25">
      <c r="A406" t="s">
        <v>0</v>
      </c>
      <c r="B406" s="52" t="str">
        <f>IF(csv!F396="","",csv!T396)</f>
        <v/>
      </c>
      <c r="C406" s="31" t="s">
        <v>0</v>
      </c>
      <c r="D406" s="31" t="str">
        <f>IF(csv!F396="","",csv!F396)</f>
        <v/>
      </c>
      <c r="E406" s="31" t="str">
        <f>IF(csv!E396="","",csv!E396)</f>
        <v/>
      </c>
      <c r="F406" s="31" t="s">
        <v>0</v>
      </c>
      <c r="G406" s="73" t="str">
        <f>IF(csv!M396="","",csv!M396)</f>
        <v/>
      </c>
      <c r="H406" s="73" t="str">
        <f>IF(csv!N396="","",csv!N396)</f>
        <v/>
      </c>
      <c r="I406" s="31" t="s">
        <v>0</v>
      </c>
      <c r="J406" s="31" t="str">
        <f>IF(csv!P396="","",csv!P396)</f>
        <v/>
      </c>
      <c r="K406" s="31" t="str">
        <f>IF(csv!Q396="","",csv!Q396)</f>
        <v/>
      </c>
      <c r="L406" s="31" t="s">
        <v>0</v>
      </c>
      <c r="M406" s="66" t="str">
        <f>IF(csv!R396="","",csv!R396)</f>
        <v/>
      </c>
      <c r="N406" s="47" t="s">
        <v>0</v>
      </c>
      <c r="O406" s="246" t="str">
        <f t="shared" si="548"/>
        <v/>
      </c>
      <c r="P406" s="47"/>
      <c r="Q406" s="52" t="str">
        <f t="shared" si="549"/>
        <v/>
      </c>
      <c r="R406" s="73" t="str">
        <f>IF(Q406="","",IF(COUNTIF(Q$12:Q405,Q406)=0,R405+1,R405))</f>
        <v/>
      </c>
      <c r="S406" s="73" t="str">
        <f t="shared" si="550"/>
        <v/>
      </c>
      <c r="T406" s="73" t="str">
        <f t="shared" si="514"/>
        <v/>
      </c>
      <c r="U406" s="66" t="str">
        <f t="shared" si="515"/>
        <v/>
      </c>
      <c r="V406" s="47" t="s">
        <v>0</v>
      </c>
      <c r="W406" s="222" t="str">
        <f t="shared" si="516"/>
        <v/>
      </c>
      <c r="X406" s="223" t="str">
        <f t="shared" si="517"/>
        <v/>
      </c>
      <c r="Y406" s="47" t="s">
        <v>0</v>
      </c>
      <c r="Z406" s="52" t="str">
        <f t="shared" si="551"/>
        <v/>
      </c>
      <c r="AA406" s="73" t="str">
        <f t="shared" si="518"/>
        <v/>
      </c>
      <c r="AB406" s="31" t="str">
        <f t="shared" si="552"/>
        <v/>
      </c>
      <c r="AC406" s="66" t="str">
        <f>IF(AB406="","",MAX(AC$12:AC405)+1)</f>
        <v/>
      </c>
      <c r="AD406" s="47" t="s">
        <v>0</v>
      </c>
      <c r="AE406" s="125"/>
      <c r="AF406" s="47" t="s">
        <v>0</v>
      </c>
      <c r="AG406" s="19" t="str">
        <f t="shared" si="553"/>
        <v/>
      </c>
      <c r="AH406" s="47" t="s">
        <v>0</v>
      </c>
      <c r="AI406" s="143" t="str">
        <f t="shared" si="554"/>
        <v/>
      </c>
      <c r="AJ406" s="47"/>
      <c r="AK406" s="52" t="str">
        <f t="shared" si="555"/>
        <v/>
      </c>
      <c r="AL406" s="31" t="str">
        <f t="shared" si="556"/>
        <v/>
      </c>
      <c r="AM406" s="73" t="str">
        <f t="shared" si="557"/>
        <v/>
      </c>
      <c r="AN406" s="73" t="str">
        <f t="shared" si="558"/>
        <v/>
      </c>
      <c r="AO406" s="31" t="str">
        <f t="shared" si="519"/>
        <v/>
      </c>
      <c r="AP406" s="66" t="str">
        <f t="shared" si="520"/>
        <v/>
      </c>
      <c r="AQ406" s="47" t="s">
        <v>0</v>
      </c>
      <c r="AR406" s="82" t="str">
        <f t="shared" si="559"/>
        <v/>
      </c>
      <c r="AS406" s="47" t="s">
        <v>0</v>
      </c>
      <c r="AT406" s="19" t="str">
        <f t="shared" si="560"/>
        <v/>
      </c>
      <c r="AU406" s="47" t="s">
        <v>0</v>
      </c>
      <c r="AV406" s="103"/>
      <c r="AW406" s="105"/>
      <c r="AX406" s="47" t="s">
        <v>0</v>
      </c>
      <c r="AY406" s="259" t="str">
        <f t="shared" si="583"/>
        <v/>
      </c>
      <c r="AZ406" s="47" t="s">
        <v>0</v>
      </c>
      <c r="BA406" s="52" t="str">
        <f t="shared" si="513"/>
        <v/>
      </c>
      <c r="BB406" s="73" t="str">
        <f>IF(AV406&amp;AW406="","",MAX(BB$12:BB405)+1)</f>
        <v/>
      </c>
      <c r="BC406" s="272" t="str">
        <f t="shared" si="521"/>
        <v/>
      </c>
      <c r="BD406" s="53" t="str">
        <f>IF(AND(AM406="NEMA",AN406="NEMA",OR(AV406&amp;AW406="",BC406="NEMA")),MAX(BD$12:BD405)+1,"")</f>
        <v/>
      </c>
      <c r="BE406" s="47" t="s">
        <v>0</v>
      </c>
      <c r="BF406" s="52" t="str">
        <f t="shared" si="561"/>
        <v/>
      </c>
      <c r="BG406" s="66" t="str">
        <f t="shared" si="562"/>
        <v/>
      </c>
      <c r="BH406" s="47" t="s">
        <v>0</v>
      </c>
      <c r="BI406" s="52" t="str">
        <f t="shared" si="522"/>
        <v/>
      </c>
      <c r="BJ406" s="31" t="str">
        <f t="shared" si="523"/>
        <v/>
      </c>
      <c r="BK406" s="73" t="str">
        <f t="shared" si="524"/>
        <v/>
      </c>
      <c r="BL406" s="31" t="str" cm="1">
        <f t="array" ref="BL406">IF(BK406="",""&amp;BJ406,IF(BK406="NEMA",BJ406,INDEX(regKlub_naziv,MATCH(INDEX(regKlub_alias_klubId,BK406),regKlub_id,0))))</f>
        <v/>
      </c>
      <c r="BM406" s="31" t="str" cm="1">
        <f t="array" ref="BM406">IFERROR(""&amp;INDEX(regNatjecatelj_klub,DV406),"")</f>
        <v/>
      </c>
      <c r="BN406" s="88" t="str">
        <f t="shared" si="563"/>
        <v/>
      </c>
      <c r="BO406" s="66" t="str">
        <f t="shared" si="564"/>
        <v/>
      </c>
      <c r="BP406" s="47" t="s">
        <v>0</v>
      </c>
      <c r="BQ406" s="52" t="str">
        <f>IF(X406&lt;&gt;"NEMA","",IF(IFERROR(MATCH(W406,W$12:W405,0),0)&lt;&gt;0,"",W406))</f>
        <v/>
      </c>
      <c r="BR406" s="73" t="str">
        <f t="shared" si="565"/>
        <v/>
      </c>
      <c r="BS406" s="31" t="str">
        <f>IF(OR(BR406="",BR406&lt;&gt;"NEMA"),"",MAX(BS$12:BS405)+1)</f>
        <v/>
      </c>
      <c r="BT406" s="66" t="str">
        <f t="shared" si="566"/>
        <v/>
      </c>
      <c r="BU406" s="47" t="s">
        <v>0</v>
      </c>
      <c r="BV406" s="19" t="str">
        <f t="shared" si="567"/>
        <v/>
      </c>
      <c r="BW406" s="47" t="s">
        <v>0</v>
      </c>
      <c r="BX406" s="82" t="str">
        <f>IF(BK406&lt;&gt;"NEMA","",IF(IFERROR(MATCH(BJ406,BJ$12:BJ405,0),0)&lt;&gt;0,"",BJ406))</f>
        <v/>
      </c>
      <c r="BY406" s="47" t="s">
        <v>0</v>
      </c>
      <c r="BZ406" s="125"/>
      <c r="CA406" s="47" t="s">
        <v>0</v>
      </c>
      <c r="CB406" s="58" t="str">
        <f t="shared" si="568"/>
        <v/>
      </c>
      <c r="CC406" s="31" t="str">
        <f t="shared" si="569"/>
        <v/>
      </c>
      <c r="CD406" s="31" t="str">
        <f>IF(CC406="","",MAX(CD$12:CD405)+1)</f>
        <v/>
      </c>
      <c r="CE406" s="31" t="str">
        <f t="shared" si="525"/>
        <v/>
      </c>
      <c r="CF406" s="31" t="str">
        <f t="shared" si="570"/>
        <v/>
      </c>
      <c r="CG406" s="31" t="str">
        <f>IF(BZ406="","",MAX(CG$12:CG405)+1)</f>
        <v/>
      </c>
      <c r="CH406" s="31" t="str">
        <f t="shared" si="571"/>
        <v/>
      </c>
      <c r="CI406" s="66" t="str">
        <f t="shared" si="572"/>
        <v/>
      </c>
      <c r="CJ406" s="47" t="s">
        <v>0</v>
      </c>
      <c r="CK406" s="73" t="str">
        <f t="shared" si="526"/>
        <v/>
      </c>
      <c r="CL406" s="47"/>
      <c r="CM406" s="19" t="str">
        <f t="shared" si="573"/>
        <v/>
      </c>
      <c r="CN406" s="47" t="s">
        <v>0</v>
      </c>
      <c r="CO406" s="143" t="str">
        <f t="shared" si="574"/>
        <v/>
      </c>
      <c r="CP406" s="47" t="s">
        <v>0</v>
      </c>
      <c r="CQ406" s="58" t="str">
        <f t="shared" si="510"/>
        <v/>
      </c>
      <c r="CR406" s="73" t="str">
        <f t="shared" si="511"/>
        <v/>
      </c>
      <c r="CS406" s="229" t="str">
        <f t="shared" si="527"/>
        <v/>
      </c>
      <c r="CT406" s="230" t="str">
        <f t="shared" si="512"/>
        <v/>
      </c>
      <c r="CU406" s="163" t="str">
        <f t="shared" si="528"/>
        <v/>
      </c>
      <c r="CV406" s="47" t="s">
        <v>0</v>
      </c>
      <c r="CW406" s="222" t="str">
        <f t="shared" si="575"/>
        <v xml:space="preserve">
</v>
      </c>
      <c r="CX406" s="223" t="str">
        <f t="shared" si="576"/>
        <v/>
      </c>
      <c r="CY406" s="47" t="s">
        <v>0</v>
      </c>
      <c r="CZ406" s="47"/>
      <c r="DA406" s="47"/>
      <c r="DB406" s="47"/>
      <c r="DC406" s="47" t="s">
        <v>0</v>
      </c>
      <c r="DD406" s="53" t="str">
        <f t="shared" si="584"/>
        <v/>
      </c>
      <c r="DE406" t="s">
        <v>0</v>
      </c>
      <c r="DF406" s="128" t="str">
        <f t="shared" si="585"/>
        <v/>
      </c>
      <c r="DG406" t="s">
        <v>0</v>
      </c>
      <c r="DH406" s="52" t="str">
        <f t="shared" si="586"/>
        <v/>
      </c>
      <c r="DI406" s="66" t="str">
        <f t="shared" si="587"/>
        <v/>
      </c>
      <c r="DJ406" t="s">
        <v>0</v>
      </c>
      <c r="DK406" s="19" t="str">
        <f t="shared" si="588"/>
        <v/>
      </c>
      <c r="DL406" s="47" t="s">
        <v>0</v>
      </c>
      <c r="DM406" s="19" t="str">
        <f t="shared" si="589"/>
        <v/>
      </c>
      <c r="DN406" s="47" t="s">
        <v>0</v>
      </c>
      <c r="DO406" s="52" t="str">
        <f t="shared" si="529"/>
        <v/>
      </c>
      <c r="DP406" s="53" t="str">
        <f t="shared" si="530"/>
        <v/>
      </c>
      <c r="DQ406" s="47" t="s">
        <v>0</v>
      </c>
      <c r="DR406" s="52" t="str">
        <f t="shared" si="531"/>
        <v/>
      </c>
      <c r="DS406" s="53" t="str">
        <f t="shared" si="532"/>
        <v/>
      </c>
      <c r="DT406" s="47" t="s">
        <v>0</v>
      </c>
      <c r="DU406" s="52" t="str">
        <f t="shared" si="533"/>
        <v/>
      </c>
      <c r="DV406" s="53" t="str">
        <f t="shared" si="534"/>
        <v/>
      </c>
      <c r="DW406" s="47" t="s">
        <v>0</v>
      </c>
      <c r="DX406" s="58" t="str">
        <f t="shared" si="577"/>
        <v/>
      </c>
      <c r="DY406" s="53" t="str" cm="1">
        <f t="array" ref="DY406">IF(DX406&lt;&gt;"",INDEX(regNatjecatelj_id,DX406,0),IF(BD406&lt;&gt;"",BD406,""))</f>
        <v/>
      </c>
      <c r="DZ406" s="47" t="s">
        <v>0</v>
      </c>
      <c r="EA406" s="58" t="str">
        <f t="shared" si="535"/>
        <v/>
      </c>
      <c r="EB406" s="73" t="str">
        <f t="shared" si="536"/>
        <v/>
      </c>
      <c r="EC406" s="73" t="str">
        <f t="shared" si="537"/>
        <v/>
      </c>
      <c r="ED406" s="73" t="str">
        <f t="shared" si="538"/>
        <v/>
      </c>
      <c r="EE406" s="66" t="str">
        <f t="shared" si="539"/>
        <v/>
      </c>
      <c r="EF406" s="47" t="s">
        <v>0</v>
      </c>
      <c r="EG406" s="58" t="str">
        <f>IF(AL406="","",MAX(EG$12:EG405)+1)</f>
        <v/>
      </c>
      <c r="EH406" s="73" t="str">
        <f t="shared" si="540"/>
        <v/>
      </c>
      <c r="EI406" s="73" t="str">
        <f t="shared" si="578"/>
        <v/>
      </c>
      <c r="EJ406" s="73" t="str">
        <f t="shared" si="541"/>
        <v/>
      </c>
      <c r="EK406" s="73" t="str">
        <f t="shared" si="542"/>
        <v/>
      </c>
      <c r="EL406" s="73" t="str">
        <f t="shared" si="579"/>
        <v/>
      </c>
      <c r="EM406" s="73" t="str">
        <f t="shared" si="580"/>
        <v/>
      </c>
      <c r="EN406" s="73" t="str">
        <f t="shared" si="543"/>
        <v/>
      </c>
      <c r="EO406" s="73" t="str">
        <f t="shared" si="544"/>
        <v/>
      </c>
      <c r="EP406" s="73" t="str">
        <f t="shared" si="545"/>
        <v/>
      </c>
      <c r="EQ406" s="53" t="str">
        <f t="shared" si="546"/>
        <v/>
      </c>
      <c r="ER406" s="47" t="s">
        <v>0</v>
      </c>
      <c r="ES406" s="19" t="str">
        <f t="shared" si="581"/>
        <v/>
      </c>
      <c r="ET406" s="47" t="s">
        <v>0</v>
      </c>
      <c r="EU406" s="19" t="str">
        <f t="shared" si="582"/>
        <v/>
      </c>
      <c r="EV406" s="47" t="s">
        <v>0</v>
      </c>
      <c r="EW406" s="180" t="str">
        <f t="shared" si="547"/>
        <v/>
      </c>
      <c r="EX406" s="47" t="s">
        <v>0</v>
      </c>
    </row>
    <row r="407" spans="1:154" x14ac:dyDescent="0.25">
      <c r="A407" t="s">
        <v>0</v>
      </c>
      <c r="B407" s="52" t="str">
        <f>IF(csv!F397="","",csv!T397)</f>
        <v/>
      </c>
      <c r="C407" s="31" t="s">
        <v>0</v>
      </c>
      <c r="D407" s="31" t="str">
        <f>IF(csv!F397="","",csv!F397)</f>
        <v/>
      </c>
      <c r="E407" s="31" t="str">
        <f>IF(csv!E397="","",csv!E397)</f>
        <v/>
      </c>
      <c r="F407" s="31" t="s">
        <v>0</v>
      </c>
      <c r="G407" s="73" t="str">
        <f>IF(csv!M397="","",csv!M397)</f>
        <v/>
      </c>
      <c r="H407" s="73" t="str">
        <f>IF(csv!N397="","",csv!N397)</f>
        <v/>
      </c>
      <c r="I407" s="31" t="s">
        <v>0</v>
      </c>
      <c r="J407" s="31" t="str">
        <f>IF(csv!P397="","",csv!P397)</f>
        <v/>
      </c>
      <c r="K407" s="31" t="str">
        <f>IF(csv!Q397="","",csv!Q397)</f>
        <v/>
      </c>
      <c r="L407" s="31" t="s">
        <v>0</v>
      </c>
      <c r="M407" s="66" t="str">
        <f>IF(csv!R397="","",csv!R397)</f>
        <v/>
      </c>
      <c r="N407" s="47" t="s">
        <v>0</v>
      </c>
      <c r="O407" s="246" t="str">
        <f t="shared" si="548"/>
        <v/>
      </c>
      <c r="P407" s="47"/>
      <c r="Q407" s="52" t="str">
        <f t="shared" si="549"/>
        <v/>
      </c>
      <c r="R407" s="73" t="str">
        <f>IF(Q407="","",IF(COUNTIF(Q$12:Q406,Q407)=0,R406+1,R406))</f>
        <v/>
      </c>
      <c r="S407" s="73" t="str">
        <f t="shared" si="550"/>
        <v/>
      </c>
      <c r="T407" s="73" t="str">
        <f t="shared" si="514"/>
        <v/>
      </c>
      <c r="U407" s="66" t="str">
        <f t="shared" si="515"/>
        <v/>
      </c>
      <c r="V407" s="47" t="s">
        <v>0</v>
      </c>
      <c r="W407" s="222" t="str">
        <f t="shared" si="516"/>
        <v/>
      </c>
      <c r="X407" s="223" t="str">
        <f t="shared" si="517"/>
        <v/>
      </c>
      <c r="Y407" s="47" t="s">
        <v>0</v>
      </c>
      <c r="Z407" s="52" t="str">
        <f t="shared" si="551"/>
        <v/>
      </c>
      <c r="AA407" s="73" t="str">
        <f t="shared" si="518"/>
        <v/>
      </c>
      <c r="AB407" s="31" t="str">
        <f t="shared" si="552"/>
        <v/>
      </c>
      <c r="AC407" s="66" t="str">
        <f>IF(AB407="","",MAX(AC$12:AC406)+1)</f>
        <v/>
      </c>
      <c r="AD407" s="47" t="s">
        <v>0</v>
      </c>
      <c r="AE407" s="125"/>
      <c r="AF407" s="47" t="s">
        <v>0</v>
      </c>
      <c r="AG407" s="19" t="str">
        <f t="shared" si="553"/>
        <v/>
      </c>
      <c r="AH407" s="47" t="s">
        <v>0</v>
      </c>
      <c r="AI407" s="143" t="str">
        <f t="shared" si="554"/>
        <v/>
      </c>
      <c r="AJ407" s="47"/>
      <c r="AK407" s="52" t="str">
        <f t="shared" si="555"/>
        <v/>
      </c>
      <c r="AL407" s="31" t="str">
        <f t="shared" si="556"/>
        <v/>
      </c>
      <c r="AM407" s="73" t="str">
        <f t="shared" si="557"/>
        <v/>
      </c>
      <c r="AN407" s="73" t="str">
        <f t="shared" si="558"/>
        <v/>
      </c>
      <c r="AO407" s="31" t="str">
        <f t="shared" si="519"/>
        <v/>
      </c>
      <c r="AP407" s="66" t="str">
        <f t="shared" si="520"/>
        <v/>
      </c>
      <c r="AQ407" s="47" t="s">
        <v>0</v>
      </c>
      <c r="AR407" s="82" t="str">
        <f t="shared" si="559"/>
        <v/>
      </c>
      <c r="AS407" s="47" t="s">
        <v>0</v>
      </c>
      <c r="AT407" s="19" t="str">
        <f t="shared" si="560"/>
        <v/>
      </c>
      <c r="AU407" s="47" t="s">
        <v>0</v>
      </c>
      <c r="AV407" s="103"/>
      <c r="AW407" s="105"/>
      <c r="AX407" s="47" t="s">
        <v>0</v>
      </c>
      <c r="AY407" s="259" t="str">
        <f t="shared" si="583"/>
        <v/>
      </c>
      <c r="AZ407" s="47" t="s">
        <v>0</v>
      </c>
      <c r="BA407" s="52" t="str">
        <f t="shared" si="513"/>
        <v/>
      </c>
      <c r="BB407" s="73" t="str">
        <f>IF(AV407&amp;AW407="","",MAX(BB$12:BB406)+1)</f>
        <v/>
      </c>
      <c r="BC407" s="272" t="str">
        <f t="shared" si="521"/>
        <v/>
      </c>
      <c r="BD407" s="53" t="str">
        <f>IF(AND(AM407="NEMA",AN407="NEMA",OR(AV407&amp;AW407="",BC407="NEMA")),MAX(BD$12:BD406)+1,"")</f>
        <v/>
      </c>
      <c r="BE407" s="47" t="s">
        <v>0</v>
      </c>
      <c r="BF407" s="52" t="str">
        <f t="shared" si="561"/>
        <v/>
      </c>
      <c r="BG407" s="66" t="str">
        <f t="shared" si="562"/>
        <v/>
      </c>
      <c r="BH407" s="47" t="s">
        <v>0</v>
      </c>
      <c r="BI407" s="52" t="str">
        <f t="shared" si="522"/>
        <v/>
      </c>
      <c r="BJ407" s="31" t="str">
        <f t="shared" si="523"/>
        <v/>
      </c>
      <c r="BK407" s="73" t="str">
        <f t="shared" si="524"/>
        <v/>
      </c>
      <c r="BL407" s="31" t="str" cm="1">
        <f t="array" ref="BL407">IF(BK407="",""&amp;BJ407,IF(BK407="NEMA",BJ407,INDEX(regKlub_naziv,MATCH(INDEX(regKlub_alias_klubId,BK407),regKlub_id,0))))</f>
        <v/>
      </c>
      <c r="BM407" s="31" t="str" cm="1">
        <f t="array" ref="BM407">IFERROR(""&amp;INDEX(regNatjecatelj_klub,DV407),"")</f>
        <v/>
      </c>
      <c r="BN407" s="88" t="str">
        <f t="shared" si="563"/>
        <v/>
      </c>
      <c r="BO407" s="66" t="str">
        <f t="shared" si="564"/>
        <v/>
      </c>
      <c r="BP407" s="47" t="s">
        <v>0</v>
      </c>
      <c r="BQ407" s="52" t="str">
        <f>IF(X407&lt;&gt;"NEMA","",IF(IFERROR(MATCH(W407,W$12:W406,0),0)&lt;&gt;0,"",W407))</f>
        <v/>
      </c>
      <c r="BR407" s="73" t="str">
        <f t="shared" si="565"/>
        <v/>
      </c>
      <c r="BS407" s="31" t="str">
        <f>IF(OR(BR407="",BR407&lt;&gt;"NEMA"),"",MAX(BS$12:BS406)+1)</f>
        <v/>
      </c>
      <c r="BT407" s="66" t="str">
        <f t="shared" si="566"/>
        <v/>
      </c>
      <c r="BU407" s="47" t="s">
        <v>0</v>
      </c>
      <c r="BV407" s="19" t="str">
        <f t="shared" si="567"/>
        <v/>
      </c>
      <c r="BW407" s="47" t="s">
        <v>0</v>
      </c>
      <c r="BX407" s="82" t="str">
        <f>IF(BK407&lt;&gt;"NEMA","",IF(IFERROR(MATCH(BJ407,BJ$12:BJ406,0),0)&lt;&gt;0,"",BJ407))</f>
        <v/>
      </c>
      <c r="BY407" s="47" t="s">
        <v>0</v>
      </c>
      <c r="BZ407" s="125"/>
      <c r="CA407" s="47" t="s">
        <v>0</v>
      </c>
      <c r="CB407" s="58" t="str">
        <f t="shared" si="568"/>
        <v/>
      </c>
      <c r="CC407" s="31" t="str">
        <f t="shared" si="569"/>
        <v/>
      </c>
      <c r="CD407" s="31" t="str">
        <f>IF(CC407="","",MAX(CD$12:CD406)+1)</f>
        <v/>
      </c>
      <c r="CE407" s="31" t="str">
        <f t="shared" si="525"/>
        <v/>
      </c>
      <c r="CF407" s="31" t="str">
        <f t="shared" si="570"/>
        <v/>
      </c>
      <c r="CG407" s="31" t="str">
        <f>IF(BZ407="","",MAX(CG$12:CG406)+1)</f>
        <v/>
      </c>
      <c r="CH407" s="31" t="str">
        <f t="shared" si="571"/>
        <v/>
      </c>
      <c r="CI407" s="66" t="str">
        <f t="shared" si="572"/>
        <v/>
      </c>
      <c r="CJ407" s="47" t="s">
        <v>0</v>
      </c>
      <c r="CK407" s="73" t="str">
        <f t="shared" si="526"/>
        <v/>
      </c>
      <c r="CL407" s="47"/>
      <c r="CM407" s="19" t="str">
        <f t="shared" si="573"/>
        <v/>
      </c>
      <c r="CN407" s="47" t="s">
        <v>0</v>
      </c>
      <c r="CO407" s="143" t="str">
        <f t="shared" si="574"/>
        <v/>
      </c>
      <c r="CP407" s="47" t="s">
        <v>0</v>
      </c>
      <c r="CQ407" s="58" t="str">
        <f t="shared" si="510"/>
        <v/>
      </c>
      <c r="CR407" s="73" t="str">
        <f t="shared" si="511"/>
        <v/>
      </c>
      <c r="CS407" s="229" t="str">
        <f t="shared" si="527"/>
        <v/>
      </c>
      <c r="CT407" s="230" t="str">
        <f t="shared" si="512"/>
        <v/>
      </c>
      <c r="CU407" s="163" t="str">
        <f t="shared" si="528"/>
        <v/>
      </c>
      <c r="CV407" s="47" t="s">
        <v>0</v>
      </c>
      <c r="CW407" s="222" t="str">
        <f t="shared" si="575"/>
        <v xml:space="preserve">
</v>
      </c>
      <c r="CX407" s="223" t="str">
        <f t="shared" si="576"/>
        <v/>
      </c>
      <c r="CY407" s="47" t="s">
        <v>0</v>
      </c>
      <c r="CZ407" s="47"/>
      <c r="DA407" s="47"/>
      <c r="DB407" s="47"/>
      <c r="DC407" s="47" t="s">
        <v>0</v>
      </c>
      <c r="DD407" s="53" t="str">
        <f t="shared" si="584"/>
        <v/>
      </c>
      <c r="DE407" t="s">
        <v>0</v>
      </c>
      <c r="DF407" s="128" t="str">
        <f t="shared" si="585"/>
        <v/>
      </c>
      <c r="DG407" t="s">
        <v>0</v>
      </c>
      <c r="DH407" s="52" t="str">
        <f t="shared" si="586"/>
        <v/>
      </c>
      <c r="DI407" s="66" t="str">
        <f t="shared" si="587"/>
        <v/>
      </c>
      <c r="DJ407" t="s">
        <v>0</v>
      </c>
      <c r="DK407" s="19" t="str">
        <f t="shared" si="588"/>
        <v/>
      </c>
      <c r="DL407" s="47" t="s">
        <v>0</v>
      </c>
      <c r="DM407" s="19" t="str">
        <f t="shared" si="589"/>
        <v/>
      </c>
      <c r="DN407" s="47" t="s">
        <v>0</v>
      </c>
      <c r="DO407" s="52" t="str">
        <f t="shared" si="529"/>
        <v/>
      </c>
      <c r="DP407" s="53" t="str">
        <f t="shared" si="530"/>
        <v/>
      </c>
      <c r="DQ407" s="47" t="s">
        <v>0</v>
      </c>
      <c r="DR407" s="52" t="str">
        <f t="shared" si="531"/>
        <v/>
      </c>
      <c r="DS407" s="53" t="str">
        <f t="shared" si="532"/>
        <v/>
      </c>
      <c r="DT407" s="47" t="s">
        <v>0</v>
      </c>
      <c r="DU407" s="52" t="str">
        <f t="shared" si="533"/>
        <v/>
      </c>
      <c r="DV407" s="53" t="str">
        <f t="shared" si="534"/>
        <v/>
      </c>
      <c r="DW407" s="47" t="s">
        <v>0</v>
      </c>
      <c r="DX407" s="58" t="str">
        <f t="shared" si="577"/>
        <v/>
      </c>
      <c r="DY407" s="53" t="str" cm="1">
        <f t="array" ref="DY407">IF(DX407&lt;&gt;"",INDEX(regNatjecatelj_id,DX407,0),IF(BD407&lt;&gt;"",BD407,""))</f>
        <v/>
      </c>
      <c r="DZ407" s="47" t="s">
        <v>0</v>
      </c>
      <c r="EA407" s="58" t="str">
        <f t="shared" si="535"/>
        <v/>
      </c>
      <c r="EB407" s="73" t="str">
        <f t="shared" si="536"/>
        <v/>
      </c>
      <c r="EC407" s="73" t="str">
        <f t="shared" si="537"/>
        <v/>
      </c>
      <c r="ED407" s="73" t="str">
        <f t="shared" si="538"/>
        <v/>
      </c>
      <c r="EE407" s="66" t="str">
        <f t="shared" si="539"/>
        <v/>
      </c>
      <c r="EF407" s="47" t="s">
        <v>0</v>
      </c>
      <c r="EG407" s="58" t="str">
        <f>IF(AL407="","",MAX(EG$12:EG406)+1)</f>
        <v/>
      </c>
      <c r="EH407" s="73" t="str">
        <f t="shared" si="540"/>
        <v/>
      </c>
      <c r="EI407" s="73" t="str">
        <f t="shared" si="578"/>
        <v/>
      </c>
      <c r="EJ407" s="73" t="str">
        <f t="shared" si="541"/>
        <v/>
      </c>
      <c r="EK407" s="73" t="str">
        <f t="shared" si="542"/>
        <v/>
      </c>
      <c r="EL407" s="73" t="str">
        <f t="shared" si="579"/>
        <v/>
      </c>
      <c r="EM407" s="73" t="str">
        <f t="shared" si="580"/>
        <v/>
      </c>
      <c r="EN407" s="73" t="str">
        <f t="shared" si="543"/>
        <v/>
      </c>
      <c r="EO407" s="73" t="str">
        <f t="shared" si="544"/>
        <v/>
      </c>
      <c r="EP407" s="73" t="str">
        <f t="shared" si="545"/>
        <v/>
      </c>
      <c r="EQ407" s="53" t="str">
        <f t="shared" si="546"/>
        <v/>
      </c>
      <c r="ER407" s="47" t="s">
        <v>0</v>
      </c>
      <c r="ES407" s="19" t="str">
        <f t="shared" si="581"/>
        <v/>
      </c>
      <c r="ET407" s="47" t="s">
        <v>0</v>
      </c>
      <c r="EU407" s="19" t="str">
        <f t="shared" si="582"/>
        <v/>
      </c>
      <c r="EV407" s="47" t="s">
        <v>0</v>
      </c>
      <c r="EW407" s="180" t="str">
        <f t="shared" si="547"/>
        <v/>
      </c>
      <c r="EX407" s="47" t="s">
        <v>0</v>
      </c>
    </row>
    <row r="408" spans="1:154" x14ac:dyDescent="0.25">
      <c r="A408" t="s">
        <v>0</v>
      </c>
      <c r="B408" s="52" t="str">
        <f>IF(csv!F398="","",csv!T398)</f>
        <v/>
      </c>
      <c r="C408" s="31" t="s">
        <v>0</v>
      </c>
      <c r="D408" s="31" t="str">
        <f>IF(csv!F398="","",csv!F398)</f>
        <v/>
      </c>
      <c r="E408" s="31" t="str">
        <f>IF(csv!E398="","",csv!E398)</f>
        <v/>
      </c>
      <c r="F408" s="31" t="s">
        <v>0</v>
      </c>
      <c r="G408" s="73" t="str">
        <f>IF(csv!M398="","",csv!M398)</f>
        <v/>
      </c>
      <c r="H408" s="73" t="str">
        <f>IF(csv!N398="","",csv!N398)</f>
        <v/>
      </c>
      <c r="I408" s="31" t="s">
        <v>0</v>
      </c>
      <c r="J408" s="31" t="str">
        <f>IF(csv!P398="","",csv!P398)</f>
        <v/>
      </c>
      <c r="K408" s="31" t="str">
        <f>IF(csv!Q398="","",csv!Q398)</f>
        <v/>
      </c>
      <c r="L408" s="31" t="s">
        <v>0</v>
      </c>
      <c r="M408" s="66" t="str">
        <f>IF(csv!R398="","",csv!R398)</f>
        <v/>
      </c>
      <c r="N408" s="47" t="s">
        <v>0</v>
      </c>
      <c r="O408" s="246" t="str">
        <f t="shared" si="548"/>
        <v/>
      </c>
      <c r="P408" s="47"/>
      <c r="Q408" s="52" t="str">
        <f t="shared" si="549"/>
        <v/>
      </c>
      <c r="R408" s="73" t="str">
        <f>IF(Q408="","",IF(COUNTIF(Q$12:Q407,Q408)=0,R407+1,R407))</f>
        <v/>
      </c>
      <c r="S408" s="73" t="str">
        <f t="shared" si="550"/>
        <v/>
      </c>
      <c r="T408" s="73" t="str">
        <f t="shared" si="514"/>
        <v/>
      </c>
      <c r="U408" s="66" t="str">
        <f t="shared" si="515"/>
        <v/>
      </c>
      <c r="V408" s="47" t="s">
        <v>0</v>
      </c>
      <c r="W408" s="222" t="str">
        <f t="shared" si="516"/>
        <v/>
      </c>
      <c r="X408" s="223" t="str">
        <f t="shared" si="517"/>
        <v/>
      </c>
      <c r="Y408" s="47" t="s">
        <v>0</v>
      </c>
      <c r="Z408" s="52" t="str">
        <f t="shared" si="551"/>
        <v/>
      </c>
      <c r="AA408" s="73" t="str">
        <f t="shared" si="518"/>
        <v/>
      </c>
      <c r="AB408" s="31" t="str">
        <f t="shared" si="552"/>
        <v/>
      </c>
      <c r="AC408" s="66" t="str">
        <f>IF(AB408="","",MAX(AC$12:AC407)+1)</f>
        <v/>
      </c>
      <c r="AD408" s="47" t="s">
        <v>0</v>
      </c>
      <c r="AE408" s="125"/>
      <c r="AF408" s="47" t="s">
        <v>0</v>
      </c>
      <c r="AG408" s="19" t="str">
        <f t="shared" si="553"/>
        <v/>
      </c>
      <c r="AH408" s="47" t="s">
        <v>0</v>
      </c>
      <c r="AI408" s="143" t="str">
        <f t="shared" si="554"/>
        <v/>
      </c>
      <c r="AJ408" s="47"/>
      <c r="AK408" s="52" t="str">
        <f t="shared" si="555"/>
        <v/>
      </c>
      <c r="AL408" s="31" t="str">
        <f t="shared" si="556"/>
        <v/>
      </c>
      <c r="AM408" s="73" t="str">
        <f t="shared" si="557"/>
        <v/>
      </c>
      <c r="AN408" s="73" t="str">
        <f t="shared" si="558"/>
        <v/>
      </c>
      <c r="AO408" s="31" t="str">
        <f t="shared" si="519"/>
        <v/>
      </c>
      <c r="AP408" s="66" t="str">
        <f t="shared" si="520"/>
        <v/>
      </c>
      <c r="AQ408" s="47" t="s">
        <v>0</v>
      </c>
      <c r="AR408" s="82" t="str">
        <f t="shared" si="559"/>
        <v/>
      </c>
      <c r="AS408" s="47" t="s">
        <v>0</v>
      </c>
      <c r="AT408" s="19" t="str">
        <f t="shared" si="560"/>
        <v/>
      </c>
      <c r="AU408" s="47" t="s">
        <v>0</v>
      </c>
      <c r="AV408" s="103"/>
      <c r="AW408" s="105"/>
      <c r="AX408" s="47" t="s">
        <v>0</v>
      </c>
      <c r="AY408" s="259" t="str">
        <f t="shared" si="583"/>
        <v/>
      </c>
      <c r="AZ408" s="47" t="s">
        <v>0</v>
      </c>
      <c r="BA408" s="52" t="str">
        <f t="shared" si="513"/>
        <v/>
      </c>
      <c r="BB408" s="73" t="str">
        <f>IF(AV408&amp;AW408="","",MAX(BB$12:BB407)+1)</f>
        <v/>
      </c>
      <c r="BC408" s="272" t="str">
        <f t="shared" si="521"/>
        <v/>
      </c>
      <c r="BD408" s="53" t="str">
        <f>IF(AND(AM408="NEMA",AN408="NEMA",OR(AV408&amp;AW408="",BC408="NEMA")),MAX(BD$12:BD407)+1,"")</f>
        <v/>
      </c>
      <c r="BE408" s="47" t="s">
        <v>0</v>
      </c>
      <c r="BF408" s="52" t="str">
        <f t="shared" si="561"/>
        <v/>
      </c>
      <c r="BG408" s="66" t="str">
        <f t="shared" si="562"/>
        <v/>
      </c>
      <c r="BH408" s="47" t="s">
        <v>0</v>
      </c>
      <c r="BI408" s="52" t="str">
        <f t="shared" si="522"/>
        <v/>
      </c>
      <c r="BJ408" s="31" t="str">
        <f t="shared" si="523"/>
        <v/>
      </c>
      <c r="BK408" s="73" t="str">
        <f t="shared" si="524"/>
        <v/>
      </c>
      <c r="BL408" s="31" t="str" cm="1">
        <f t="array" ref="BL408">IF(BK408="",""&amp;BJ408,IF(BK408="NEMA",BJ408,INDEX(regKlub_naziv,MATCH(INDEX(regKlub_alias_klubId,BK408),regKlub_id,0))))</f>
        <v/>
      </c>
      <c r="BM408" s="31" t="str" cm="1">
        <f t="array" ref="BM408">IFERROR(""&amp;INDEX(regNatjecatelj_klub,DV408),"")</f>
        <v/>
      </c>
      <c r="BN408" s="88" t="str">
        <f t="shared" si="563"/>
        <v/>
      </c>
      <c r="BO408" s="66" t="str">
        <f t="shared" si="564"/>
        <v/>
      </c>
      <c r="BP408" s="47" t="s">
        <v>0</v>
      </c>
      <c r="BQ408" s="52" t="str">
        <f>IF(X408&lt;&gt;"NEMA","",IF(IFERROR(MATCH(W408,W$12:W407,0),0)&lt;&gt;0,"",W408))</f>
        <v/>
      </c>
      <c r="BR408" s="73" t="str">
        <f t="shared" si="565"/>
        <v/>
      </c>
      <c r="BS408" s="31" t="str">
        <f>IF(OR(BR408="",BR408&lt;&gt;"NEMA"),"",MAX(BS$12:BS407)+1)</f>
        <v/>
      </c>
      <c r="BT408" s="66" t="str">
        <f t="shared" si="566"/>
        <v/>
      </c>
      <c r="BU408" s="47" t="s">
        <v>0</v>
      </c>
      <c r="BV408" s="19" t="str">
        <f t="shared" si="567"/>
        <v/>
      </c>
      <c r="BW408" s="47" t="s">
        <v>0</v>
      </c>
      <c r="BX408" s="82" t="str">
        <f>IF(BK408&lt;&gt;"NEMA","",IF(IFERROR(MATCH(BJ408,BJ$12:BJ407,0),0)&lt;&gt;0,"",BJ408))</f>
        <v/>
      </c>
      <c r="BY408" s="47" t="s">
        <v>0</v>
      </c>
      <c r="BZ408" s="125"/>
      <c r="CA408" s="47" t="s">
        <v>0</v>
      </c>
      <c r="CB408" s="58" t="str">
        <f t="shared" si="568"/>
        <v/>
      </c>
      <c r="CC408" s="31" t="str">
        <f t="shared" si="569"/>
        <v/>
      </c>
      <c r="CD408" s="31" t="str">
        <f>IF(CC408="","",MAX(CD$12:CD407)+1)</f>
        <v/>
      </c>
      <c r="CE408" s="31" t="str">
        <f t="shared" si="525"/>
        <v/>
      </c>
      <c r="CF408" s="31" t="str">
        <f t="shared" si="570"/>
        <v/>
      </c>
      <c r="CG408" s="31" t="str">
        <f>IF(BZ408="","",MAX(CG$12:CG407)+1)</f>
        <v/>
      </c>
      <c r="CH408" s="31" t="str">
        <f t="shared" si="571"/>
        <v/>
      </c>
      <c r="CI408" s="66" t="str">
        <f t="shared" si="572"/>
        <v/>
      </c>
      <c r="CJ408" s="47" t="s">
        <v>0</v>
      </c>
      <c r="CK408" s="73" t="str">
        <f t="shared" si="526"/>
        <v/>
      </c>
      <c r="CL408" s="47"/>
      <c r="CM408" s="19" t="str">
        <f t="shared" si="573"/>
        <v/>
      </c>
      <c r="CN408" s="47" t="s">
        <v>0</v>
      </c>
      <c r="CO408" s="143" t="str">
        <f t="shared" si="574"/>
        <v/>
      </c>
      <c r="CP408" s="47" t="s">
        <v>0</v>
      </c>
      <c r="CQ408" s="58" t="str">
        <f t="shared" si="510"/>
        <v/>
      </c>
      <c r="CR408" s="73" t="str">
        <f t="shared" si="511"/>
        <v/>
      </c>
      <c r="CS408" s="229" t="str">
        <f t="shared" si="527"/>
        <v/>
      </c>
      <c r="CT408" s="230" t="str">
        <f t="shared" si="512"/>
        <v/>
      </c>
      <c r="CU408" s="163" t="str">
        <f t="shared" si="528"/>
        <v/>
      </c>
      <c r="CV408" s="47" t="s">
        <v>0</v>
      </c>
      <c r="CW408" s="222" t="str">
        <f t="shared" si="575"/>
        <v xml:space="preserve">
</v>
      </c>
      <c r="CX408" s="223" t="str">
        <f t="shared" si="576"/>
        <v/>
      </c>
      <c r="CY408" s="47" t="s">
        <v>0</v>
      </c>
      <c r="CZ408" s="47"/>
      <c r="DA408" s="47"/>
      <c r="DB408" s="47"/>
      <c r="DC408" s="47" t="s">
        <v>0</v>
      </c>
      <c r="DD408" s="53" t="str">
        <f t="shared" si="584"/>
        <v/>
      </c>
      <c r="DE408" t="s">
        <v>0</v>
      </c>
      <c r="DF408" s="128" t="str">
        <f t="shared" si="585"/>
        <v/>
      </c>
      <c r="DG408" t="s">
        <v>0</v>
      </c>
      <c r="DH408" s="52" t="str">
        <f t="shared" si="586"/>
        <v/>
      </c>
      <c r="DI408" s="66" t="str">
        <f t="shared" si="587"/>
        <v/>
      </c>
      <c r="DJ408" t="s">
        <v>0</v>
      </c>
      <c r="DK408" s="19" t="str">
        <f t="shared" si="588"/>
        <v/>
      </c>
      <c r="DL408" s="47" t="s">
        <v>0</v>
      </c>
      <c r="DM408" s="19" t="str">
        <f t="shared" si="589"/>
        <v/>
      </c>
      <c r="DN408" s="47" t="s">
        <v>0</v>
      </c>
      <c r="DO408" s="52" t="str">
        <f t="shared" si="529"/>
        <v/>
      </c>
      <c r="DP408" s="53" t="str">
        <f t="shared" si="530"/>
        <v/>
      </c>
      <c r="DQ408" s="47" t="s">
        <v>0</v>
      </c>
      <c r="DR408" s="52" t="str">
        <f t="shared" si="531"/>
        <v/>
      </c>
      <c r="DS408" s="53" t="str">
        <f t="shared" si="532"/>
        <v/>
      </c>
      <c r="DT408" s="47" t="s">
        <v>0</v>
      </c>
      <c r="DU408" s="52" t="str">
        <f t="shared" si="533"/>
        <v/>
      </c>
      <c r="DV408" s="53" t="str">
        <f t="shared" si="534"/>
        <v/>
      </c>
      <c r="DW408" s="47" t="s">
        <v>0</v>
      </c>
      <c r="DX408" s="58" t="str">
        <f t="shared" si="577"/>
        <v/>
      </c>
      <c r="DY408" s="53" t="str" cm="1">
        <f t="array" ref="DY408">IF(DX408&lt;&gt;"",INDEX(regNatjecatelj_id,DX408,0),IF(BD408&lt;&gt;"",BD408,""))</f>
        <v/>
      </c>
      <c r="DZ408" s="47" t="s">
        <v>0</v>
      </c>
      <c r="EA408" s="58" t="str">
        <f t="shared" si="535"/>
        <v/>
      </c>
      <c r="EB408" s="73" t="str">
        <f t="shared" si="536"/>
        <v/>
      </c>
      <c r="EC408" s="73" t="str">
        <f t="shared" si="537"/>
        <v/>
      </c>
      <c r="ED408" s="73" t="str">
        <f t="shared" si="538"/>
        <v/>
      </c>
      <c r="EE408" s="66" t="str">
        <f t="shared" si="539"/>
        <v/>
      </c>
      <c r="EF408" s="47" t="s">
        <v>0</v>
      </c>
      <c r="EG408" s="58" t="str">
        <f>IF(AL408="","",MAX(EG$12:EG407)+1)</f>
        <v/>
      </c>
      <c r="EH408" s="73" t="str">
        <f t="shared" si="540"/>
        <v/>
      </c>
      <c r="EI408" s="73" t="str">
        <f t="shared" si="578"/>
        <v/>
      </c>
      <c r="EJ408" s="73" t="str">
        <f t="shared" si="541"/>
        <v/>
      </c>
      <c r="EK408" s="73" t="str">
        <f t="shared" si="542"/>
        <v/>
      </c>
      <c r="EL408" s="73" t="str">
        <f t="shared" si="579"/>
        <v/>
      </c>
      <c r="EM408" s="73" t="str">
        <f t="shared" si="580"/>
        <v/>
      </c>
      <c r="EN408" s="73" t="str">
        <f t="shared" si="543"/>
        <v/>
      </c>
      <c r="EO408" s="73" t="str">
        <f t="shared" si="544"/>
        <v/>
      </c>
      <c r="EP408" s="73" t="str">
        <f t="shared" si="545"/>
        <v/>
      </c>
      <c r="EQ408" s="53" t="str">
        <f t="shared" si="546"/>
        <v/>
      </c>
      <c r="ER408" s="47" t="s">
        <v>0</v>
      </c>
      <c r="ES408" s="19" t="str">
        <f t="shared" si="581"/>
        <v/>
      </c>
      <c r="ET408" s="47" t="s">
        <v>0</v>
      </c>
      <c r="EU408" s="19" t="str">
        <f t="shared" si="582"/>
        <v/>
      </c>
      <c r="EV408" s="47" t="s">
        <v>0</v>
      </c>
      <c r="EW408" s="180" t="str">
        <f t="shared" si="547"/>
        <v/>
      </c>
      <c r="EX408" s="47" t="s">
        <v>0</v>
      </c>
    </row>
    <row r="409" spans="1:154" x14ac:dyDescent="0.25">
      <c r="A409" t="s">
        <v>0</v>
      </c>
      <c r="B409" s="52" t="str">
        <f>IF(csv!F399="","",csv!T399)</f>
        <v/>
      </c>
      <c r="C409" s="31" t="s">
        <v>0</v>
      </c>
      <c r="D409" s="31" t="str">
        <f>IF(csv!F399="","",csv!F399)</f>
        <v/>
      </c>
      <c r="E409" s="31" t="str">
        <f>IF(csv!E399="","",csv!E399)</f>
        <v/>
      </c>
      <c r="F409" s="31" t="s">
        <v>0</v>
      </c>
      <c r="G409" s="73" t="str">
        <f>IF(csv!M399="","",csv!M399)</f>
        <v/>
      </c>
      <c r="H409" s="73" t="str">
        <f>IF(csv!N399="","",csv!N399)</f>
        <v/>
      </c>
      <c r="I409" s="31" t="s">
        <v>0</v>
      </c>
      <c r="J409" s="31" t="str">
        <f>IF(csv!P399="","",csv!P399)</f>
        <v/>
      </c>
      <c r="K409" s="31" t="str">
        <f>IF(csv!Q399="","",csv!Q399)</f>
        <v/>
      </c>
      <c r="L409" s="31" t="s">
        <v>0</v>
      </c>
      <c r="M409" s="66" t="str">
        <f>IF(csv!R399="","",csv!R399)</f>
        <v/>
      </c>
      <c r="N409" s="47" t="s">
        <v>0</v>
      </c>
      <c r="O409" s="246" t="str">
        <f t="shared" si="548"/>
        <v/>
      </c>
      <c r="P409" s="47"/>
      <c r="Q409" s="52" t="str">
        <f t="shared" si="549"/>
        <v/>
      </c>
      <c r="R409" s="73" t="str">
        <f>IF(Q409="","",IF(COUNTIF(Q$12:Q408,Q409)=0,R408+1,R408))</f>
        <v/>
      </c>
      <c r="S409" s="73" t="str">
        <f t="shared" si="550"/>
        <v/>
      </c>
      <c r="T409" s="73" t="str">
        <f t="shared" si="514"/>
        <v/>
      </c>
      <c r="U409" s="66" t="str">
        <f t="shared" si="515"/>
        <v/>
      </c>
      <c r="V409" s="47" t="s">
        <v>0</v>
      </c>
      <c r="W409" s="222" t="str">
        <f t="shared" si="516"/>
        <v/>
      </c>
      <c r="X409" s="223" t="str">
        <f t="shared" si="517"/>
        <v/>
      </c>
      <c r="Y409" s="47" t="s">
        <v>0</v>
      </c>
      <c r="Z409" s="52" t="str">
        <f t="shared" si="551"/>
        <v/>
      </c>
      <c r="AA409" s="73" t="str">
        <f t="shared" si="518"/>
        <v/>
      </c>
      <c r="AB409" s="31" t="str">
        <f t="shared" si="552"/>
        <v/>
      </c>
      <c r="AC409" s="66" t="str">
        <f>IF(AB409="","",MAX(AC$12:AC408)+1)</f>
        <v/>
      </c>
      <c r="AD409" s="47" t="s">
        <v>0</v>
      </c>
      <c r="AE409" s="125"/>
      <c r="AF409" s="47" t="s">
        <v>0</v>
      </c>
      <c r="AG409" s="19" t="str">
        <f t="shared" si="553"/>
        <v/>
      </c>
      <c r="AH409" s="47" t="s">
        <v>0</v>
      </c>
      <c r="AI409" s="143" t="str">
        <f t="shared" si="554"/>
        <v/>
      </c>
      <c r="AJ409" s="47"/>
      <c r="AK409" s="52" t="str">
        <f t="shared" si="555"/>
        <v/>
      </c>
      <c r="AL409" s="31" t="str">
        <f t="shared" si="556"/>
        <v/>
      </c>
      <c r="AM409" s="73" t="str">
        <f t="shared" si="557"/>
        <v/>
      </c>
      <c r="AN409" s="73" t="str">
        <f t="shared" si="558"/>
        <v/>
      </c>
      <c r="AO409" s="31" t="str">
        <f t="shared" si="519"/>
        <v/>
      </c>
      <c r="AP409" s="66" t="str">
        <f t="shared" si="520"/>
        <v/>
      </c>
      <c r="AQ409" s="47" t="s">
        <v>0</v>
      </c>
      <c r="AR409" s="82" t="str">
        <f t="shared" si="559"/>
        <v/>
      </c>
      <c r="AS409" s="47" t="s">
        <v>0</v>
      </c>
      <c r="AT409" s="19" t="str">
        <f t="shared" si="560"/>
        <v/>
      </c>
      <c r="AU409" s="47" t="s">
        <v>0</v>
      </c>
      <c r="AV409" s="103"/>
      <c r="AW409" s="105"/>
      <c r="AX409" s="47" t="s">
        <v>0</v>
      </c>
      <c r="AY409" s="259" t="str">
        <f t="shared" si="583"/>
        <v/>
      </c>
      <c r="AZ409" s="47" t="s">
        <v>0</v>
      </c>
      <c r="BA409" s="52" t="str">
        <f t="shared" si="513"/>
        <v/>
      </c>
      <c r="BB409" s="73" t="str">
        <f>IF(AV409&amp;AW409="","",MAX(BB$12:BB408)+1)</f>
        <v/>
      </c>
      <c r="BC409" s="272" t="str">
        <f t="shared" si="521"/>
        <v/>
      </c>
      <c r="BD409" s="53" t="str">
        <f>IF(AND(AM409="NEMA",AN409="NEMA",OR(AV409&amp;AW409="",BC409="NEMA")),MAX(BD$12:BD408)+1,"")</f>
        <v/>
      </c>
      <c r="BE409" s="47" t="s">
        <v>0</v>
      </c>
      <c r="BF409" s="52" t="str">
        <f t="shared" si="561"/>
        <v/>
      </c>
      <c r="BG409" s="66" t="str">
        <f t="shared" si="562"/>
        <v/>
      </c>
      <c r="BH409" s="47" t="s">
        <v>0</v>
      </c>
      <c r="BI409" s="52" t="str">
        <f t="shared" si="522"/>
        <v/>
      </c>
      <c r="BJ409" s="31" t="str">
        <f t="shared" si="523"/>
        <v/>
      </c>
      <c r="BK409" s="73" t="str">
        <f t="shared" si="524"/>
        <v/>
      </c>
      <c r="BL409" s="31" t="str" cm="1">
        <f t="array" ref="BL409">IF(BK409="",""&amp;BJ409,IF(BK409="NEMA",BJ409,INDEX(regKlub_naziv,MATCH(INDEX(regKlub_alias_klubId,BK409),regKlub_id,0))))</f>
        <v/>
      </c>
      <c r="BM409" s="31" t="str" cm="1">
        <f t="array" ref="BM409">IFERROR(""&amp;INDEX(regNatjecatelj_klub,DV409),"")</f>
        <v/>
      </c>
      <c r="BN409" s="88" t="str">
        <f t="shared" si="563"/>
        <v/>
      </c>
      <c r="BO409" s="66" t="str">
        <f t="shared" si="564"/>
        <v/>
      </c>
      <c r="BP409" s="47" t="s">
        <v>0</v>
      </c>
      <c r="BQ409" s="52" t="str">
        <f>IF(X409&lt;&gt;"NEMA","",IF(IFERROR(MATCH(W409,W$12:W408,0),0)&lt;&gt;0,"",W409))</f>
        <v/>
      </c>
      <c r="BR409" s="73" t="str">
        <f t="shared" si="565"/>
        <v/>
      </c>
      <c r="BS409" s="31" t="str">
        <f>IF(OR(BR409="",BR409&lt;&gt;"NEMA"),"",MAX(BS$12:BS408)+1)</f>
        <v/>
      </c>
      <c r="BT409" s="66" t="str">
        <f t="shared" si="566"/>
        <v/>
      </c>
      <c r="BU409" s="47" t="s">
        <v>0</v>
      </c>
      <c r="BV409" s="19" t="str">
        <f t="shared" si="567"/>
        <v/>
      </c>
      <c r="BW409" s="47" t="s">
        <v>0</v>
      </c>
      <c r="BX409" s="82" t="str">
        <f>IF(BK409&lt;&gt;"NEMA","",IF(IFERROR(MATCH(BJ409,BJ$12:BJ408,0),0)&lt;&gt;0,"",BJ409))</f>
        <v/>
      </c>
      <c r="BY409" s="47" t="s">
        <v>0</v>
      </c>
      <c r="BZ409" s="125"/>
      <c r="CA409" s="47" t="s">
        <v>0</v>
      </c>
      <c r="CB409" s="58" t="str">
        <f t="shared" si="568"/>
        <v/>
      </c>
      <c r="CC409" s="31" t="str">
        <f t="shared" si="569"/>
        <v/>
      </c>
      <c r="CD409" s="31" t="str">
        <f>IF(CC409="","",MAX(CD$12:CD408)+1)</f>
        <v/>
      </c>
      <c r="CE409" s="31" t="str">
        <f t="shared" si="525"/>
        <v/>
      </c>
      <c r="CF409" s="31" t="str">
        <f t="shared" si="570"/>
        <v/>
      </c>
      <c r="CG409" s="31" t="str">
        <f>IF(BZ409="","",MAX(CG$12:CG408)+1)</f>
        <v/>
      </c>
      <c r="CH409" s="31" t="str">
        <f t="shared" si="571"/>
        <v/>
      </c>
      <c r="CI409" s="66" t="str">
        <f t="shared" si="572"/>
        <v/>
      </c>
      <c r="CJ409" s="47" t="s">
        <v>0</v>
      </c>
      <c r="CK409" s="73" t="str">
        <f t="shared" si="526"/>
        <v/>
      </c>
      <c r="CL409" s="47"/>
      <c r="CM409" s="19" t="str">
        <f t="shared" si="573"/>
        <v/>
      </c>
      <c r="CN409" s="47" t="s">
        <v>0</v>
      </c>
      <c r="CO409" s="143" t="str">
        <f t="shared" si="574"/>
        <v/>
      </c>
      <c r="CP409" s="47" t="s">
        <v>0</v>
      </c>
      <c r="CQ409" s="58" t="str">
        <f t="shared" si="510"/>
        <v/>
      </c>
      <c r="CR409" s="73" t="str">
        <f t="shared" si="511"/>
        <v/>
      </c>
      <c r="CS409" s="229" t="str">
        <f t="shared" si="527"/>
        <v/>
      </c>
      <c r="CT409" s="230" t="str">
        <f t="shared" si="512"/>
        <v/>
      </c>
      <c r="CU409" s="163" t="str">
        <f t="shared" si="528"/>
        <v/>
      </c>
      <c r="CV409" s="47" t="s">
        <v>0</v>
      </c>
      <c r="CW409" s="222" t="str">
        <f t="shared" si="575"/>
        <v xml:space="preserve">
</v>
      </c>
      <c r="CX409" s="223" t="str">
        <f t="shared" si="576"/>
        <v/>
      </c>
      <c r="CY409" s="47" t="s">
        <v>0</v>
      </c>
      <c r="CZ409" s="47"/>
      <c r="DA409" s="47"/>
      <c r="DB409" s="47"/>
      <c r="DC409" s="47" t="s">
        <v>0</v>
      </c>
      <c r="DD409" s="53" t="str">
        <f t="shared" si="584"/>
        <v/>
      </c>
      <c r="DE409" t="s">
        <v>0</v>
      </c>
      <c r="DF409" s="128" t="str">
        <f t="shared" si="585"/>
        <v/>
      </c>
      <c r="DG409" t="s">
        <v>0</v>
      </c>
      <c r="DH409" s="52" t="str">
        <f t="shared" si="586"/>
        <v/>
      </c>
      <c r="DI409" s="66" t="str">
        <f t="shared" si="587"/>
        <v/>
      </c>
      <c r="DJ409" t="s">
        <v>0</v>
      </c>
      <c r="DK409" s="19" t="str">
        <f t="shared" si="588"/>
        <v/>
      </c>
      <c r="DL409" s="47" t="s">
        <v>0</v>
      </c>
      <c r="DM409" s="19" t="str">
        <f t="shared" si="589"/>
        <v/>
      </c>
      <c r="DN409" s="47" t="s">
        <v>0</v>
      </c>
      <c r="DO409" s="52" t="str">
        <f t="shared" si="529"/>
        <v/>
      </c>
      <c r="DP409" s="53" t="str">
        <f t="shared" si="530"/>
        <v/>
      </c>
      <c r="DQ409" s="47" t="s">
        <v>0</v>
      </c>
      <c r="DR409" s="52" t="str">
        <f t="shared" si="531"/>
        <v/>
      </c>
      <c r="DS409" s="53" t="str">
        <f t="shared" si="532"/>
        <v/>
      </c>
      <c r="DT409" s="47" t="s">
        <v>0</v>
      </c>
      <c r="DU409" s="52" t="str">
        <f t="shared" si="533"/>
        <v/>
      </c>
      <c r="DV409" s="53" t="str">
        <f t="shared" si="534"/>
        <v/>
      </c>
      <c r="DW409" s="47" t="s">
        <v>0</v>
      </c>
      <c r="DX409" s="58" t="str">
        <f t="shared" si="577"/>
        <v/>
      </c>
      <c r="DY409" s="53" t="str" cm="1">
        <f t="array" ref="DY409">IF(DX409&lt;&gt;"",INDEX(regNatjecatelj_id,DX409,0),IF(BD409&lt;&gt;"",BD409,""))</f>
        <v/>
      </c>
      <c r="DZ409" s="47" t="s">
        <v>0</v>
      </c>
      <c r="EA409" s="58" t="str">
        <f t="shared" si="535"/>
        <v/>
      </c>
      <c r="EB409" s="73" t="str">
        <f t="shared" si="536"/>
        <v/>
      </c>
      <c r="EC409" s="73" t="str">
        <f t="shared" si="537"/>
        <v/>
      </c>
      <c r="ED409" s="73" t="str">
        <f t="shared" si="538"/>
        <v/>
      </c>
      <c r="EE409" s="66" t="str">
        <f t="shared" si="539"/>
        <v/>
      </c>
      <c r="EF409" s="47" t="s">
        <v>0</v>
      </c>
      <c r="EG409" s="58" t="str">
        <f>IF(AL409="","",MAX(EG$12:EG408)+1)</f>
        <v/>
      </c>
      <c r="EH409" s="73" t="str">
        <f t="shared" si="540"/>
        <v/>
      </c>
      <c r="EI409" s="73" t="str">
        <f t="shared" si="578"/>
        <v/>
      </c>
      <c r="EJ409" s="73" t="str">
        <f t="shared" si="541"/>
        <v/>
      </c>
      <c r="EK409" s="73" t="str">
        <f t="shared" si="542"/>
        <v/>
      </c>
      <c r="EL409" s="73" t="str">
        <f t="shared" si="579"/>
        <v/>
      </c>
      <c r="EM409" s="73" t="str">
        <f t="shared" si="580"/>
        <v/>
      </c>
      <c r="EN409" s="73" t="str">
        <f t="shared" si="543"/>
        <v/>
      </c>
      <c r="EO409" s="73" t="str">
        <f t="shared" si="544"/>
        <v/>
      </c>
      <c r="EP409" s="73" t="str">
        <f t="shared" si="545"/>
        <v/>
      </c>
      <c r="EQ409" s="53" t="str">
        <f t="shared" si="546"/>
        <v/>
      </c>
      <c r="ER409" s="47" t="s">
        <v>0</v>
      </c>
      <c r="ES409" s="19" t="str">
        <f t="shared" si="581"/>
        <v/>
      </c>
      <c r="ET409" s="47" t="s">
        <v>0</v>
      </c>
      <c r="EU409" s="19" t="str">
        <f t="shared" si="582"/>
        <v/>
      </c>
      <c r="EV409" s="47" t="s">
        <v>0</v>
      </c>
      <c r="EW409" s="180" t="str">
        <f t="shared" si="547"/>
        <v/>
      </c>
      <c r="EX409" s="47" t="s">
        <v>0</v>
      </c>
    </row>
    <row r="410" spans="1:154" x14ac:dyDescent="0.25">
      <c r="A410" t="s">
        <v>0</v>
      </c>
      <c r="B410" s="52" t="str">
        <f>IF(csv!F400="","",csv!T400)</f>
        <v/>
      </c>
      <c r="C410" s="31" t="s">
        <v>0</v>
      </c>
      <c r="D410" s="31" t="str">
        <f>IF(csv!F400="","",csv!F400)</f>
        <v/>
      </c>
      <c r="E410" s="31" t="str">
        <f>IF(csv!E400="","",csv!E400)</f>
        <v/>
      </c>
      <c r="F410" s="31" t="s">
        <v>0</v>
      </c>
      <c r="G410" s="73" t="str">
        <f>IF(csv!M400="","",csv!M400)</f>
        <v/>
      </c>
      <c r="H410" s="73" t="str">
        <f>IF(csv!N400="","",csv!N400)</f>
        <v/>
      </c>
      <c r="I410" s="31" t="s">
        <v>0</v>
      </c>
      <c r="J410" s="31" t="str">
        <f>IF(csv!P400="","",csv!P400)</f>
        <v/>
      </c>
      <c r="K410" s="31" t="str">
        <f>IF(csv!Q400="","",csv!Q400)</f>
        <v/>
      </c>
      <c r="L410" s="31" t="s">
        <v>0</v>
      </c>
      <c r="M410" s="66" t="str">
        <f>IF(csv!R400="","",csv!R400)</f>
        <v/>
      </c>
      <c r="N410" s="47" t="s">
        <v>0</v>
      </c>
      <c r="O410" s="246" t="str">
        <f t="shared" si="548"/>
        <v/>
      </c>
      <c r="P410" s="47"/>
      <c r="Q410" s="52" t="str">
        <f t="shared" si="549"/>
        <v/>
      </c>
      <c r="R410" s="73" t="str">
        <f>IF(Q410="","",IF(COUNTIF(Q$12:Q409,Q410)=0,R409+1,R409))</f>
        <v/>
      </c>
      <c r="S410" s="73" t="str">
        <f t="shared" si="550"/>
        <v/>
      </c>
      <c r="T410" s="73" t="str">
        <f t="shared" si="514"/>
        <v/>
      </c>
      <c r="U410" s="66" t="str">
        <f t="shared" si="515"/>
        <v/>
      </c>
      <c r="V410" s="47" t="s">
        <v>0</v>
      </c>
      <c r="W410" s="222" t="str">
        <f t="shared" si="516"/>
        <v/>
      </c>
      <c r="X410" s="223" t="str">
        <f t="shared" si="517"/>
        <v/>
      </c>
      <c r="Y410" s="47" t="s">
        <v>0</v>
      </c>
      <c r="Z410" s="52" t="str">
        <f t="shared" si="551"/>
        <v/>
      </c>
      <c r="AA410" s="73" t="str">
        <f t="shared" si="518"/>
        <v/>
      </c>
      <c r="AB410" s="31" t="str">
        <f t="shared" si="552"/>
        <v/>
      </c>
      <c r="AC410" s="66" t="str">
        <f>IF(AB410="","",MAX(AC$12:AC409)+1)</f>
        <v/>
      </c>
      <c r="AD410" s="47" t="s">
        <v>0</v>
      </c>
      <c r="AE410" s="125"/>
      <c r="AF410" s="47" t="s">
        <v>0</v>
      </c>
      <c r="AG410" s="19" t="str">
        <f t="shared" si="553"/>
        <v/>
      </c>
      <c r="AH410" s="47" t="s">
        <v>0</v>
      </c>
      <c r="AI410" s="143" t="str">
        <f t="shared" si="554"/>
        <v/>
      </c>
      <c r="AJ410" s="47"/>
      <c r="AK410" s="52" t="str">
        <f t="shared" si="555"/>
        <v/>
      </c>
      <c r="AL410" s="31" t="str">
        <f t="shared" si="556"/>
        <v/>
      </c>
      <c r="AM410" s="73" t="str">
        <f t="shared" si="557"/>
        <v/>
      </c>
      <c r="AN410" s="73" t="str">
        <f t="shared" si="558"/>
        <v/>
      </c>
      <c r="AO410" s="31" t="str">
        <f t="shared" si="519"/>
        <v/>
      </c>
      <c r="AP410" s="66" t="str">
        <f t="shared" si="520"/>
        <v/>
      </c>
      <c r="AQ410" s="47" t="s">
        <v>0</v>
      </c>
      <c r="AR410" s="82" t="str">
        <f t="shared" si="559"/>
        <v/>
      </c>
      <c r="AS410" s="47" t="s">
        <v>0</v>
      </c>
      <c r="AT410" s="19" t="str">
        <f t="shared" si="560"/>
        <v/>
      </c>
      <c r="AU410" s="47" t="s">
        <v>0</v>
      </c>
      <c r="AV410" s="103"/>
      <c r="AW410" s="105"/>
      <c r="AX410" s="47" t="s">
        <v>0</v>
      </c>
      <c r="AY410" s="259" t="str">
        <f t="shared" si="583"/>
        <v/>
      </c>
      <c r="AZ410" s="47" t="s">
        <v>0</v>
      </c>
      <c r="BA410" s="52" t="str">
        <f t="shared" si="513"/>
        <v/>
      </c>
      <c r="BB410" s="73" t="str">
        <f>IF(AV410&amp;AW410="","",MAX(BB$12:BB409)+1)</f>
        <v/>
      </c>
      <c r="BC410" s="272" t="str">
        <f t="shared" si="521"/>
        <v/>
      </c>
      <c r="BD410" s="53" t="str">
        <f>IF(AND(AM410="NEMA",AN410="NEMA",OR(AV410&amp;AW410="",BC410="NEMA")),MAX(BD$12:BD409)+1,"")</f>
        <v/>
      </c>
      <c r="BE410" s="47" t="s">
        <v>0</v>
      </c>
      <c r="BF410" s="52" t="str">
        <f t="shared" si="561"/>
        <v/>
      </c>
      <c r="BG410" s="66" t="str">
        <f t="shared" si="562"/>
        <v/>
      </c>
      <c r="BH410" s="47" t="s">
        <v>0</v>
      </c>
      <c r="BI410" s="52" t="str">
        <f t="shared" si="522"/>
        <v/>
      </c>
      <c r="BJ410" s="31" t="str">
        <f t="shared" si="523"/>
        <v/>
      </c>
      <c r="BK410" s="73" t="str">
        <f t="shared" si="524"/>
        <v/>
      </c>
      <c r="BL410" s="31" t="str" cm="1">
        <f t="array" ref="BL410">IF(BK410="",""&amp;BJ410,IF(BK410="NEMA",BJ410,INDEX(regKlub_naziv,MATCH(INDEX(regKlub_alias_klubId,BK410),regKlub_id,0))))</f>
        <v/>
      </c>
      <c r="BM410" s="31" t="str" cm="1">
        <f t="array" ref="BM410">IFERROR(""&amp;INDEX(regNatjecatelj_klub,DV410),"")</f>
        <v/>
      </c>
      <c r="BN410" s="88" t="str">
        <f t="shared" si="563"/>
        <v/>
      </c>
      <c r="BO410" s="66" t="str">
        <f t="shared" si="564"/>
        <v/>
      </c>
      <c r="BP410" s="47" t="s">
        <v>0</v>
      </c>
      <c r="BQ410" s="52" t="str">
        <f>IF(X410&lt;&gt;"NEMA","",IF(IFERROR(MATCH(W410,W$12:W409,0),0)&lt;&gt;0,"",W410))</f>
        <v/>
      </c>
      <c r="BR410" s="73" t="str">
        <f t="shared" si="565"/>
        <v/>
      </c>
      <c r="BS410" s="31" t="str">
        <f>IF(OR(BR410="",BR410&lt;&gt;"NEMA"),"",MAX(BS$12:BS409)+1)</f>
        <v/>
      </c>
      <c r="BT410" s="66" t="str">
        <f t="shared" si="566"/>
        <v/>
      </c>
      <c r="BU410" s="47" t="s">
        <v>0</v>
      </c>
      <c r="BV410" s="19" t="str">
        <f t="shared" si="567"/>
        <v/>
      </c>
      <c r="BW410" s="47" t="s">
        <v>0</v>
      </c>
      <c r="BX410" s="82" t="str">
        <f>IF(BK410&lt;&gt;"NEMA","",IF(IFERROR(MATCH(BJ410,BJ$12:BJ409,0),0)&lt;&gt;0,"",BJ410))</f>
        <v/>
      </c>
      <c r="BY410" s="47" t="s">
        <v>0</v>
      </c>
      <c r="BZ410" s="125"/>
      <c r="CA410" s="47" t="s">
        <v>0</v>
      </c>
      <c r="CB410" s="58" t="str">
        <f t="shared" si="568"/>
        <v/>
      </c>
      <c r="CC410" s="31" t="str">
        <f t="shared" si="569"/>
        <v/>
      </c>
      <c r="CD410" s="31" t="str">
        <f>IF(CC410="","",MAX(CD$12:CD409)+1)</f>
        <v/>
      </c>
      <c r="CE410" s="31" t="str">
        <f t="shared" si="525"/>
        <v/>
      </c>
      <c r="CF410" s="31" t="str">
        <f t="shared" si="570"/>
        <v/>
      </c>
      <c r="CG410" s="31" t="str">
        <f>IF(BZ410="","",MAX(CG$12:CG409)+1)</f>
        <v/>
      </c>
      <c r="CH410" s="31" t="str">
        <f t="shared" si="571"/>
        <v/>
      </c>
      <c r="CI410" s="66" t="str">
        <f t="shared" si="572"/>
        <v/>
      </c>
      <c r="CJ410" s="47" t="s">
        <v>0</v>
      </c>
      <c r="CK410" s="73" t="str">
        <f t="shared" si="526"/>
        <v/>
      </c>
      <c r="CL410" s="47"/>
      <c r="CM410" s="19" t="str">
        <f t="shared" si="573"/>
        <v/>
      </c>
      <c r="CN410" s="47" t="s">
        <v>0</v>
      </c>
      <c r="CO410" s="143" t="str">
        <f t="shared" si="574"/>
        <v/>
      </c>
      <c r="CP410" s="47" t="s">
        <v>0</v>
      </c>
      <c r="CQ410" s="58" t="str">
        <f t="shared" si="510"/>
        <v/>
      </c>
      <c r="CR410" s="73" t="str">
        <f t="shared" si="511"/>
        <v/>
      </c>
      <c r="CS410" s="229" t="str">
        <f t="shared" si="527"/>
        <v/>
      </c>
      <c r="CT410" s="230" t="str">
        <f t="shared" si="512"/>
        <v/>
      </c>
      <c r="CU410" s="163" t="str">
        <f t="shared" si="528"/>
        <v/>
      </c>
      <c r="CV410" s="47" t="s">
        <v>0</v>
      </c>
      <c r="CW410" s="222" t="str">
        <f t="shared" si="575"/>
        <v xml:space="preserve">
</v>
      </c>
      <c r="CX410" s="223" t="str">
        <f t="shared" si="576"/>
        <v/>
      </c>
      <c r="CY410" s="47" t="s">
        <v>0</v>
      </c>
      <c r="CZ410" s="47"/>
      <c r="DA410" s="47"/>
      <c r="DB410" s="47"/>
      <c r="DC410" s="47" t="s">
        <v>0</v>
      </c>
      <c r="DD410" s="53" t="str">
        <f t="shared" si="584"/>
        <v/>
      </c>
      <c r="DE410" t="s">
        <v>0</v>
      </c>
      <c r="DF410" s="128" t="str">
        <f t="shared" si="585"/>
        <v/>
      </c>
      <c r="DG410" t="s">
        <v>0</v>
      </c>
      <c r="DH410" s="52" t="str">
        <f t="shared" si="586"/>
        <v/>
      </c>
      <c r="DI410" s="66" t="str">
        <f t="shared" si="587"/>
        <v/>
      </c>
      <c r="DJ410" t="s">
        <v>0</v>
      </c>
      <c r="DK410" s="19" t="str">
        <f t="shared" si="588"/>
        <v/>
      </c>
      <c r="DL410" s="47" t="s">
        <v>0</v>
      </c>
      <c r="DM410" s="19" t="str">
        <f t="shared" si="589"/>
        <v/>
      </c>
      <c r="DN410" s="47" t="s">
        <v>0</v>
      </c>
      <c r="DO410" s="52" t="str">
        <f t="shared" si="529"/>
        <v/>
      </c>
      <c r="DP410" s="53" t="str">
        <f t="shared" si="530"/>
        <v/>
      </c>
      <c r="DQ410" s="47" t="s">
        <v>0</v>
      </c>
      <c r="DR410" s="52" t="str">
        <f t="shared" si="531"/>
        <v/>
      </c>
      <c r="DS410" s="53" t="str">
        <f t="shared" si="532"/>
        <v/>
      </c>
      <c r="DT410" s="47" t="s">
        <v>0</v>
      </c>
      <c r="DU410" s="52" t="str">
        <f t="shared" si="533"/>
        <v/>
      </c>
      <c r="DV410" s="53" t="str">
        <f t="shared" si="534"/>
        <v/>
      </c>
      <c r="DW410" s="47" t="s">
        <v>0</v>
      </c>
      <c r="DX410" s="58" t="str">
        <f t="shared" si="577"/>
        <v/>
      </c>
      <c r="DY410" s="53" t="str" cm="1">
        <f t="array" ref="DY410">IF(DX410&lt;&gt;"",INDEX(regNatjecatelj_id,DX410,0),IF(BD410&lt;&gt;"",BD410,""))</f>
        <v/>
      </c>
      <c r="DZ410" s="47" t="s">
        <v>0</v>
      </c>
      <c r="EA410" s="58" t="str">
        <f t="shared" si="535"/>
        <v/>
      </c>
      <c r="EB410" s="73" t="str">
        <f t="shared" si="536"/>
        <v/>
      </c>
      <c r="EC410" s="73" t="str">
        <f t="shared" si="537"/>
        <v/>
      </c>
      <c r="ED410" s="73" t="str">
        <f t="shared" si="538"/>
        <v/>
      </c>
      <c r="EE410" s="66" t="str">
        <f t="shared" si="539"/>
        <v/>
      </c>
      <c r="EF410" s="47" t="s">
        <v>0</v>
      </c>
      <c r="EG410" s="58" t="str">
        <f>IF(AL410="","",MAX(EG$12:EG409)+1)</f>
        <v/>
      </c>
      <c r="EH410" s="73" t="str">
        <f t="shared" si="540"/>
        <v/>
      </c>
      <c r="EI410" s="73" t="str">
        <f t="shared" si="578"/>
        <v/>
      </c>
      <c r="EJ410" s="73" t="str">
        <f t="shared" si="541"/>
        <v/>
      </c>
      <c r="EK410" s="73" t="str">
        <f t="shared" si="542"/>
        <v/>
      </c>
      <c r="EL410" s="73" t="str">
        <f t="shared" si="579"/>
        <v/>
      </c>
      <c r="EM410" s="73" t="str">
        <f t="shared" si="580"/>
        <v/>
      </c>
      <c r="EN410" s="73" t="str">
        <f t="shared" si="543"/>
        <v/>
      </c>
      <c r="EO410" s="73" t="str">
        <f t="shared" si="544"/>
        <v/>
      </c>
      <c r="EP410" s="73" t="str">
        <f t="shared" si="545"/>
        <v/>
      </c>
      <c r="EQ410" s="53" t="str">
        <f t="shared" si="546"/>
        <v/>
      </c>
      <c r="ER410" s="47" t="s">
        <v>0</v>
      </c>
      <c r="ES410" s="19" t="str">
        <f t="shared" si="581"/>
        <v/>
      </c>
      <c r="ET410" s="47" t="s">
        <v>0</v>
      </c>
      <c r="EU410" s="19" t="str">
        <f t="shared" si="582"/>
        <v/>
      </c>
      <c r="EV410" s="47" t="s">
        <v>0</v>
      </c>
      <c r="EW410" s="180" t="str">
        <f t="shared" si="547"/>
        <v/>
      </c>
      <c r="EX410" s="47" t="s">
        <v>0</v>
      </c>
    </row>
    <row r="411" spans="1:154" x14ac:dyDescent="0.25">
      <c r="A411" t="s">
        <v>0</v>
      </c>
      <c r="B411" s="52" t="str">
        <f>IF(csv!F401="","",csv!T401)</f>
        <v/>
      </c>
      <c r="C411" s="31" t="s">
        <v>0</v>
      </c>
      <c r="D411" s="31" t="str">
        <f>IF(csv!F401="","",csv!F401)</f>
        <v/>
      </c>
      <c r="E411" s="31" t="str">
        <f>IF(csv!E401="","",csv!E401)</f>
        <v/>
      </c>
      <c r="F411" s="31" t="s">
        <v>0</v>
      </c>
      <c r="G411" s="73" t="str">
        <f>IF(csv!M401="","",csv!M401)</f>
        <v/>
      </c>
      <c r="H411" s="73" t="str">
        <f>IF(csv!N401="","",csv!N401)</f>
        <v/>
      </c>
      <c r="I411" s="31" t="s">
        <v>0</v>
      </c>
      <c r="J411" s="31" t="str">
        <f>IF(csv!P401="","",csv!P401)</f>
        <v/>
      </c>
      <c r="K411" s="31" t="str">
        <f>IF(csv!Q401="","",csv!Q401)</f>
        <v/>
      </c>
      <c r="L411" s="31" t="s">
        <v>0</v>
      </c>
      <c r="M411" s="66" t="str">
        <f>IF(csv!R401="","",csv!R401)</f>
        <v/>
      </c>
      <c r="N411" s="47" t="s">
        <v>0</v>
      </c>
      <c r="O411" s="246" t="str">
        <f t="shared" si="548"/>
        <v/>
      </c>
      <c r="P411" s="47"/>
      <c r="Q411" s="52" t="str">
        <f t="shared" si="549"/>
        <v/>
      </c>
      <c r="R411" s="73" t="str">
        <f>IF(Q411="","",IF(COUNTIF(Q$12:Q410,Q411)=0,R410+1,R410))</f>
        <v/>
      </c>
      <c r="S411" s="73" t="str">
        <f t="shared" si="550"/>
        <v/>
      </c>
      <c r="T411" s="73" t="str">
        <f t="shared" si="514"/>
        <v/>
      </c>
      <c r="U411" s="66" t="str">
        <f t="shared" si="515"/>
        <v/>
      </c>
      <c r="V411" s="47" t="s">
        <v>0</v>
      </c>
      <c r="W411" s="222" t="str">
        <f t="shared" si="516"/>
        <v/>
      </c>
      <c r="X411" s="223" t="str">
        <f t="shared" si="517"/>
        <v/>
      </c>
      <c r="Y411" s="47" t="s">
        <v>0</v>
      </c>
      <c r="Z411" s="52" t="str">
        <f t="shared" si="551"/>
        <v/>
      </c>
      <c r="AA411" s="73" t="str">
        <f t="shared" si="518"/>
        <v/>
      </c>
      <c r="AB411" s="31" t="str">
        <f t="shared" si="552"/>
        <v/>
      </c>
      <c r="AC411" s="66" t="str">
        <f>IF(AB411="","",MAX(AC$12:AC410)+1)</f>
        <v/>
      </c>
      <c r="AD411" s="47" t="s">
        <v>0</v>
      </c>
      <c r="AE411" s="125"/>
      <c r="AF411" s="47" t="s">
        <v>0</v>
      </c>
      <c r="AG411" s="19" t="str">
        <f t="shared" si="553"/>
        <v/>
      </c>
      <c r="AH411" s="47" t="s">
        <v>0</v>
      </c>
      <c r="AI411" s="143" t="str">
        <f t="shared" si="554"/>
        <v/>
      </c>
      <c r="AJ411" s="47"/>
      <c r="AK411" s="52" t="str">
        <f t="shared" si="555"/>
        <v/>
      </c>
      <c r="AL411" s="31" t="str">
        <f t="shared" si="556"/>
        <v/>
      </c>
      <c r="AM411" s="73" t="str">
        <f t="shared" si="557"/>
        <v/>
      </c>
      <c r="AN411" s="73" t="str">
        <f t="shared" si="558"/>
        <v/>
      </c>
      <c r="AO411" s="31" t="str">
        <f t="shared" si="519"/>
        <v/>
      </c>
      <c r="AP411" s="66" t="str">
        <f t="shared" si="520"/>
        <v/>
      </c>
      <c r="AQ411" s="47" t="s">
        <v>0</v>
      </c>
      <c r="AR411" s="82" t="str">
        <f t="shared" si="559"/>
        <v/>
      </c>
      <c r="AS411" s="47" t="s">
        <v>0</v>
      </c>
      <c r="AT411" s="19" t="str">
        <f t="shared" si="560"/>
        <v/>
      </c>
      <c r="AU411" s="47" t="s">
        <v>0</v>
      </c>
      <c r="AV411" s="103"/>
      <c r="AW411" s="105"/>
      <c r="AX411" s="47" t="s">
        <v>0</v>
      </c>
      <c r="AY411" s="259" t="str">
        <f t="shared" si="583"/>
        <v/>
      </c>
      <c r="AZ411" s="47" t="s">
        <v>0</v>
      </c>
      <c r="BA411" s="52" t="str">
        <f t="shared" si="513"/>
        <v/>
      </c>
      <c r="BB411" s="73" t="str">
        <f>IF(AV411&amp;AW411="","",MAX(BB$12:BB410)+1)</f>
        <v/>
      </c>
      <c r="BC411" s="272" t="str">
        <f t="shared" si="521"/>
        <v/>
      </c>
      <c r="BD411" s="53" t="str">
        <f>IF(AND(AM411="NEMA",AN411="NEMA",OR(AV411&amp;AW411="",BC411="NEMA")),MAX(BD$12:BD410)+1,"")</f>
        <v/>
      </c>
      <c r="BE411" s="47" t="s">
        <v>0</v>
      </c>
      <c r="BF411" s="52" t="str">
        <f t="shared" si="561"/>
        <v/>
      </c>
      <c r="BG411" s="66" t="str">
        <f t="shared" si="562"/>
        <v/>
      </c>
      <c r="BH411" s="47" t="s">
        <v>0</v>
      </c>
      <c r="BI411" s="52" t="str">
        <f t="shared" si="522"/>
        <v/>
      </c>
      <c r="BJ411" s="31" t="str">
        <f t="shared" si="523"/>
        <v/>
      </c>
      <c r="BK411" s="73" t="str">
        <f t="shared" si="524"/>
        <v/>
      </c>
      <c r="BL411" s="31" t="str" cm="1">
        <f t="array" ref="BL411">IF(BK411="",""&amp;BJ411,IF(BK411="NEMA",BJ411,INDEX(regKlub_naziv,MATCH(INDEX(regKlub_alias_klubId,BK411),regKlub_id,0))))</f>
        <v/>
      </c>
      <c r="BM411" s="31" t="str" cm="1">
        <f t="array" ref="BM411">IFERROR(""&amp;INDEX(regNatjecatelj_klub,DV411),"")</f>
        <v/>
      </c>
      <c r="BN411" s="88" t="str">
        <f t="shared" si="563"/>
        <v/>
      </c>
      <c r="BO411" s="66" t="str">
        <f t="shared" si="564"/>
        <v/>
      </c>
      <c r="BP411" s="47" t="s">
        <v>0</v>
      </c>
      <c r="BQ411" s="52" t="str">
        <f>IF(X411&lt;&gt;"NEMA","",IF(IFERROR(MATCH(W411,W$12:W410,0),0)&lt;&gt;0,"",W411))</f>
        <v/>
      </c>
      <c r="BR411" s="73" t="str">
        <f t="shared" si="565"/>
        <v/>
      </c>
      <c r="BS411" s="31" t="str">
        <f>IF(OR(BR411="",BR411&lt;&gt;"NEMA"),"",MAX(BS$12:BS410)+1)</f>
        <v/>
      </c>
      <c r="BT411" s="66" t="str">
        <f t="shared" si="566"/>
        <v/>
      </c>
      <c r="BU411" s="47" t="s">
        <v>0</v>
      </c>
      <c r="BV411" s="19" t="str">
        <f t="shared" si="567"/>
        <v/>
      </c>
      <c r="BW411" s="47" t="s">
        <v>0</v>
      </c>
      <c r="BX411" s="82" t="str">
        <f>IF(BK411&lt;&gt;"NEMA","",IF(IFERROR(MATCH(BJ411,BJ$12:BJ410,0),0)&lt;&gt;0,"",BJ411))</f>
        <v/>
      </c>
      <c r="BY411" s="47" t="s">
        <v>0</v>
      </c>
      <c r="BZ411" s="125"/>
      <c r="CA411" s="47" t="s">
        <v>0</v>
      </c>
      <c r="CB411" s="58" t="str">
        <f t="shared" si="568"/>
        <v/>
      </c>
      <c r="CC411" s="31" t="str">
        <f t="shared" si="569"/>
        <v/>
      </c>
      <c r="CD411" s="31" t="str">
        <f>IF(CC411="","",MAX(CD$12:CD410)+1)</f>
        <v/>
      </c>
      <c r="CE411" s="31" t="str">
        <f t="shared" si="525"/>
        <v/>
      </c>
      <c r="CF411" s="31" t="str">
        <f t="shared" si="570"/>
        <v/>
      </c>
      <c r="CG411" s="31" t="str">
        <f>IF(BZ411="","",MAX(CG$12:CG410)+1)</f>
        <v/>
      </c>
      <c r="CH411" s="31" t="str">
        <f t="shared" si="571"/>
        <v/>
      </c>
      <c r="CI411" s="66" t="str">
        <f t="shared" si="572"/>
        <v/>
      </c>
      <c r="CJ411" s="47" t="s">
        <v>0</v>
      </c>
      <c r="CK411" s="73" t="str">
        <f t="shared" si="526"/>
        <v/>
      </c>
      <c r="CL411" s="47"/>
      <c r="CM411" s="19" t="str">
        <f t="shared" si="573"/>
        <v/>
      </c>
      <c r="CN411" s="47" t="s">
        <v>0</v>
      </c>
      <c r="CO411" s="143" t="str">
        <f t="shared" si="574"/>
        <v/>
      </c>
      <c r="CP411" s="47" t="s">
        <v>0</v>
      </c>
      <c r="CQ411" s="58" t="str">
        <f t="shared" si="510"/>
        <v/>
      </c>
      <c r="CR411" s="73" t="str">
        <f t="shared" si="511"/>
        <v/>
      </c>
      <c r="CS411" s="229" t="str">
        <f t="shared" si="527"/>
        <v/>
      </c>
      <c r="CT411" s="230" t="str">
        <f t="shared" si="512"/>
        <v/>
      </c>
      <c r="CU411" s="163" t="str">
        <f t="shared" si="528"/>
        <v/>
      </c>
      <c r="CV411" s="47" t="s">
        <v>0</v>
      </c>
      <c r="CW411" s="222" t="str">
        <f t="shared" si="575"/>
        <v xml:space="preserve">
</v>
      </c>
      <c r="CX411" s="223" t="str">
        <f t="shared" si="576"/>
        <v/>
      </c>
      <c r="CY411" s="47" t="s">
        <v>0</v>
      </c>
      <c r="CZ411" s="47"/>
      <c r="DA411" s="47"/>
      <c r="DB411" s="47"/>
      <c r="DC411" s="47" t="s">
        <v>0</v>
      </c>
      <c r="DD411" s="53" t="str">
        <f t="shared" si="584"/>
        <v/>
      </c>
      <c r="DE411" t="s">
        <v>0</v>
      </c>
      <c r="DF411" s="128" t="str">
        <f t="shared" si="585"/>
        <v/>
      </c>
      <c r="DG411" t="s">
        <v>0</v>
      </c>
      <c r="DH411" s="52" t="str">
        <f t="shared" si="586"/>
        <v/>
      </c>
      <c r="DI411" s="66" t="str">
        <f t="shared" si="587"/>
        <v/>
      </c>
      <c r="DJ411" t="s">
        <v>0</v>
      </c>
      <c r="DK411" s="19" t="str">
        <f t="shared" si="588"/>
        <v/>
      </c>
      <c r="DL411" s="47" t="s">
        <v>0</v>
      </c>
      <c r="DM411" s="19" t="str">
        <f t="shared" si="589"/>
        <v/>
      </c>
      <c r="DN411" s="47" t="s">
        <v>0</v>
      </c>
      <c r="DO411" s="52" t="str">
        <f t="shared" si="529"/>
        <v/>
      </c>
      <c r="DP411" s="53" t="str">
        <f t="shared" si="530"/>
        <v/>
      </c>
      <c r="DQ411" s="47" t="s">
        <v>0</v>
      </c>
      <c r="DR411" s="52" t="str">
        <f t="shared" si="531"/>
        <v/>
      </c>
      <c r="DS411" s="53" t="str">
        <f t="shared" si="532"/>
        <v/>
      </c>
      <c r="DT411" s="47" t="s">
        <v>0</v>
      </c>
      <c r="DU411" s="52" t="str">
        <f t="shared" si="533"/>
        <v/>
      </c>
      <c r="DV411" s="53" t="str">
        <f t="shared" si="534"/>
        <v/>
      </c>
      <c r="DW411" s="47" t="s">
        <v>0</v>
      </c>
      <c r="DX411" s="58" t="str">
        <f t="shared" si="577"/>
        <v/>
      </c>
      <c r="DY411" s="53" t="str" cm="1">
        <f t="array" ref="DY411">IF(DX411&lt;&gt;"",INDEX(regNatjecatelj_id,DX411,0),IF(BD411&lt;&gt;"",BD411,""))</f>
        <v/>
      </c>
      <c r="DZ411" s="47" t="s">
        <v>0</v>
      </c>
      <c r="EA411" s="58" t="str">
        <f t="shared" si="535"/>
        <v/>
      </c>
      <c r="EB411" s="73" t="str">
        <f t="shared" si="536"/>
        <v/>
      </c>
      <c r="EC411" s="73" t="str">
        <f t="shared" si="537"/>
        <v/>
      </c>
      <c r="ED411" s="73" t="str">
        <f t="shared" si="538"/>
        <v/>
      </c>
      <c r="EE411" s="66" t="str">
        <f t="shared" si="539"/>
        <v/>
      </c>
      <c r="EF411" s="47" t="s">
        <v>0</v>
      </c>
      <c r="EG411" s="58" t="str">
        <f>IF(AL411="","",MAX(EG$12:EG410)+1)</f>
        <v/>
      </c>
      <c r="EH411" s="73" t="str">
        <f t="shared" si="540"/>
        <v/>
      </c>
      <c r="EI411" s="73" t="str">
        <f t="shared" si="578"/>
        <v/>
      </c>
      <c r="EJ411" s="73" t="str">
        <f t="shared" si="541"/>
        <v/>
      </c>
      <c r="EK411" s="73" t="str">
        <f t="shared" si="542"/>
        <v/>
      </c>
      <c r="EL411" s="73" t="str">
        <f t="shared" si="579"/>
        <v/>
      </c>
      <c r="EM411" s="73" t="str">
        <f t="shared" si="580"/>
        <v/>
      </c>
      <c r="EN411" s="73" t="str">
        <f t="shared" si="543"/>
        <v/>
      </c>
      <c r="EO411" s="73" t="str">
        <f t="shared" si="544"/>
        <v/>
      </c>
      <c r="EP411" s="73" t="str">
        <f t="shared" si="545"/>
        <v/>
      </c>
      <c r="EQ411" s="53" t="str">
        <f t="shared" si="546"/>
        <v/>
      </c>
      <c r="ER411" s="47" t="s">
        <v>0</v>
      </c>
      <c r="ES411" s="19" t="str">
        <f t="shared" si="581"/>
        <v/>
      </c>
      <c r="ET411" s="47" t="s">
        <v>0</v>
      </c>
      <c r="EU411" s="19" t="str">
        <f t="shared" si="582"/>
        <v/>
      </c>
      <c r="EV411" s="47" t="s">
        <v>0</v>
      </c>
      <c r="EW411" s="180" t="str">
        <f t="shared" si="547"/>
        <v/>
      </c>
      <c r="EX411" s="47" t="s">
        <v>0</v>
      </c>
    </row>
    <row r="412" spans="1:154" s="47" customFormat="1" ht="15.75" thickBot="1" x14ac:dyDescent="0.3">
      <c r="A412" s="47" t="s">
        <v>0</v>
      </c>
      <c r="B412" s="54" t="str">
        <f>IF(csv!F402="","",csv!T402)</f>
        <v/>
      </c>
      <c r="C412" s="34" t="s">
        <v>0</v>
      </c>
      <c r="D412" s="34" t="str">
        <f>IF(csv!F402="","",csv!F402)</f>
        <v/>
      </c>
      <c r="E412" s="34" t="str">
        <f>IF(csv!E402="","",csv!E402)</f>
        <v/>
      </c>
      <c r="F412" s="34" t="s">
        <v>0</v>
      </c>
      <c r="G412" s="74" t="str">
        <f>IF(csv!M402="","",csv!M402)</f>
        <v/>
      </c>
      <c r="H412" s="74" t="str">
        <f>IF(csv!N402="","",csv!N402)</f>
        <v/>
      </c>
      <c r="I412" s="34" t="s">
        <v>0</v>
      </c>
      <c r="J412" s="34" t="str">
        <f>IF(csv!P402="","",csv!P402)</f>
        <v/>
      </c>
      <c r="K412" s="34" t="str">
        <f>IF(csv!Q402="","",csv!Q402)</f>
        <v/>
      </c>
      <c r="L412" s="34" t="s">
        <v>0</v>
      </c>
      <c r="M412" s="67" t="str">
        <f>IF(csv!R402="","",csv!R402)</f>
        <v/>
      </c>
      <c r="N412" s="47" t="s">
        <v>0</v>
      </c>
      <c r="O412" s="247" t="str">
        <f t="shared" si="548"/>
        <v/>
      </c>
      <c r="Q412" s="54" t="str">
        <f t="shared" si="549"/>
        <v/>
      </c>
      <c r="R412" s="74" t="str">
        <f>IF(Q412="","",IF(COUNTIF(Q$12:Q411,Q412)=0,R411+1,R411))</f>
        <v/>
      </c>
      <c r="S412" s="74" t="str">
        <f t="shared" si="550"/>
        <v/>
      </c>
      <c r="T412" s="74" t="str">
        <f t="shared" si="514"/>
        <v/>
      </c>
      <c r="U412" s="67" t="str">
        <f t="shared" si="515"/>
        <v/>
      </c>
      <c r="V412" s="47" t="s">
        <v>0</v>
      </c>
      <c r="W412" s="224" t="str">
        <f t="shared" si="516"/>
        <v/>
      </c>
      <c r="X412" s="225" t="str">
        <f t="shared" si="517"/>
        <v/>
      </c>
      <c r="Y412" s="47" t="s">
        <v>0</v>
      </c>
      <c r="Z412" s="54" t="str">
        <f t="shared" si="551"/>
        <v/>
      </c>
      <c r="AA412" s="74" t="str">
        <f t="shared" si="518"/>
        <v/>
      </c>
      <c r="AB412" s="34" t="str">
        <f t="shared" si="552"/>
        <v/>
      </c>
      <c r="AC412" s="67" t="str">
        <f>IF(AB412="","",MAX(AC$12:AC411)+1)</f>
        <v/>
      </c>
      <c r="AD412" s="47" t="s">
        <v>0</v>
      </c>
      <c r="AE412" s="126"/>
      <c r="AF412" s="47" t="s">
        <v>0</v>
      </c>
      <c r="AG412" s="20" t="str">
        <f t="shared" si="553"/>
        <v/>
      </c>
      <c r="AH412" s="47" t="s">
        <v>0</v>
      </c>
      <c r="AI412" s="144" t="str">
        <f t="shared" si="554"/>
        <v/>
      </c>
      <c r="AK412" s="54" t="str">
        <f t="shared" si="555"/>
        <v/>
      </c>
      <c r="AL412" s="34" t="str">
        <f t="shared" si="556"/>
        <v/>
      </c>
      <c r="AM412" s="74" t="str">
        <f t="shared" si="557"/>
        <v/>
      </c>
      <c r="AN412" s="74" t="str">
        <f t="shared" si="558"/>
        <v/>
      </c>
      <c r="AO412" s="34" t="str">
        <f t="shared" si="519"/>
        <v/>
      </c>
      <c r="AP412" s="67" t="str">
        <f t="shared" si="520"/>
        <v/>
      </c>
      <c r="AQ412" s="47" t="s">
        <v>0</v>
      </c>
      <c r="AR412" s="83" t="str">
        <f t="shared" si="559"/>
        <v/>
      </c>
      <c r="AS412" s="47" t="s">
        <v>0</v>
      </c>
      <c r="AT412" s="20" t="str">
        <f t="shared" si="560"/>
        <v/>
      </c>
      <c r="AU412" s="47" t="s">
        <v>0</v>
      </c>
      <c r="AV412" s="106"/>
      <c r="AW412" s="108"/>
      <c r="AX412" s="47" t="s">
        <v>0</v>
      </c>
      <c r="AY412" s="262" t="str">
        <f t="shared" si="583"/>
        <v/>
      </c>
      <c r="AZ412" s="47" t="s">
        <v>0</v>
      </c>
      <c r="BA412" s="54" t="str">
        <f t="shared" si="513"/>
        <v/>
      </c>
      <c r="BB412" s="74" t="str">
        <f>IF(AV412&amp;AW412="","",MAX(BB$12:BB411)+1)</f>
        <v/>
      </c>
      <c r="BC412" s="273" t="str">
        <f t="shared" si="521"/>
        <v/>
      </c>
      <c r="BD412" s="55" t="str">
        <f>IF(AND(AM412="NEMA",AN412="NEMA",OR(AV412&amp;AW412="",BC412="NEMA")),MAX(BD$12:BD411)+1,"")</f>
        <v/>
      </c>
      <c r="BE412" s="47" t="s">
        <v>0</v>
      </c>
      <c r="BF412" s="54" t="str">
        <f t="shared" si="561"/>
        <v/>
      </c>
      <c r="BG412" s="67" t="str">
        <f t="shared" si="562"/>
        <v/>
      </c>
      <c r="BH412" s="47" t="s">
        <v>0</v>
      </c>
      <c r="BI412" s="54" t="str">
        <f t="shared" si="522"/>
        <v/>
      </c>
      <c r="BJ412" s="34" t="str">
        <f t="shared" si="523"/>
        <v/>
      </c>
      <c r="BK412" s="74" t="str">
        <f t="shared" si="524"/>
        <v/>
      </c>
      <c r="BL412" s="34" t="str" cm="1">
        <f t="array" ref="BL412">IF(BK412="",""&amp;BJ412,IF(BK412="NEMA",BJ412,INDEX(regKlub_naziv,MATCH(INDEX(regKlub_alias_klubId,BK412),regKlub_id,0))))</f>
        <v/>
      </c>
      <c r="BM412" s="34" t="str" cm="1">
        <f t="array" ref="BM412">IFERROR(""&amp;INDEX(regNatjecatelj_klub,DV412),"")</f>
        <v/>
      </c>
      <c r="BN412" s="89" t="str">
        <f t="shared" si="563"/>
        <v/>
      </c>
      <c r="BO412" s="67" t="str">
        <f t="shared" si="564"/>
        <v/>
      </c>
      <c r="BP412" s="47" t="s">
        <v>0</v>
      </c>
      <c r="BQ412" s="54" t="str">
        <f>IF(X412&lt;&gt;"NEMA","",IF(IFERROR(MATCH(W412,W$12:W411,0),0)&lt;&gt;0,"",W412))</f>
        <v/>
      </c>
      <c r="BR412" s="74" t="str">
        <f t="shared" si="565"/>
        <v/>
      </c>
      <c r="BS412" s="34" t="str">
        <f>IF(OR(BR412="",BR412&lt;&gt;"NEMA"),"",MAX(BS$12:BS411)+1)</f>
        <v/>
      </c>
      <c r="BT412" s="67" t="str">
        <f t="shared" si="566"/>
        <v/>
      </c>
      <c r="BU412" s="47" t="s">
        <v>0</v>
      </c>
      <c r="BV412" s="20" t="str">
        <f t="shared" si="567"/>
        <v/>
      </c>
      <c r="BW412" s="47" t="s">
        <v>0</v>
      </c>
      <c r="BX412" s="83" t="str">
        <f>IF(BK412&lt;&gt;"NEMA","",IF(IFERROR(MATCH(BJ412,BJ$12:BJ411,0),0)&lt;&gt;0,"",BJ412))</f>
        <v/>
      </c>
      <c r="BY412" s="47" t="s">
        <v>0</v>
      </c>
      <c r="BZ412" s="126"/>
      <c r="CA412" s="47" t="s">
        <v>0</v>
      </c>
      <c r="CB412" s="59" t="str">
        <f t="shared" si="568"/>
        <v/>
      </c>
      <c r="CC412" s="34" t="str">
        <f t="shared" si="569"/>
        <v/>
      </c>
      <c r="CD412" s="34" t="str">
        <f>IF(CC412="","",MAX(CD$12:CD411)+1)</f>
        <v/>
      </c>
      <c r="CE412" s="34" t="str">
        <f t="shared" si="525"/>
        <v/>
      </c>
      <c r="CF412" s="34" t="str">
        <f t="shared" si="570"/>
        <v/>
      </c>
      <c r="CG412" s="34" t="str">
        <f>IF(BZ412="","",MAX(CG$12:CG411)+1)</f>
        <v/>
      </c>
      <c r="CH412" s="34" t="str">
        <f t="shared" si="571"/>
        <v/>
      </c>
      <c r="CI412" s="67" t="str">
        <f t="shared" si="572"/>
        <v/>
      </c>
      <c r="CJ412" s="47" t="s">
        <v>0</v>
      </c>
      <c r="CK412" s="74" t="str">
        <f t="shared" si="526"/>
        <v/>
      </c>
      <c r="CM412" s="20" t="str">
        <f t="shared" si="573"/>
        <v/>
      </c>
      <c r="CN412" s="47" t="s">
        <v>0</v>
      </c>
      <c r="CO412" s="144" t="str">
        <f t="shared" si="574"/>
        <v/>
      </c>
      <c r="CP412" s="47" t="s">
        <v>0</v>
      </c>
      <c r="CQ412" s="59" t="str">
        <f t="shared" si="510"/>
        <v/>
      </c>
      <c r="CR412" s="74" t="str">
        <f t="shared" si="511"/>
        <v/>
      </c>
      <c r="CS412" s="231" t="str">
        <f t="shared" si="527"/>
        <v/>
      </c>
      <c r="CT412" s="232" t="str">
        <f t="shared" si="512"/>
        <v/>
      </c>
      <c r="CU412" s="164" t="str">
        <f t="shared" si="528"/>
        <v/>
      </c>
      <c r="CV412" s="47" t="s">
        <v>0</v>
      </c>
      <c r="CW412" s="224" t="str">
        <f t="shared" si="575"/>
        <v xml:space="preserve">
</v>
      </c>
      <c r="CX412" s="225" t="str">
        <f t="shared" si="576"/>
        <v/>
      </c>
      <c r="CY412" s="47" t="s">
        <v>0</v>
      </c>
      <c r="DC412" s="47" t="s">
        <v>0</v>
      </c>
      <c r="DD412" s="55" t="str">
        <f t="shared" si="584"/>
        <v/>
      </c>
      <c r="DE412" s="47" t="s">
        <v>0</v>
      </c>
      <c r="DF412" s="129" t="str">
        <f t="shared" si="585"/>
        <v/>
      </c>
      <c r="DG412" s="47" t="s">
        <v>0</v>
      </c>
      <c r="DH412" s="54" t="str">
        <f t="shared" si="586"/>
        <v/>
      </c>
      <c r="DI412" s="67" t="str">
        <f t="shared" si="587"/>
        <v/>
      </c>
      <c r="DJ412" s="47" t="s">
        <v>0</v>
      </c>
      <c r="DK412" s="20" t="str">
        <f t="shared" si="588"/>
        <v/>
      </c>
      <c r="DL412" s="47" t="s">
        <v>0</v>
      </c>
      <c r="DM412" s="20" t="str">
        <f t="shared" si="589"/>
        <v/>
      </c>
      <c r="DN412" s="47" t="s">
        <v>0</v>
      </c>
      <c r="DO412" s="54" t="str">
        <f t="shared" si="529"/>
        <v/>
      </c>
      <c r="DP412" s="55" t="str">
        <f t="shared" si="530"/>
        <v/>
      </c>
      <c r="DQ412" s="47" t="s">
        <v>0</v>
      </c>
      <c r="DR412" s="54" t="str">
        <f t="shared" si="531"/>
        <v/>
      </c>
      <c r="DS412" s="55" t="str">
        <f t="shared" si="532"/>
        <v/>
      </c>
      <c r="DT412" s="47" t="s">
        <v>0</v>
      </c>
      <c r="DU412" s="54" t="str">
        <f t="shared" si="533"/>
        <v/>
      </c>
      <c r="DV412" s="55" t="str">
        <f t="shared" si="534"/>
        <v/>
      </c>
      <c r="DW412" s="47" t="s">
        <v>0</v>
      </c>
      <c r="DX412" s="59" t="str">
        <f t="shared" si="577"/>
        <v/>
      </c>
      <c r="DY412" s="55" t="str" cm="1">
        <f t="array" ref="DY412">IF(DX412&lt;&gt;"",INDEX(regNatjecatelj_id,DX412,0),IF(BD412&lt;&gt;"",BD412,""))</f>
        <v/>
      </c>
      <c r="DZ412" s="47" t="s">
        <v>0</v>
      </c>
      <c r="EA412" s="59" t="str">
        <f t="shared" si="535"/>
        <v/>
      </c>
      <c r="EB412" s="74" t="str">
        <f t="shared" si="536"/>
        <v/>
      </c>
      <c r="EC412" s="74" t="str">
        <f t="shared" si="537"/>
        <v/>
      </c>
      <c r="ED412" s="74" t="str">
        <f t="shared" si="538"/>
        <v/>
      </c>
      <c r="EE412" s="67" t="str">
        <f t="shared" si="539"/>
        <v/>
      </c>
      <c r="EF412" s="47" t="s">
        <v>0</v>
      </c>
      <c r="EG412" s="59" t="str">
        <f>IF(AL412="","",MAX(EG$12:EG411)+1)</f>
        <v/>
      </c>
      <c r="EH412" s="74" t="str">
        <f t="shared" si="540"/>
        <v/>
      </c>
      <c r="EI412" s="74" t="str">
        <f t="shared" si="578"/>
        <v/>
      </c>
      <c r="EJ412" s="74" t="str">
        <f t="shared" si="541"/>
        <v/>
      </c>
      <c r="EK412" s="74" t="str">
        <f t="shared" si="542"/>
        <v/>
      </c>
      <c r="EL412" s="74" t="str">
        <f t="shared" si="579"/>
        <v/>
      </c>
      <c r="EM412" s="74" t="str">
        <f t="shared" si="580"/>
        <v/>
      </c>
      <c r="EN412" s="74" t="str">
        <f t="shared" si="543"/>
        <v/>
      </c>
      <c r="EO412" s="74" t="str">
        <f t="shared" si="544"/>
        <v/>
      </c>
      <c r="EP412" s="74" t="str">
        <f t="shared" si="545"/>
        <v/>
      </c>
      <c r="EQ412" s="55" t="str">
        <f t="shared" si="546"/>
        <v/>
      </c>
      <c r="ER412" s="47" t="s">
        <v>0</v>
      </c>
      <c r="ES412" s="20" t="str">
        <f t="shared" si="581"/>
        <v/>
      </c>
      <c r="ET412" s="47" t="s">
        <v>0</v>
      </c>
      <c r="EU412" s="20" t="str">
        <f t="shared" si="582"/>
        <v/>
      </c>
      <c r="EV412" s="47" t="s">
        <v>0</v>
      </c>
      <c r="EW412" s="181" t="str">
        <f t="shared" si="547"/>
        <v/>
      </c>
      <c r="EX412" s="47" t="s">
        <v>0</v>
      </c>
    </row>
    <row r="413" spans="1:154" s="47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Z413" s="5"/>
      <c r="AA413" s="11"/>
      <c r="AB413" s="5"/>
      <c r="AC413" s="5"/>
      <c r="AE413" s="5"/>
      <c r="AI413" s="5"/>
      <c r="AK413" s="5"/>
      <c r="AL413" s="5"/>
      <c r="AM413" s="11"/>
      <c r="AN413" s="11"/>
      <c r="AO413" s="5"/>
      <c r="AP413" s="5"/>
      <c r="AR413" s="5"/>
      <c r="AT413" s="11"/>
      <c r="AV413" s="5"/>
      <c r="AW413" s="5"/>
      <c r="AY413" s="11"/>
      <c r="BA413" s="5"/>
      <c r="BB413" s="11"/>
      <c r="BC413" s="11"/>
      <c r="BD413" s="11"/>
      <c r="BF413" s="5"/>
      <c r="BG413" s="5"/>
      <c r="BI413" s="5"/>
      <c r="BJ413" s="5"/>
      <c r="BK413" s="11"/>
      <c r="BL413" s="5"/>
      <c r="BM413" s="5"/>
      <c r="BN413" s="11"/>
      <c r="BO413" s="5"/>
      <c r="BQ413" s="5"/>
      <c r="BR413" s="11"/>
      <c r="BS413" s="5"/>
      <c r="BT413" s="5"/>
      <c r="BX413" s="5"/>
      <c r="BZ413" s="5"/>
      <c r="CB413" s="11"/>
      <c r="CC413" s="5"/>
      <c r="CD413" s="5"/>
      <c r="CE413" s="5"/>
      <c r="CF413" s="5"/>
      <c r="CG413" s="5"/>
      <c r="CH413" s="5"/>
      <c r="CI413" s="5"/>
      <c r="CK413" s="11"/>
      <c r="CO413" s="5"/>
      <c r="CQ413" s="1"/>
      <c r="CR413" s="1"/>
      <c r="CS413" s="1"/>
      <c r="CT413" s="1"/>
      <c r="CU413" s="1"/>
      <c r="CW413" s="1"/>
      <c r="CX413" s="1"/>
      <c r="DD413" s="11"/>
      <c r="DF413" s="11"/>
      <c r="DO413" s="5"/>
      <c r="DP413" s="11"/>
      <c r="DR413" s="5"/>
      <c r="DS413" s="11"/>
      <c r="DU413" s="5"/>
      <c r="DV413" s="11"/>
      <c r="DX413" s="11"/>
      <c r="DY413" s="11"/>
      <c r="EA413" s="11"/>
      <c r="EB413" s="11"/>
      <c r="EC413" s="11"/>
      <c r="ED413" s="11"/>
      <c r="EE413" s="5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S413" s="11"/>
      <c r="EU413" s="11"/>
      <c r="EW413" s="11"/>
    </row>
  </sheetData>
  <mergeCells count="35">
    <mergeCell ref="CW5:CX5"/>
    <mergeCell ref="CW6:CX6"/>
    <mergeCell ref="CW4:CX4"/>
    <mergeCell ref="CW7:CX7"/>
    <mergeCell ref="DH6:DI6"/>
    <mergeCell ref="DH7:DI7"/>
    <mergeCell ref="EA9:EE9"/>
    <mergeCell ref="AV9:AW9"/>
    <mergeCell ref="CQ9:CU9"/>
    <mergeCell ref="EY20:FJ20"/>
    <mergeCell ref="EY21:FJ21"/>
    <mergeCell ref="BA9:BD9"/>
    <mergeCell ref="EY22:FJ22"/>
    <mergeCell ref="EY23:FJ23"/>
    <mergeCell ref="ES4:EW4"/>
    <mergeCell ref="EY14:FJ14"/>
    <mergeCell ref="EY17:FJ17"/>
    <mergeCell ref="EY16:FJ16"/>
    <mergeCell ref="EY15:FJ15"/>
    <mergeCell ref="AV2:AW2"/>
    <mergeCell ref="B9:M9"/>
    <mergeCell ref="AK9:AP9"/>
    <mergeCell ref="DO9:DY9"/>
    <mergeCell ref="EG9:EQ9"/>
    <mergeCell ref="AR9:AT9"/>
    <mergeCell ref="Q9:U9"/>
    <mergeCell ref="Z9:AG9"/>
    <mergeCell ref="BF9:BG9"/>
    <mergeCell ref="W9:X9"/>
    <mergeCell ref="BQ9:BV9"/>
    <mergeCell ref="BI9:BO9"/>
    <mergeCell ref="CW9:CX9"/>
    <mergeCell ref="DD9:DK9"/>
    <mergeCell ref="AV4:AW4"/>
    <mergeCell ref="DH5:DI5"/>
  </mergeCells>
  <conditionalFormatting sqref="DQ10:DQ12 AM6:AM7 AM10 AM4 AA6:AA7 AA10 CB6:CC7 CB10:CC10 CB4:CC4 AM12:AM1048576 AO12:AQ1048576 AO4:AQ4 AO10:AQ10 AO6:AQ7">
    <cfRule type="cellIs" dxfId="84" priority="100" operator="equal">
      <formula>"NEMA"</formula>
    </cfRule>
  </conditionalFormatting>
  <conditionalFormatting sqref="DQ8">
    <cfRule type="cellIs" dxfId="83" priority="92" operator="equal">
      <formula>"NEMA"</formula>
    </cfRule>
  </conditionalFormatting>
  <conditionalFormatting sqref="DQ230:DQ1048576 DQ14:DQ129">
    <cfRule type="cellIs" dxfId="82" priority="98" operator="equal">
      <formula>"NEMA"</formula>
    </cfRule>
  </conditionalFormatting>
  <conditionalFormatting sqref="DQ130:DQ229">
    <cfRule type="cellIs" dxfId="81" priority="97" operator="equal">
      <formula>"NEMA"</formula>
    </cfRule>
  </conditionalFormatting>
  <conditionalFormatting sqref="DQ13">
    <cfRule type="cellIs" dxfId="80" priority="96" operator="equal">
      <formula>"NEMA"</formula>
    </cfRule>
  </conditionalFormatting>
  <conditionalFormatting sqref="DN10:DN12">
    <cfRule type="cellIs" dxfId="79" priority="86" operator="equal">
      <formula>"NEMA"</formula>
    </cfRule>
  </conditionalFormatting>
  <conditionalFormatting sqref="DN230:DN1048576 DN14:DN129">
    <cfRule type="cellIs" dxfId="78" priority="85" operator="equal">
      <formula>"NEMA"</formula>
    </cfRule>
  </conditionalFormatting>
  <conditionalFormatting sqref="DN130:DN229">
    <cfRule type="cellIs" dxfId="77" priority="84" operator="equal">
      <formula>"NEMA"</formula>
    </cfRule>
  </conditionalFormatting>
  <conditionalFormatting sqref="DN13">
    <cfRule type="cellIs" dxfId="76" priority="83" operator="equal">
      <formula>"NEMA"</formula>
    </cfRule>
  </conditionalFormatting>
  <conditionalFormatting sqref="DN8">
    <cfRule type="cellIs" dxfId="75" priority="81" operator="equal">
      <formula>"NEMA"</formula>
    </cfRule>
  </conditionalFormatting>
  <conditionalFormatting sqref="DI10:DI12">
    <cfRule type="cellIs" dxfId="74" priority="80" operator="equal">
      <formula>"NEMA"</formula>
    </cfRule>
  </conditionalFormatting>
  <conditionalFormatting sqref="DI230:DI1048576 DI14:DI129">
    <cfRule type="cellIs" dxfId="73" priority="79" operator="equal">
      <formula>"NEMA"</formula>
    </cfRule>
  </conditionalFormatting>
  <conditionalFormatting sqref="DI130:DI229">
    <cfRule type="cellIs" dxfId="72" priority="78" operator="equal">
      <formula>"NEMA"</formula>
    </cfRule>
  </conditionalFormatting>
  <conditionalFormatting sqref="DI13">
    <cfRule type="cellIs" dxfId="71" priority="77" operator="equal">
      <formula>"NEMA"</formula>
    </cfRule>
  </conditionalFormatting>
  <conditionalFormatting sqref="DI8">
    <cfRule type="cellIs" dxfId="70" priority="75" operator="equal">
      <formula>"NEMA"</formula>
    </cfRule>
  </conditionalFormatting>
  <conditionalFormatting sqref="DT11">
    <cfRule type="cellIs" dxfId="69" priority="74" operator="equal">
      <formula>"NEMA"</formula>
    </cfRule>
  </conditionalFormatting>
  <conditionalFormatting sqref="AM11 AO11:AQ11">
    <cfRule type="cellIs" dxfId="68" priority="71" operator="equal">
      <formula>"NEMA"</formula>
    </cfRule>
  </conditionalFormatting>
  <conditionalFormatting sqref="AA12:AA1048576">
    <cfRule type="cellIs" dxfId="67" priority="69" operator="equal">
      <formula>"NEMA"</formula>
    </cfRule>
  </conditionalFormatting>
  <conditionalFormatting sqref="AA11">
    <cfRule type="cellIs" dxfId="66" priority="68" operator="equal">
      <formula>"NEMA"</formula>
    </cfRule>
  </conditionalFormatting>
  <conditionalFormatting sqref="DQ4">
    <cfRule type="cellIs" dxfId="65" priority="66" operator="equal">
      <formula>"NEMA"</formula>
    </cfRule>
  </conditionalFormatting>
  <conditionalFormatting sqref="DN4">
    <cfRule type="cellIs" dxfId="64" priority="65" operator="equal">
      <formula>"NEMA"</formula>
    </cfRule>
  </conditionalFormatting>
  <conditionalFormatting sqref="DI4">
    <cfRule type="cellIs" dxfId="63" priority="64" operator="equal">
      <formula>"NEMA"</formula>
    </cfRule>
  </conditionalFormatting>
  <conditionalFormatting sqref="CC12:CC1048576">
    <cfRule type="cellIs" dxfId="62" priority="62" operator="equal">
      <formula>"NEMA"</formula>
    </cfRule>
  </conditionalFormatting>
  <conditionalFormatting sqref="CC11">
    <cfRule type="cellIs" dxfId="61" priority="61" operator="equal">
      <formula>"NEMA"</formula>
    </cfRule>
  </conditionalFormatting>
  <conditionalFormatting sqref="CB12:CB1048576">
    <cfRule type="cellIs" dxfId="60" priority="59" operator="equal">
      <formula>"NEMA"</formula>
    </cfRule>
  </conditionalFormatting>
  <conditionalFormatting sqref="CB11">
    <cfRule type="cellIs" dxfId="59" priority="58" operator="equal">
      <formula>"NEMA"</formula>
    </cfRule>
  </conditionalFormatting>
  <conditionalFormatting sqref="CI6:CI7">
    <cfRule type="cellIs" dxfId="58" priority="56" operator="equal">
      <formula>"NEMA"</formula>
    </cfRule>
  </conditionalFormatting>
  <conditionalFormatting sqref="CI11">
    <cfRule type="cellIs" dxfId="57" priority="55" operator="equal">
      <formula>"NEMA"</formula>
    </cfRule>
  </conditionalFormatting>
  <conditionalFormatting sqref="AR13:AR412">
    <cfRule type="cellIs" dxfId="56" priority="101" operator="notEqual">
      <formula>$AO13</formula>
    </cfRule>
  </conditionalFormatting>
  <conditionalFormatting sqref="DV10:DY12">
    <cfRule type="cellIs" dxfId="55" priority="51" operator="equal">
      <formula>"NEMA"</formula>
    </cfRule>
  </conditionalFormatting>
  <conditionalFormatting sqref="DV230:DY1048576 DV14:DY129">
    <cfRule type="cellIs" dxfId="54" priority="50" operator="equal">
      <formula>"NEMA"</formula>
    </cfRule>
  </conditionalFormatting>
  <conditionalFormatting sqref="DV130:DY229">
    <cfRule type="cellIs" dxfId="53" priority="49" operator="equal">
      <formula>"NEMA"</formula>
    </cfRule>
  </conditionalFormatting>
  <conditionalFormatting sqref="DV13:DY13">
    <cfRule type="cellIs" dxfId="52" priority="48" operator="equal">
      <formula>"NEMA"</formula>
    </cfRule>
  </conditionalFormatting>
  <conditionalFormatting sqref="DV8:DY8">
    <cfRule type="cellIs" dxfId="51" priority="47" operator="equal">
      <formula>"NEMA"</formula>
    </cfRule>
  </conditionalFormatting>
  <conditionalFormatting sqref="DV4:DY4">
    <cfRule type="cellIs" dxfId="50" priority="46" operator="equal">
      <formula>"NEMA"</formula>
    </cfRule>
  </conditionalFormatting>
  <conditionalFormatting sqref="EN6:EN7">
    <cfRule type="cellIs" dxfId="49" priority="45" operator="equal">
      <formula>"NEMA"</formula>
    </cfRule>
  </conditionalFormatting>
  <conditionalFormatting sqref="EN11">
    <cfRule type="cellIs" dxfId="48" priority="44" operator="equal">
      <formula>"NEMA"</formula>
    </cfRule>
  </conditionalFormatting>
  <conditionalFormatting sqref="EP6:EP7">
    <cfRule type="cellIs" dxfId="47" priority="43" operator="equal">
      <formula>"NEMA"</formula>
    </cfRule>
  </conditionalFormatting>
  <conditionalFormatting sqref="EP11">
    <cfRule type="cellIs" dxfId="46" priority="42" operator="equal">
      <formula>"NEMA"</formula>
    </cfRule>
  </conditionalFormatting>
  <conditionalFormatting sqref="ER6:ER7">
    <cfRule type="cellIs" dxfId="45" priority="41" operator="equal">
      <formula>"NEMA"</formula>
    </cfRule>
  </conditionalFormatting>
  <conditionalFormatting sqref="AM3 AO3:AQ3">
    <cfRule type="cellIs" dxfId="44" priority="39" operator="equal">
      <formula>"NEMA"</formula>
    </cfRule>
  </conditionalFormatting>
  <conditionalFormatting sqref="DQ3">
    <cfRule type="cellIs" dxfId="43" priority="38" operator="equal">
      <formula>"NEMA"</formula>
    </cfRule>
  </conditionalFormatting>
  <conditionalFormatting sqref="DN3">
    <cfRule type="cellIs" dxfId="42" priority="37" operator="equal">
      <formula>"NEMA"</formula>
    </cfRule>
  </conditionalFormatting>
  <conditionalFormatting sqref="DI3">
    <cfRule type="cellIs" dxfId="41" priority="36" operator="equal">
      <formula>"NEMA"</formula>
    </cfRule>
  </conditionalFormatting>
  <conditionalFormatting sqref="AA3">
    <cfRule type="cellIs" dxfId="40" priority="35" operator="equal">
      <formula>"NEMA"</formula>
    </cfRule>
  </conditionalFormatting>
  <conditionalFormatting sqref="CC3">
    <cfRule type="cellIs" dxfId="39" priority="34" operator="equal">
      <formula>"NEMA"</formula>
    </cfRule>
  </conditionalFormatting>
  <conditionalFormatting sqref="CB3">
    <cfRule type="cellIs" dxfId="38" priority="33" operator="equal">
      <formula>"NEMA"</formula>
    </cfRule>
  </conditionalFormatting>
  <conditionalFormatting sqref="DV3:DY3">
    <cfRule type="cellIs" dxfId="37" priority="32" operator="equal">
      <formula>"NEMA"</formula>
    </cfRule>
  </conditionalFormatting>
  <conditionalFormatting sqref="AN10 AN12:AN1048576">
    <cfRule type="cellIs" dxfId="36" priority="31" operator="equal">
      <formula>"NEMA"</formula>
    </cfRule>
  </conditionalFormatting>
  <conditionalFormatting sqref="AN11">
    <cfRule type="cellIs" dxfId="35" priority="30" operator="equal">
      <formula>"NEMA"</formula>
    </cfRule>
  </conditionalFormatting>
  <conditionalFormatting sqref="AN3">
    <cfRule type="cellIs" dxfId="34" priority="27" operator="equal">
      <formula>"NEMA"</formula>
    </cfRule>
  </conditionalFormatting>
  <conditionalFormatting sqref="AN4 AN6:AN7">
    <cfRule type="cellIs" dxfId="33" priority="28" operator="equal">
      <formula>"NEMA"</formula>
    </cfRule>
  </conditionalFormatting>
  <conditionalFormatting sqref="CO13:CO412">
    <cfRule type="cellIs" dxfId="32" priority="26" operator="equal">
      <formula>"NEMA"</formula>
    </cfRule>
  </conditionalFormatting>
  <conditionalFormatting sqref="AW10 AW4 AW12:AW1048576">
    <cfRule type="cellIs" dxfId="31" priority="25" operator="equal">
      <formula>"NEMA"</formula>
    </cfRule>
  </conditionalFormatting>
  <conditionalFormatting sqref="AW11">
    <cfRule type="cellIs" dxfId="30" priority="24" operator="equal">
      <formula>"NEMA"</formula>
    </cfRule>
  </conditionalFormatting>
  <conditionalFormatting sqref="AW3">
    <cfRule type="cellIs" dxfId="29" priority="23" operator="equal">
      <formula>"NEMA"</formula>
    </cfRule>
  </conditionalFormatting>
  <conditionalFormatting sqref="EG7">
    <cfRule type="cellIs" dxfId="28" priority="22" operator="equal">
      <formula>"NEMA"</formula>
    </cfRule>
  </conditionalFormatting>
  <conditionalFormatting sqref="EG5">
    <cfRule type="cellIs" dxfId="27" priority="21" operator="equal">
      <formula>"NEMA"</formula>
    </cfRule>
  </conditionalFormatting>
  <conditionalFormatting sqref="EG6">
    <cfRule type="cellIs" dxfId="26" priority="20" operator="equal">
      <formula>"NEMA"</formula>
    </cfRule>
  </conditionalFormatting>
  <conditionalFormatting sqref="AX6:AX7 AX10 AX4 AX12:AX1048576">
    <cfRule type="cellIs" dxfId="25" priority="19" operator="equal">
      <formula>"NEMA"</formula>
    </cfRule>
  </conditionalFormatting>
  <conditionalFormatting sqref="AX11">
    <cfRule type="cellIs" dxfId="24" priority="18" operator="equal">
      <formula>"NEMA"</formula>
    </cfRule>
  </conditionalFormatting>
  <conditionalFormatting sqref="AX3">
    <cfRule type="cellIs" dxfId="23" priority="17" operator="equal">
      <formula>"NEMA"</formula>
    </cfRule>
  </conditionalFormatting>
  <conditionalFormatting sqref="BU5">
    <cfRule type="cellIs" dxfId="22" priority="14" operator="equal">
      <formula>"NEMA"</formula>
    </cfRule>
  </conditionalFormatting>
  <conditionalFormatting sqref="BU6">
    <cfRule type="cellIs" dxfId="21" priority="13" operator="equal">
      <formula>"NEMA"</formula>
    </cfRule>
  </conditionalFormatting>
  <conditionalFormatting sqref="BW6">
    <cfRule type="cellIs" dxfId="20" priority="11" operator="equal">
      <formula>"NEMA"</formula>
    </cfRule>
  </conditionalFormatting>
  <conditionalFormatting sqref="BW5">
    <cfRule type="cellIs" dxfId="19" priority="12" operator="equal">
      <formula>"NEMA"</formula>
    </cfRule>
  </conditionalFormatting>
  <conditionalFormatting sqref="BU13:BU412">
    <cfRule type="cellIs" dxfId="18" priority="10" operator="equal">
      <formula>5</formula>
    </cfRule>
  </conditionalFormatting>
  <conditionalFormatting sqref="DL10:DL12">
    <cfRule type="cellIs" dxfId="17" priority="9" operator="equal">
      <formula>"NEMA"</formula>
    </cfRule>
  </conditionalFormatting>
  <conditionalFormatting sqref="DL230:DL1048576 DL14:DL129">
    <cfRule type="cellIs" dxfId="16" priority="8" operator="equal">
      <formula>"NEMA"</formula>
    </cfRule>
  </conditionalFormatting>
  <conditionalFormatting sqref="DL130:DL229">
    <cfRule type="cellIs" dxfId="15" priority="7" operator="equal">
      <formula>"NEMA"</formula>
    </cfRule>
  </conditionalFormatting>
  <conditionalFormatting sqref="DL13">
    <cfRule type="cellIs" dxfId="14" priority="6" operator="equal">
      <formula>"NEMA"</formula>
    </cfRule>
  </conditionalFormatting>
  <conditionalFormatting sqref="DL8">
    <cfRule type="cellIs" dxfId="13" priority="5" operator="equal">
      <formula>"NEMA"</formula>
    </cfRule>
  </conditionalFormatting>
  <conditionalFormatting sqref="DL4">
    <cfRule type="cellIs" dxfId="12" priority="4" operator="equal">
      <formula>"NEMA"</formula>
    </cfRule>
  </conditionalFormatting>
  <conditionalFormatting sqref="DL3">
    <cfRule type="cellIs" dxfId="11" priority="3" operator="equal">
      <formula>"NEMA"</formula>
    </cfRule>
  </conditionalFormatting>
  <conditionalFormatting sqref="BC13:BD412">
    <cfRule type="cellIs" dxfId="10" priority="2" operator="equal">
      <formula>"NEMA"</formula>
    </cfRule>
  </conditionalFormatting>
  <conditionalFormatting sqref="AY13:AY412">
    <cfRule type="cellIs" dxfId="9" priority="1" operator="notEqual">
      <formula>$AO13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29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9" t="s">
        <v>46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1"/>
    </row>
    <row r="3" spans="1:26" ht="15.75" thickBot="1" x14ac:dyDescent="0.3"/>
    <row r="4" spans="1:26" ht="21.75" thickBot="1" x14ac:dyDescent="0.4">
      <c r="B4" s="312" t="s">
        <v>147</v>
      </c>
      <c r="C4" s="313"/>
      <c r="D4" s="313"/>
      <c r="E4" s="314"/>
      <c r="F4" t="s">
        <v>0</v>
      </c>
      <c r="G4" s="318" t="s">
        <v>148</v>
      </c>
      <c r="H4" s="319"/>
      <c r="J4" s="312" t="s">
        <v>163</v>
      </c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4"/>
      <c r="W4" s="315" t="s">
        <v>47</v>
      </c>
      <c r="X4" s="316"/>
      <c r="Y4" s="317"/>
    </row>
    <row r="5" spans="1:26" x14ac:dyDescent="0.25">
      <c r="F5" t="s">
        <v>0</v>
      </c>
      <c r="X5" t="s">
        <v>0</v>
      </c>
    </row>
    <row r="6" spans="1:26" x14ac:dyDescent="0.25">
      <c r="B6" s="63" t="s">
        <v>75</v>
      </c>
      <c r="C6" s="71" t="s">
        <v>34</v>
      </c>
      <c r="D6" s="71" t="s">
        <v>143</v>
      </c>
      <c r="E6" s="64" t="s">
        <v>144</v>
      </c>
      <c r="F6" t="s">
        <v>0</v>
      </c>
      <c r="G6" s="25" t="s">
        <v>146</v>
      </c>
      <c r="H6" s="26" t="s">
        <v>37</v>
      </c>
      <c r="J6" s="77" t="s">
        <v>230</v>
      </c>
      <c r="L6" s="63" t="s">
        <v>157</v>
      </c>
      <c r="M6" s="68" t="s">
        <v>229</v>
      </c>
      <c r="N6" s="68" t="s">
        <v>35</v>
      </c>
      <c r="O6" s="68" t="s">
        <v>35</v>
      </c>
      <c r="P6" s="71" t="s">
        <v>36</v>
      </c>
      <c r="Q6" s="249" t="s">
        <v>38</v>
      </c>
      <c r="R6" s="249" t="s">
        <v>39</v>
      </c>
      <c r="S6" s="249" t="s">
        <v>145</v>
      </c>
      <c r="T6" s="249" t="s">
        <v>40</v>
      </c>
      <c r="U6" s="217" t="s">
        <v>16</v>
      </c>
      <c r="W6" s="250" t="s">
        <v>50</v>
      </c>
      <c r="X6" t="s">
        <v>0</v>
      </c>
      <c r="Y6" s="250" t="s">
        <v>219</v>
      </c>
      <c r="Z6" t="s">
        <v>0</v>
      </c>
    </row>
    <row r="7" spans="1:26" ht="7.5" customHeight="1" thickBot="1" x14ac:dyDescent="0.3">
      <c r="F7" t="s">
        <v>0</v>
      </c>
      <c r="G7" s="251"/>
      <c r="H7" s="251"/>
      <c r="N7" s="252">
        <f>data_max_staza_id</f>
        <v>12</v>
      </c>
      <c r="O7" s="252">
        <f>data_max_staza_id</f>
        <v>12</v>
      </c>
      <c r="Q7" s="253"/>
      <c r="R7" s="253"/>
      <c r="S7" s="253"/>
      <c r="T7" s="253"/>
      <c r="W7" s="251"/>
      <c r="X7" t="s">
        <v>0</v>
      </c>
      <c r="Y7" s="254"/>
      <c r="Z7" t="s">
        <v>0</v>
      </c>
    </row>
    <row r="8" spans="1:26" ht="16.5" thickTop="1" thickBot="1" x14ac:dyDescent="0.3">
      <c r="B8" s="50" t="str">
        <f>IF(csv!F3="","",csv!T3)</f>
        <v>M12</v>
      </c>
      <c r="C8" s="28" t="str">
        <f>IF(csv!F3="","",csv!AO3)</f>
        <v>M12</v>
      </c>
      <c r="D8" s="28" t="str">
        <f>IF(csv!F3="","",csv!AP3&amp;"–"&amp;csv!AQ3&amp;"–"&amp;csv!AR3)</f>
        <v>1.93–30–7</v>
      </c>
      <c r="E8" s="65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35–59–60–66–34–38–100––––––––––––––––––––––</v>
      </c>
      <c r="F8" t="s">
        <v>0</v>
      </c>
      <c r="G8" s="100" t="s">
        <v>886</v>
      </c>
      <c r="H8" s="102">
        <v>11</v>
      </c>
      <c r="J8" s="255">
        <f t="shared" ref="J8:J39" si="0">IF(U8="","",IF(H8=H7,J7,U8))</f>
        <v>1</v>
      </c>
      <c r="L8" s="50" t="str">
        <f t="shared" ref="L8:L39" si="1">IF(G8="","",INDEX(regKategorija_oznaka,MATCH(INDEX(natKategorija_katRegId,MATCH(G8,natKategorija_kategorija,0)),regKategorija_id,0)))</f>
        <v>M21A</v>
      </c>
      <c r="M8" s="72">
        <f t="shared" ref="M8:M39" si="2">IF(L8="","",INDEX(regKategorija_rbr,MATCH(L8,regKategorija_oznaka,0)))</f>
        <v>1</v>
      </c>
      <c r="N8" s="72">
        <f>IF(H8="","",IF(COUNTIF(H$7:H7,H8)=0,MAX(N$7:N7)+1,MAX(N$7:N7)))</f>
        <v>13</v>
      </c>
      <c r="O8" s="72">
        <f>IF(N8="","",IF(N8&lt;&gt;N7,N8,""))</f>
        <v>13</v>
      </c>
      <c r="P8" s="28" t="str">
        <f t="shared" ref="P8:P39" si="3">IF(L8="","",IF(H8&lt;&gt;H9,L8,L8&amp;" – "&amp;P9))</f>
        <v>M21A</v>
      </c>
      <c r="Q8" s="256" t="str">
        <f t="shared" ref="Q8:Q39" si="4">IF(O8="","",INDEX(csv,MATCH($G8,nat_kategorija,0),41))</f>
        <v>9.14</v>
      </c>
      <c r="R8" s="256">
        <f>IF(Q8="","",VALUE(SUBSTITUTE(Q8,".",","))*1000)</f>
        <v>9140</v>
      </c>
      <c r="S8" s="256" t="str">
        <f t="shared" ref="S8:S39" si="5">IF(O8="","",INDEX(csv,MATCH($G8,nat_kategorija,0),42))</f>
        <v>460</v>
      </c>
      <c r="T8" s="256" t="str">
        <f t="shared" ref="T8:T39" si="6">IF(O8="","",INDEX(csv,MATCH($G8,nat_kategorija,0),43))</f>
        <v>17</v>
      </c>
      <c r="U8" s="29">
        <f t="shared" ref="U8:U39" si="7">IF(L8="","",IF(H8&lt;&gt;H9,M8,MIN(M8,IF(U9="",9999,U9))))</f>
        <v>1</v>
      </c>
      <c r="W8" s="257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(13,1002,'M21A',9140,460,17,1);</v>
      </c>
      <c r="X8" t="s">
        <v>0</v>
      </c>
      <c r="Y8" s="258" t="str">
        <f t="shared" ref="Y8:Y56" si="9">W8&amp;IF(Y9="","","
"&amp;Y9)</f>
        <v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8" t="s">
        <v>0</v>
      </c>
    </row>
    <row r="9" spans="1:26" ht="15.75" thickTop="1" x14ac:dyDescent="0.25">
      <c r="B9" s="52" t="str">
        <f>IF(csv!F4="","",csv!T4)</f>
        <v>M12</v>
      </c>
      <c r="C9" s="31" t="str">
        <f>IF(csv!F4="","",csv!AO4)</f>
        <v>M12</v>
      </c>
      <c r="D9" s="31" t="str">
        <f>IF(csv!F4="","",csv!AP4&amp;"–"&amp;csv!AQ4&amp;"–"&amp;csv!AR4)</f>
        <v>1.93–30–7</v>
      </c>
      <c r="E9" s="66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35–59–60–66–34–38–100––––––––––––––––––––––</v>
      </c>
      <c r="F9" t="s">
        <v>0</v>
      </c>
      <c r="G9" s="103" t="s">
        <v>3001</v>
      </c>
      <c r="H9" s="105">
        <v>7</v>
      </c>
      <c r="J9" s="259">
        <f t="shared" si="0"/>
        <v>2</v>
      </c>
      <c r="L9" s="52" t="str">
        <f t="shared" si="1"/>
        <v>Ž21A</v>
      </c>
      <c r="M9" s="73">
        <f t="shared" si="2"/>
        <v>2</v>
      </c>
      <c r="N9" s="73">
        <f>IF(H9="","",IF(COUNTIF(H$7:H8,H9)=0,MAX(N$7:N8)+1,MAX(N$7:N8)))</f>
        <v>14</v>
      </c>
      <c r="O9" s="73">
        <f t="shared" ref="O9:O72" si="10">IF(N9="","",IF(N9&lt;&gt;N8,N9,""))</f>
        <v>14</v>
      </c>
      <c r="P9" s="31" t="str">
        <f t="shared" si="3"/>
        <v>Ž21A</v>
      </c>
      <c r="Q9" s="260" t="str">
        <f t="shared" si="4"/>
        <v>5.91</v>
      </c>
      <c r="R9" s="260">
        <f t="shared" ref="R9:R57" si="11">IF(Q9="","",VALUE(SUBSTITUTE(Q9,".",","))*1000)</f>
        <v>5910</v>
      </c>
      <c r="S9" s="260" t="str">
        <f t="shared" si="5"/>
        <v>270</v>
      </c>
      <c r="T9" s="260" t="str">
        <f t="shared" si="6"/>
        <v>12</v>
      </c>
      <c r="U9" s="32">
        <f t="shared" si="7"/>
        <v>2</v>
      </c>
      <c r="W9" s="19" t="str">
        <f t="shared" si="8"/>
        <v>INSERT INTO staza (id,trka_id,naziv,duljina,uspon,broj_kontrola,rbr) VALUES (14,1002,'Ž21A',5910,270,12,2);</v>
      </c>
      <c r="X9" t="s">
        <v>0</v>
      </c>
      <c r="Y9" s="261" t="str">
        <f t="shared" si="9"/>
        <v>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9" t="s">
        <v>0</v>
      </c>
    </row>
    <row r="10" spans="1:26" x14ac:dyDescent="0.25">
      <c r="A10" s="21"/>
      <c r="B10" s="52" t="str">
        <f>IF(csv!F5="","",csv!T5)</f>
        <v>M12</v>
      </c>
      <c r="C10" s="31" t="str">
        <f>IF(csv!F5="","",csv!AO5)</f>
        <v>M12</v>
      </c>
      <c r="D10" s="31" t="str">
        <f>IF(csv!F5="","",csv!AP5&amp;"–"&amp;csv!AQ5&amp;"–"&amp;csv!AR5)</f>
        <v>1.93–30–7</v>
      </c>
      <c r="E10" s="66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35–59–60–66–34–38–100––––––––––––––––––––––</v>
      </c>
      <c r="F10" t="s">
        <v>0</v>
      </c>
      <c r="G10" s="103" t="s">
        <v>2403</v>
      </c>
      <c r="H10" s="105">
        <v>14</v>
      </c>
      <c r="J10" s="259">
        <f t="shared" si="0"/>
        <v>3</v>
      </c>
      <c r="L10" s="52" t="str">
        <f t="shared" si="1"/>
        <v>M70</v>
      </c>
      <c r="M10" s="73">
        <f t="shared" si="2"/>
        <v>3</v>
      </c>
      <c r="N10" s="73">
        <f>IF(H10="","",IF(COUNTIF(H$7:H9,H10)=0,MAX(N$7:N9)+1,MAX(N$7:N9)))</f>
        <v>15</v>
      </c>
      <c r="O10" s="73">
        <f t="shared" si="10"/>
        <v>15</v>
      </c>
      <c r="P10" s="31" t="str">
        <f t="shared" si="3"/>
        <v>M70 – M65</v>
      </c>
      <c r="Q10" s="260" t="str">
        <f t="shared" si="4"/>
        <v>3.17</v>
      </c>
      <c r="R10" s="260">
        <f t="shared" si="11"/>
        <v>3170</v>
      </c>
      <c r="S10" s="260" t="str">
        <f t="shared" si="5"/>
        <v>95</v>
      </c>
      <c r="T10" s="260" t="str">
        <f t="shared" si="6"/>
        <v>6</v>
      </c>
      <c r="U10" s="32">
        <f t="shared" si="7"/>
        <v>3</v>
      </c>
      <c r="W10" s="19" t="str">
        <f t="shared" si="8"/>
        <v>INSERT INTO staza (id,trka_id,naziv,duljina,uspon,broj_kontrola,rbr) VALUES (15,1002,'M70 – M65',3170,95,6,3);</v>
      </c>
      <c r="X10" t="s">
        <v>0</v>
      </c>
      <c r="Y10" s="19" t="str">
        <f t="shared" si="9"/>
        <v>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0" t="s">
        <v>0</v>
      </c>
    </row>
    <row r="11" spans="1:26" x14ac:dyDescent="0.25">
      <c r="B11" s="52" t="str">
        <f>IF(csv!F6="","",csv!T6)</f>
        <v>M12</v>
      </c>
      <c r="C11" s="31" t="str">
        <f>IF(csv!F6="","",csv!AO6)</f>
        <v>M12</v>
      </c>
      <c r="D11" s="31" t="str">
        <f>IF(csv!F6="","",csv!AP6&amp;"–"&amp;csv!AQ6&amp;"–"&amp;csv!AR6)</f>
        <v>1.93–30–7</v>
      </c>
      <c r="E11" s="66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35–59–60–66–34–38–100––––––––––––––––––––––</v>
      </c>
      <c r="F11" t="s">
        <v>0</v>
      </c>
      <c r="G11" s="103" t="s">
        <v>2367</v>
      </c>
      <c r="H11" s="105">
        <v>14</v>
      </c>
      <c r="J11" s="259">
        <f t="shared" si="0"/>
        <v>3</v>
      </c>
      <c r="L11" s="52" t="str">
        <f t="shared" si="1"/>
        <v>M65</v>
      </c>
      <c r="M11" s="73">
        <f t="shared" si="2"/>
        <v>4</v>
      </c>
      <c r="N11" s="73">
        <f>IF(H11="","",IF(COUNTIF(H$7:H10,H11)=0,MAX(N$7:N10)+1,MAX(N$7:N10)))</f>
        <v>15</v>
      </c>
      <c r="O11" s="73" t="str">
        <f t="shared" si="10"/>
        <v/>
      </c>
      <c r="P11" s="31" t="str">
        <f t="shared" si="3"/>
        <v>M65</v>
      </c>
      <c r="Q11" s="260" t="str">
        <f t="shared" ref="Q11:Q15" si="12">IF(O11="","",INDEX(csv,MATCH($G11,nat_kategorija,0),41))</f>
        <v/>
      </c>
      <c r="R11" s="260" t="str">
        <f t="shared" ref="R11:R15" si="13">IF(Q11="","",VALUE(SUBSTITUTE(Q11,".",","))*1000)</f>
        <v/>
      </c>
      <c r="S11" s="260" t="str">
        <f t="shared" ref="S11:S15" si="14">IF(O11="","",INDEX(csv,MATCH($G11,nat_kategorija,0),42))</f>
        <v/>
      </c>
      <c r="T11" s="260" t="str">
        <f t="shared" si="6"/>
        <v/>
      </c>
      <c r="U11" s="32">
        <f t="shared" si="7"/>
        <v>4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1" t="s">
        <v>0</v>
      </c>
    </row>
    <row r="12" spans="1:26" x14ac:dyDescent="0.25">
      <c r="A12" t="s">
        <v>0</v>
      </c>
      <c r="B12" s="52" t="str">
        <f>IF(csv!F7="","",csv!T7)</f>
        <v>M12</v>
      </c>
      <c r="C12" s="31" t="str">
        <f>IF(csv!F7="","",csv!AO7)</f>
        <v>M12</v>
      </c>
      <c r="D12" s="31" t="str">
        <f>IF(csv!F7="","",csv!AP7&amp;"–"&amp;csv!AQ7&amp;"–"&amp;csv!AR7)</f>
        <v>1.93–30–7</v>
      </c>
      <c r="E12" s="66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35–59–60–66–34–38–100––––––––––––––––––––––</v>
      </c>
      <c r="F12" t="s">
        <v>0</v>
      </c>
      <c r="G12" s="103" t="s">
        <v>2195</v>
      </c>
      <c r="H12" s="105">
        <v>1</v>
      </c>
      <c r="J12" s="259">
        <f t="shared" si="0"/>
        <v>5</v>
      </c>
      <c r="L12" s="52" t="str">
        <f t="shared" si="1"/>
        <v>M55</v>
      </c>
      <c r="M12" s="73">
        <f t="shared" si="2"/>
        <v>5</v>
      </c>
      <c r="N12" s="73">
        <f>IF(H12="","",IF(COUNTIF(H$7:H11,H12)=0,MAX(N$7:N11)+1,MAX(N$7:N11)))</f>
        <v>16</v>
      </c>
      <c r="O12" s="73">
        <f t="shared" si="10"/>
        <v>16</v>
      </c>
      <c r="P12" s="31" t="str">
        <f t="shared" si="3"/>
        <v>M55</v>
      </c>
      <c r="Q12" s="260" t="str">
        <f t="shared" si="12"/>
        <v>3.63</v>
      </c>
      <c r="R12" s="260">
        <f t="shared" si="13"/>
        <v>3630</v>
      </c>
      <c r="S12" s="260" t="str">
        <f t="shared" si="14"/>
        <v>150</v>
      </c>
      <c r="T12" s="260" t="str">
        <f t="shared" si="6"/>
        <v>7</v>
      </c>
      <c r="U12" s="32">
        <f t="shared" si="7"/>
        <v>5</v>
      </c>
      <c r="W12" s="19" t="str">
        <f t="shared" si="8"/>
        <v>INSERT INTO staza (id,trka_id,naziv,duljina,uspon,broj_kontrola,rbr) VALUES (16,1002,'M55',3630,150,7,5);</v>
      </c>
      <c r="X12" t="s">
        <v>0</v>
      </c>
      <c r="Y12" s="19" t="str">
        <f t="shared" si="9"/>
        <v>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2" t="s">
        <v>0</v>
      </c>
    </row>
    <row r="13" spans="1:26" x14ac:dyDescent="0.25">
      <c r="A13" t="s">
        <v>0</v>
      </c>
      <c r="B13" s="52" t="str">
        <f>IF(csv!F8="","",csv!T8)</f>
        <v>M12</v>
      </c>
      <c r="C13" s="31" t="str">
        <f>IF(csv!F8="","",csv!AO8)</f>
        <v>M12</v>
      </c>
      <c r="D13" s="31" t="str">
        <f>IF(csv!F8="","",csv!AP8&amp;"–"&amp;csv!AQ8&amp;"–"&amp;csv!AR8)</f>
        <v>1.93–30–7</v>
      </c>
      <c r="E13" s="66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/>
      </c>
      <c r="F13" t="s">
        <v>0</v>
      </c>
      <c r="G13" s="103" t="s">
        <v>1909</v>
      </c>
      <c r="H13" s="105">
        <v>12</v>
      </c>
      <c r="J13" s="259">
        <f t="shared" si="0"/>
        <v>6</v>
      </c>
      <c r="L13" s="52" t="str">
        <f t="shared" si="1"/>
        <v>M45</v>
      </c>
      <c r="M13" s="73">
        <f t="shared" si="2"/>
        <v>6</v>
      </c>
      <c r="N13" s="73">
        <f>IF(H13="","",IF(COUNTIF(H$7:H12,H13)=0,MAX(N$7:N12)+1,MAX(N$7:N12)))</f>
        <v>17</v>
      </c>
      <c r="O13" s="73">
        <f t="shared" si="10"/>
        <v>17</v>
      </c>
      <c r="P13" s="31" t="str">
        <f t="shared" si="3"/>
        <v>M45</v>
      </c>
      <c r="Q13" s="260" t="str">
        <f t="shared" si="12"/>
        <v>4.77</v>
      </c>
      <c r="R13" s="260">
        <f t="shared" si="13"/>
        <v>4770</v>
      </c>
      <c r="S13" s="260" t="str">
        <f t="shared" si="14"/>
        <v>240</v>
      </c>
      <c r="T13" s="260" t="str">
        <f t="shared" si="6"/>
        <v>8</v>
      </c>
      <c r="U13" s="32">
        <f t="shared" si="7"/>
        <v>6</v>
      </c>
      <c r="W13" s="19" t="str">
        <f t="shared" si="8"/>
        <v>INSERT INTO staza (id,trka_id,naziv,duljina,uspon,broj_kontrola,rbr) VALUES (17,1002,'M45',4770,240,8,6);</v>
      </c>
      <c r="X13" t="s">
        <v>0</v>
      </c>
      <c r="Y13" s="19" t="str">
        <f t="shared" si="9"/>
        <v>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3" t="s">
        <v>0</v>
      </c>
    </row>
    <row r="14" spans="1:26" x14ac:dyDescent="0.25">
      <c r="A14" t="s">
        <v>0</v>
      </c>
      <c r="B14" s="52" t="str">
        <f>IF(csv!F9="","",csv!T9)</f>
        <v>M12</v>
      </c>
      <c r="C14" s="31" t="str">
        <f>IF(csv!F9="","",csv!AO9)</f>
        <v>M12</v>
      </c>
      <c r="D14" s="31" t="str">
        <f>IF(csv!F9="","",csv!AP9&amp;"–"&amp;csv!AQ9&amp;"–"&amp;csv!AR9)</f>
        <v>1.93–30–7</v>
      </c>
      <c r="E14" s="66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103" t="s">
        <v>1575</v>
      </c>
      <c r="H14" s="105">
        <v>6</v>
      </c>
      <c r="J14" s="259">
        <f t="shared" si="0"/>
        <v>7</v>
      </c>
      <c r="L14" s="52" t="str">
        <f t="shared" si="1"/>
        <v>M35</v>
      </c>
      <c r="M14" s="73">
        <f t="shared" si="2"/>
        <v>7</v>
      </c>
      <c r="N14" s="73">
        <f>IF(H14="","",IF(COUNTIF(H$7:H13,H14)=0,MAX(N$7:N13)+1,MAX(N$7:N13)))</f>
        <v>18</v>
      </c>
      <c r="O14" s="73">
        <f t="shared" si="10"/>
        <v>18</v>
      </c>
      <c r="P14" s="31" t="str">
        <f t="shared" si="3"/>
        <v>M35</v>
      </c>
      <c r="Q14" s="260" t="str">
        <f t="shared" si="12"/>
        <v>6.38</v>
      </c>
      <c r="R14" s="260">
        <f t="shared" si="13"/>
        <v>6380</v>
      </c>
      <c r="S14" s="260" t="str">
        <f t="shared" si="14"/>
        <v>325</v>
      </c>
      <c r="T14" s="260" t="str">
        <f t="shared" si="6"/>
        <v>13</v>
      </c>
      <c r="U14" s="32">
        <f t="shared" si="7"/>
        <v>7</v>
      </c>
      <c r="W14" s="19" t="str">
        <f t="shared" si="8"/>
        <v>INSERT INTO staza (id,trka_id,naziv,duljina,uspon,broj_kontrola,rbr) VALUES (18,1002,'M35',6380,325,13,7);</v>
      </c>
      <c r="X14" t="s">
        <v>0</v>
      </c>
      <c r="Y14" s="19" t="str">
        <f t="shared" si="9"/>
        <v>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4" t="s">
        <v>0</v>
      </c>
    </row>
    <row r="15" spans="1:26" x14ac:dyDescent="0.25">
      <c r="A15" t="s">
        <v>0</v>
      </c>
      <c r="B15" s="52" t="str">
        <f>IF(csv!F10="","",csv!T10)</f>
        <v>M12</v>
      </c>
      <c r="C15" s="31" t="str">
        <f>IF(csv!F10="","",csv!AO10)</f>
        <v>M12</v>
      </c>
      <c r="D15" s="31" t="str">
        <f>IF(csv!F10="","",csv!AP10&amp;"–"&amp;csv!AQ10&amp;"–"&amp;csv!AR10)</f>
        <v>1.93–30–7</v>
      </c>
      <c r="E15" s="66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103" t="s">
        <v>1130</v>
      </c>
      <c r="H15" s="105">
        <v>13</v>
      </c>
      <c r="J15" s="259">
        <f t="shared" si="0"/>
        <v>8</v>
      </c>
      <c r="L15" s="52" t="str">
        <f t="shared" si="1"/>
        <v>M21B</v>
      </c>
      <c r="M15" s="73">
        <f t="shared" si="2"/>
        <v>8</v>
      </c>
      <c r="N15" s="73">
        <f>IF(H15="","",IF(COUNTIF(H$7:H14,H15)=0,MAX(N$7:N14)+1,MAX(N$7:N14)))</f>
        <v>19</v>
      </c>
      <c r="O15" s="73">
        <f t="shared" si="10"/>
        <v>19</v>
      </c>
      <c r="P15" s="31" t="str">
        <f t="shared" si="3"/>
        <v>M21B – M16</v>
      </c>
      <c r="Q15" s="260" t="str">
        <f t="shared" si="12"/>
        <v>3.91</v>
      </c>
      <c r="R15" s="260">
        <f t="shared" si="13"/>
        <v>3910</v>
      </c>
      <c r="S15" s="260" t="str">
        <f t="shared" si="14"/>
        <v>125</v>
      </c>
      <c r="T15" s="260" t="str">
        <f t="shared" si="6"/>
        <v>8</v>
      </c>
      <c r="U15" s="32">
        <f t="shared" si="7"/>
        <v>8</v>
      </c>
      <c r="W15" s="19" t="str">
        <f t="shared" si="8"/>
        <v>INSERT INTO staza (id,trka_id,naziv,duljina,uspon,broj_kontrola,rbr) VALUES (19,1002,'M21B – M16',3910,125,8,8);</v>
      </c>
      <c r="X15" t="s">
        <v>0</v>
      </c>
      <c r="Y15" s="19" t="str">
        <f t="shared" si="9"/>
        <v>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5" t="s">
        <v>0</v>
      </c>
    </row>
    <row r="16" spans="1:26" x14ac:dyDescent="0.25">
      <c r="A16" t="s">
        <v>0</v>
      </c>
      <c r="B16" s="52" t="str">
        <f>IF(csv!F11="","",csv!T11)</f>
        <v>M12</v>
      </c>
      <c r="C16" s="31" t="str">
        <f>IF(csv!F11="","",csv!AO11)</f>
        <v>M12</v>
      </c>
      <c r="D16" s="31" t="str">
        <f>IF(csv!F11="","",csv!AP11&amp;"–"&amp;csv!AQ11&amp;"–"&amp;csv!AR11)</f>
        <v>1.93–30–7</v>
      </c>
      <c r="E16" s="66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103" t="s">
        <v>652</v>
      </c>
      <c r="H16" s="105">
        <v>13</v>
      </c>
      <c r="J16" s="259">
        <f t="shared" si="0"/>
        <v>8</v>
      </c>
      <c r="L16" s="52" t="str">
        <f t="shared" si="1"/>
        <v>M16</v>
      </c>
      <c r="M16" s="73">
        <f t="shared" si="2"/>
        <v>10</v>
      </c>
      <c r="N16" s="73">
        <f>IF(H16="","",IF(COUNTIF(H$7:H15,H16)=0,MAX(N$7:N15)+1,MAX(N$7:N15)))</f>
        <v>19</v>
      </c>
      <c r="O16" s="73" t="str">
        <f t="shared" si="10"/>
        <v/>
      </c>
      <c r="P16" s="31" t="str">
        <f t="shared" si="3"/>
        <v>M16</v>
      </c>
      <c r="Q16" s="260" t="str">
        <f t="shared" si="4"/>
        <v/>
      </c>
      <c r="R16" s="260" t="str">
        <f t="shared" si="11"/>
        <v/>
      </c>
      <c r="S16" s="260" t="str">
        <f t="shared" si="5"/>
        <v/>
      </c>
      <c r="T16" s="260" t="str">
        <f t="shared" si="6"/>
        <v/>
      </c>
      <c r="U16" s="32">
        <f t="shared" si="7"/>
        <v>10</v>
      </c>
      <c r="W16" s="19" t="str">
        <f t="shared" si="8"/>
        <v/>
      </c>
      <c r="X16" t="s">
        <v>0</v>
      </c>
      <c r="Y16" s="19" t="str">
        <f t="shared" si="9"/>
        <v xml:space="preserve">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6" t="s">
        <v>0</v>
      </c>
    </row>
    <row r="17" spans="1:26" x14ac:dyDescent="0.25">
      <c r="A17" t="s">
        <v>0</v>
      </c>
      <c r="B17" s="52" t="str">
        <f>IF(csv!F12="","",csv!T12)</f>
        <v>M12</v>
      </c>
      <c r="C17" s="31" t="str">
        <f>IF(csv!F12="","",csv!AO12)</f>
        <v>M12</v>
      </c>
      <c r="D17" s="31" t="str">
        <f>IF(csv!F12="","",csv!AP12&amp;"–"&amp;csv!AQ12&amp;"–"&amp;csv!AR12)</f>
        <v>1.93–30–7</v>
      </c>
      <c r="E17" s="66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3" t="s">
        <v>769</v>
      </c>
      <c r="H17" s="105">
        <v>9</v>
      </c>
      <c r="J17" s="259">
        <f t="shared" si="0"/>
        <v>9</v>
      </c>
      <c r="L17" s="52" t="str">
        <f t="shared" si="1"/>
        <v>M20</v>
      </c>
      <c r="M17" s="73">
        <f t="shared" si="2"/>
        <v>9</v>
      </c>
      <c r="N17" s="73">
        <f>IF(H17="","",IF(COUNTIF(H$7:H16,H17)=0,MAX(N$7:N16)+1,MAX(N$7:N16)))</f>
        <v>20</v>
      </c>
      <c r="O17" s="73">
        <f t="shared" si="10"/>
        <v>20</v>
      </c>
      <c r="P17" s="31" t="str">
        <f t="shared" si="3"/>
        <v>M20</v>
      </c>
      <c r="Q17" s="260" t="str">
        <f t="shared" si="4"/>
        <v>5.91</v>
      </c>
      <c r="R17" s="260">
        <f t="shared" si="11"/>
        <v>5910</v>
      </c>
      <c r="S17" s="260" t="str">
        <f t="shared" si="5"/>
        <v>290</v>
      </c>
      <c r="T17" s="260" t="str">
        <f t="shared" si="6"/>
        <v>10</v>
      </c>
      <c r="U17" s="32">
        <f t="shared" si="7"/>
        <v>9</v>
      </c>
      <c r="W17" s="19" t="str">
        <f t="shared" si="8"/>
        <v>INSERT INTO staza (id,trka_id,naziv,duljina,uspon,broj_kontrola,rbr) VALUES (20,1002,'M20',5910,290,10,9);</v>
      </c>
      <c r="X17" t="s">
        <v>0</v>
      </c>
      <c r="Y17" s="19" t="str">
        <f t="shared" si="9"/>
        <v>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7" t="s">
        <v>0</v>
      </c>
    </row>
    <row r="18" spans="1:26" x14ac:dyDescent="0.25">
      <c r="A18" t="s">
        <v>0</v>
      </c>
      <c r="B18" s="52" t="str">
        <f>IF(csv!F13="","",csv!T13)</f>
        <v>M12</v>
      </c>
      <c r="C18" s="31" t="str">
        <f>IF(csv!F13="","",csv!AO13)</f>
        <v>M12</v>
      </c>
      <c r="D18" s="31" t="str">
        <f>IF(csv!F13="","",csv!AP13&amp;"–"&amp;csv!AQ13&amp;"–"&amp;csv!AR13)</f>
        <v>1.93–30–7</v>
      </c>
      <c r="E18" s="66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103" t="s">
        <v>487</v>
      </c>
      <c r="H18" s="105">
        <v>15</v>
      </c>
      <c r="J18" s="259">
        <f t="shared" si="0"/>
        <v>11</v>
      </c>
      <c r="L18" s="52" t="str">
        <f t="shared" si="1"/>
        <v>M14</v>
      </c>
      <c r="M18" s="73">
        <f t="shared" si="2"/>
        <v>11</v>
      </c>
      <c r="N18" s="73">
        <f>IF(H18="","",IF(COUNTIF(H$7:H17,H18)=0,MAX(N$7:N17)+1,MAX(N$7:N17)))</f>
        <v>21</v>
      </c>
      <c r="O18" s="73">
        <f t="shared" si="10"/>
        <v>21</v>
      </c>
      <c r="P18" s="31" t="str">
        <f t="shared" si="3"/>
        <v>M14 – Ž14</v>
      </c>
      <c r="Q18" s="260" t="str">
        <f t="shared" si="4"/>
        <v>2.77</v>
      </c>
      <c r="R18" s="260">
        <f t="shared" si="11"/>
        <v>2770</v>
      </c>
      <c r="S18" s="260" t="str">
        <f t="shared" si="5"/>
        <v>65</v>
      </c>
      <c r="T18" s="260" t="str">
        <f t="shared" si="6"/>
        <v>9</v>
      </c>
      <c r="U18" s="32">
        <f t="shared" si="7"/>
        <v>11</v>
      </c>
      <c r="W18" s="19" t="str">
        <f t="shared" si="8"/>
        <v>INSERT INTO staza (id,trka_id,naziv,duljina,uspon,broj_kontrola,rbr) VALUES (21,1002,'M14 – Ž14',2770,65,9,11);</v>
      </c>
      <c r="X18" t="s">
        <v>0</v>
      </c>
      <c r="Y18" s="19" t="str">
        <f t="shared" si="9"/>
        <v>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8" t="s">
        <v>0</v>
      </c>
    </row>
    <row r="19" spans="1:26" x14ac:dyDescent="0.25">
      <c r="A19" t="s">
        <v>0</v>
      </c>
      <c r="B19" s="52" t="str">
        <f>IF(csv!F14="","",csv!T14)</f>
        <v>M14</v>
      </c>
      <c r="C19" s="31" t="str">
        <f>IF(csv!F14="","",csv!AO14)</f>
        <v>M14</v>
      </c>
      <c r="D19" s="31" t="str">
        <f>IF(csv!F14="","",csv!AP14&amp;"–"&amp;csv!AQ14&amp;"–"&amp;csv!AR14)</f>
        <v>2.77–65–9</v>
      </c>
      <c r="E19" s="66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65–59–72–69–67–68–70–38–100––––––––––––––––––––</v>
      </c>
      <c r="F19" t="s">
        <v>0</v>
      </c>
      <c r="G19" s="103" t="s">
        <v>2732</v>
      </c>
      <c r="H19" s="105">
        <v>15</v>
      </c>
      <c r="J19" s="259">
        <f t="shared" si="0"/>
        <v>11</v>
      </c>
      <c r="L19" s="52" t="str">
        <f t="shared" si="1"/>
        <v>Ž14</v>
      </c>
      <c r="M19" s="73">
        <f t="shared" si="2"/>
        <v>21</v>
      </c>
      <c r="N19" s="73">
        <f>IF(H19="","",IF(COUNTIF(H$7:H18,H19)=0,MAX(N$7:N18)+1,MAX(N$7:N18)))</f>
        <v>21</v>
      </c>
      <c r="O19" s="73" t="str">
        <f t="shared" si="10"/>
        <v/>
      </c>
      <c r="P19" s="31" t="str">
        <f t="shared" si="3"/>
        <v>Ž14</v>
      </c>
      <c r="Q19" s="260" t="str">
        <f t="shared" si="4"/>
        <v/>
      </c>
      <c r="R19" s="260" t="str">
        <f t="shared" si="11"/>
        <v/>
      </c>
      <c r="S19" s="260" t="str">
        <f t="shared" si="5"/>
        <v/>
      </c>
      <c r="T19" s="260" t="str">
        <f t="shared" si="6"/>
        <v/>
      </c>
      <c r="U19" s="32">
        <f t="shared" si="7"/>
        <v>21</v>
      </c>
      <c r="W19" s="19" t="str">
        <f t="shared" si="8"/>
        <v/>
      </c>
      <c r="X19" t="s">
        <v>0</v>
      </c>
      <c r="Y19" s="19" t="str">
        <f t="shared" si="9"/>
        <v xml:space="preserve">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9" t="s">
        <v>0</v>
      </c>
    </row>
    <row r="20" spans="1:26" x14ac:dyDescent="0.25">
      <c r="A20" t="s">
        <v>0</v>
      </c>
      <c r="B20" s="52" t="str">
        <f>IF(csv!F15="","",csv!T15)</f>
        <v>M14</v>
      </c>
      <c r="C20" s="31" t="str">
        <f>IF(csv!F15="","",csv!AO15)</f>
        <v>M14</v>
      </c>
      <c r="D20" s="31" t="str">
        <f>IF(csv!F15="","",csv!AP15&amp;"–"&amp;csv!AQ15&amp;"–"&amp;csv!AR15)</f>
        <v>2.77–65–9</v>
      </c>
      <c r="E20" s="66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65–59–72–69–67–68–70–38–100––––––––––––––––––––</v>
      </c>
      <c r="F20" t="s">
        <v>0</v>
      </c>
      <c r="G20" s="103" t="s">
        <v>364</v>
      </c>
      <c r="H20" s="105">
        <v>3</v>
      </c>
      <c r="J20" s="259">
        <f t="shared" si="0"/>
        <v>12</v>
      </c>
      <c r="L20" s="52" t="str">
        <f t="shared" si="1"/>
        <v>M12</v>
      </c>
      <c r="M20" s="73">
        <f t="shared" si="2"/>
        <v>12</v>
      </c>
      <c r="N20" s="73">
        <f>IF(H20="","",IF(COUNTIF(H$7:H19,H20)=0,MAX(N$7:N19)+1,MAX(N$7:N19)))</f>
        <v>22</v>
      </c>
      <c r="O20" s="73">
        <f t="shared" si="10"/>
        <v>22</v>
      </c>
      <c r="P20" s="31" t="str">
        <f t="shared" si="3"/>
        <v>M12 – Ž12</v>
      </c>
      <c r="Q20" s="260" t="str">
        <f t="shared" si="4"/>
        <v>1.93</v>
      </c>
      <c r="R20" s="260">
        <f t="shared" si="11"/>
        <v>1930</v>
      </c>
      <c r="S20" s="260" t="str">
        <f t="shared" si="5"/>
        <v>30</v>
      </c>
      <c r="T20" s="260" t="str">
        <f t="shared" si="6"/>
        <v>7</v>
      </c>
      <c r="U20" s="32">
        <f t="shared" si="7"/>
        <v>12</v>
      </c>
      <c r="W20" s="19" t="str">
        <f t="shared" si="8"/>
        <v>INSERT INTO staza (id,trka_id,naziv,duljina,uspon,broj_kontrola,rbr) VALUES (22,1002,'M12 – Ž12',1930,30,7,12);</v>
      </c>
      <c r="X20" t="s">
        <v>0</v>
      </c>
      <c r="Y20" s="19" t="str">
        <f t="shared" si="9"/>
        <v>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0" t="s">
        <v>0</v>
      </c>
    </row>
    <row r="21" spans="1:26" x14ac:dyDescent="0.25">
      <c r="A21" t="s">
        <v>0</v>
      </c>
      <c r="B21" s="52" t="str">
        <f>IF(csv!F16="","",csv!T16)</f>
        <v>M14</v>
      </c>
      <c r="C21" s="31" t="str">
        <f>IF(csv!F16="","",csv!AO16)</f>
        <v>M14</v>
      </c>
      <c r="D21" s="31" t="str">
        <f>IF(csv!F16="","",csv!AP16&amp;"–"&amp;csv!AQ16&amp;"–"&amp;csv!AR16)</f>
        <v>2.77–65–9</v>
      </c>
      <c r="E21" s="66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65–59–72–69–67–68–70–38–100––––––––––––––––––––</v>
      </c>
      <c r="F21" t="s">
        <v>0</v>
      </c>
      <c r="G21" s="103" t="s">
        <v>2637</v>
      </c>
      <c r="H21" s="105">
        <v>3</v>
      </c>
      <c r="J21" s="259">
        <f t="shared" si="0"/>
        <v>12</v>
      </c>
      <c r="L21" s="52" t="str">
        <f t="shared" si="1"/>
        <v>Ž12</v>
      </c>
      <c r="M21" s="73">
        <f t="shared" si="2"/>
        <v>22</v>
      </c>
      <c r="N21" s="73">
        <f>IF(H21="","",IF(COUNTIF(H$7:H20,H21)=0,MAX(N$7:N20)+1,MAX(N$7:N20)))</f>
        <v>22</v>
      </c>
      <c r="O21" s="73" t="str">
        <f t="shared" si="10"/>
        <v/>
      </c>
      <c r="P21" s="31" t="str">
        <f t="shared" si="3"/>
        <v>Ž12</v>
      </c>
      <c r="Q21" s="260" t="str">
        <f t="shared" si="4"/>
        <v/>
      </c>
      <c r="R21" s="260" t="str">
        <f t="shared" si="11"/>
        <v/>
      </c>
      <c r="S21" s="260" t="str">
        <f t="shared" si="5"/>
        <v/>
      </c>
      <c r="T21" s="260" t="str">
        <f t="shared" si="6"/>
        <v/>
      </c>
      <c r="U21" s="32">
        <f t="shared" si="7"/>
        <v>22</v>
      </c>
      <c r="W21" s="19" t="str">
        <f t="shared" si="8"/>
        <v/>
      </c>
      <c r="X21" t="s">
        <v>0</v>
      </c>
      <c r="Y21" s="19" t="str">
        <f t="shared" si="9"/>
        <v xml:space="preserve">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1" t="s">
        <v>0</v>
      </c>
    </row>
    <row r="22" spans="1:26" x14ac:dyDescent="0.25">
      <c r="A22" t="s">
        <v>0</v>
      </c>
      <c r="B22" s="52" t="str">
        <f>IF(csv!F17="","",csv!T17)</f>
        <v>M14</v>
      </c>
      <c r="C22" s="31" t="str">
        <f>IF(csv!F17="","",csv!AO17)</f>
        <v>M14</v>
      </c>
      <c r="D22" s="31" t="str">
        <f>IF(csv!F17="","",csv!AP17&amp;"–"&amp;csv!AQ17&amp;"–"&amp;csv!AR17)</f>
        <v>2.77–65–9</v>
      </c>
      <c r="E22" s="66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65–59–72–69–67–68–70–38–100––––––––––––––––––––</v>
      </c>
      <c r="F22" t="s">
        <v>0</v>
      </c>
      <c r="G22" s="103" t="s">
        <v>3680</v>
      </c>
      <c r="H22" s="105">
        <v>10</v>
      </c>
      <c r="J22" s="259">
        <f t="shared" si="0"/>
        <v>14</v>
      </c>
      <c r="L22" s="52" t="str">
        <f t="shared" si="1"/>
        <v>Ž65</v>
      </c>
      <c r="M22" s="73">
        <f t="shared" si="2"/>
        <v>14</v>
      </c>
      <c r="N22" s="73">
        <f>IF(H22="","",IF(COUNTIF(H$7:H21,H22)=0,MAX(N$7:N21)+1,MAX(N$7:N21)))</f>
        <v>23</v>
      </c>
      <c r="O22" s="73">
        <f t="shared" si="10"/>
        <v>23</v>
      </c>
      <c r="P22" s="31" t="str">
        <f t="shared" si="3"/>
        <v>Ž65</v>
      </c>
      <c r="Q22" s="260" t="str">
        <f t="shared" si="4"/>
        <v>2.33</v>
      </c>
      <c r="R22" s="260">
        <f t="shared" si="11"/>
        <v>2330</v>
      </c>
      <c r="S22" s="260" t="str">
        <f t="shared" si="5"/>
        <v>50</v>
      </c>
      <c r="T22" s="260" t="str">
        <f t="shared" si="6"/>
        <v>6</v>
      </c>
      <c r="U22" s="32">
        <f t="shared" si="7"/>
        <v>14</v>
      </c>
      <c r="W22" s="19" t="str">
        <f t="shared" si="8"/>
        <v>INSERT INTO staza (id,trka_id,naziv,duljina,uspon,broj_kontrola,rbr) VALUES (23,1002,'Ž65',2330,50,6,14);</v>
      </c>
      <c r="X22" t="s">
        <v>0</v>
      </c>
      <c r="Y22" s="19" t="str">
        <f t="shared" si="9"/>
        <v>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2" t="s">
        <v>0</v>
      </c>
    </row>
    <row r="23" spans="1:26" x14ac:dyDescent="0.25">
      <c r="A23" t="s">
        <v>0</v>
      </c>
      <c r="B23" s="52" t="str">
        <f>IF(csv!F18="","",csv!T18)</f>
        <v>M14</v>
      </c>
      <c r="C23" s="31" t="str">
        <f>IF(csv!F18="","",csv!AO18)</f>
        <v>M14</v>
      </c>
      <c r="D23" s="31" t="str">
        <f>IF(csv!F18="","",csv!AP18&amp;"–"&amp;csv!AQ18&amp;"–"&amp;csv!AR18)</f>
        <v>2.77–65–9</v>
      </c>
      <c r="E23" s="66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65–59–72–69–67–68–70–38–100––––––––––––––––––––</v>
      </c>
      <c r="F23" t="s">
        <v>0</v>
      </c>
      <c r="G23" s="103" t="s">
        <v>3619</v>
      </c>
      <c r="H23" s="105">
        <v>2</v>
      </c>
      <c r="J23" s="259">
        <f t="shared" si="0"/>
        <v>15</v>
      </c>
      <c r="L23" s="52" t="str">
        <f t="shared" si="1"/>
        <v>Ž55</v>
      </c>
      <c r="M23" s="73">
        <f t="shared" si="2"/>
        <v>15</v>
      </c>
      <c r="N23" s="73">
        <f>IF(H23="","",IF(COUNTIF(H$7:H22,H23)=0,MAX(N$7:N22)+1,MAX(N$7:N22)))</f>
        <v>24</v>
      </c>
      <c r="O23" s="73">
        <f t="shared" si="10"/>
        <v>24</v>
      </c>
      <c r="P23" s="31" t="str">
        <f t="shared" si="3"/>
        <v>Ž55</v>
      </c>
      <c r="Q23" s="260" t="str">
        <f t="shared" si="4"/>
        <v>2.81</v>
      </c>
      <c r="R23" s="260">
        <f t="shared" si="11"/>
        <v>2810</v>
      </c>
      <c r="S23" s="260" t="str">
        <f t="shared" si="5"/>
        <v>90</v>
      </c>
      <c r="T23" s="260" t="str">
        <f t="shared" si="6"/>
        <v>7</v>
      </c>
      <c r="U23" s="32">
        <f t="shared" si="7"/>
        <v>15</v>
      </c>
      <c r="W23" s="19" t="str">
        <f t="shared" si="8"/>
        <v>INSERT INTO staza (id,trka_id,naziv,duljina,uspon,broj_kontrola,rbr) VALUES (24,1002,'Ž55',2810,90,7,15);</v>
      </c>
      <c r="X23" t="s">
        <v>0</v>
      </c>
      <c r="Y23" s="19" t="str">
        <f t="shared" si="9"/>
        <v>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3" t="s">
        <v>0</v>
      </c>
    </row>
    <row r="24" spans="1:26" x14ac:dyDescent="0.25">
      <c r="A24" t="s">
        <v>0</v>
      </c>
      <c r="B24" s="52" t="str">
        <f>IF(csv!F19="","",csv!T19)</f>
        <v>M14</v>
      </c>
      <c r="C24" s="31" t="str">
        <f>IF(csv!F19="","",csv!AO19)</f>
        <v>M14</v>
      </c>
      <c r="D24" s="31" t="str">
        <f>IF(csv!F19="","",csv!AP19&amp;"–"&amp;csv!AQ19&amp;"–"&amp;csv!AR19)</f>
        <v>2.77–65–9</v>
      </c>
      <c r="E24" s="66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65–59–72–69–67–68–70–38–100––––––––––––––––––––</v>
      </c>
      <c r="F24" t="s">
        <v>0</v>
      </c>
      <c r="G24" s="103" t="s">
        <v>3443</v>
      </c>
      <c r="H24" s="105">
        <v>8</v>
      </c>
      <c r="J24" s="259">
        <f t="shared" si="0"/>
        <v>16</v>
      </c>
      <c r="L24" s="52" t="str">
        <f t="shared" si="1"/>
        <v>Ž45</v>
      </c>
      <c r="M24" s="73">
        <f t="shared" si="2"/>
        <v>16</v>
      </c>
      <c r="N24" s="73">
        <f>IF(H24="","",IF(COUNTIF(H$7:H23,H24)=0,MAX(N$7:N23)+1,MAX(N$7:N23)))</f>
        <v>25</v>
      </c>
      <c r="O24" s="73">
        <f t="shared" si="10"/>
        <v>25</v>
      </c>
      <c r="P24" s="31" t="str">
        <f t="shared" si="3"/>
        <v>Ž45</v>
      </c>
      <c r="Q24" s="260" t="str">
        <f t="shared" si="4"/>
        <v>3.39</v>
      </c>
      <c r="R24" s="260">
        <f t="shared" si="11"/>
        <v>3390</v>
      </c>
      <c r="S24" s="260" t="str">
        <f t="shared" si="5"/>
        <v>110</v>
      </c>
      <c r="T24" s="260" t="str">
        <f t="shared" si="6"/>
        <v>8</v>
      </c>
      <c r="U24" s="32">
        <f t="shared" si="7"/>
        <v>16</v>
      </c>
      <c r="W24" s="19" t="str">
        <f t="shared" si="8"/>
        <v>INSERT INTO staza (id,trka_id,naziv,duljina,uspon,broj_kontrola,rbr) VALUES (25,1002,'Ž45',3390,110,8,16);</v>
      </c>
      <c r="X24" t="s">
        <v>0</v>
      </c>
      <c r="Y24" s="19" t="str">
        <f t="shared" si="9"/>
        <v>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4" t="s">
        <v>0</v>
      </c>
    </row>
    <row r="25" spans="1:26" x14ac:dyDescent="0.25">
      <c r="A25" t="s">
        <v>0</v>
      </c>
      <c r="B25" s="52" t="str">
        <f>IF(csv!F20="","",csv!T20)</f>
        <v>M14</v>
      </c>
      <c r="C25" s="31" t="str">
        <f>IF(csv!F20="","",csv!AO20)</f>
        <v>M14</v>
      </c>
      <c r="D25" s="31" t="str">
        <f>IF(csv!F20="","",csv!AP20&amp;"–"&amp;csv!AQ20&amp;"–"&amp;csv!AR20)</f>
        <v>2.77–65–9</v>
      </c>
      <c r="E25" s="66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65–59–72–69–67–68–70–38–100––––––––––––––––––––</v>
      </c>
      <c r="F25" t="s">
        <v>0</v>
      </c>
      <c r="G25" s="103" t="s">
        <v>3265</v>
      </c>
      <c r="H25" s="105">
        <v>4</v>
      </c>
      <c r="J25" s="259">
        <f t="shared" si="0"/>
        <v>17</v>
      </c>
      <c r="L25" s="52" t="str">
        <f t="shared" si="1"/>
        <v>Ž35</v>
      </c>
      <c r="M25" s="73">
        <f t="shared" si="2"/>
        <v>17</v>
      </c>
      <c r="N25" s="73">
        <f>IF(H25="","",IF(COUNTIF(H$7:H24,H25)=0,MAX(N$7:N24)+1,MAX(N$7:N24)))</f>
        <v>26</v>
      </c>
      <c r="O25" s="73">
        <f t="shared" si="10"/>
        <v>26</v>
      </c>
      <c r="P25" s="31" t="str">
        <f t="shared" si="3"/>
        <v>Ž35</v>
      </c>
      <c r="Q25" s="260" t="str">
        <f t="shared" si="4"/>
        <v>3.82</v>
      </c>
      <c r="R25" s="260">
        <f t="shared" si="11"/>
        <v>3820</v>
      </c>
      <c r="S25" s="260" t="str">
        <f t="shared" si="5"/>
        <v>155</v>
      </c>
      <c r="T25" s="260" t="str">
        <f t="shared" si="6"/>
        <v>8</v>
      </c>
      <c r="U25" s="32">
        <f t="shared" si="7"/>
        <v>17</v>
      </c>
      <c r="W25" s="19" t="str">
        <f t="shared" si="8"/>
        <v>INSERT INTO staza (id,trka_id,naziv,duljina,uspon,broj_kontrola,rbr) VALUES (26,1002,'Ž35',3820,155,8,17);</v>
      </c>
      <c r="X25" t="s">
        <v>0</v>
      </c>
      <c r="Y25" s="19" t="str">
        <f t="shared" si="9"/>
        <v>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5" t="s">
        <v>0</v>
      </c>
    </row>
    <row r="26" spans="1:26" x14ac:dyDescent="0.25">
      <c r="A26" t="s">
        <v>0</v>
      </c>
      <c r="B26" s="52" t="str">
        <f>IF(csv!F21="","",csv!T21)</f>
        <v>M14</v>
      </c>
      <c r="C26" s="31" t="str">
        <f>IF(csv!F21="","",csv!AO21)</f>
        <v>M14</v>
      </c>
      <c r="D26" s="31" t="str">
        <f>IF(csv!F21="","",csv!AP21&amp;"–"&amp;csv!AQ21&amp;"–"&amp;csv!AR21)</f>
        <v>2.77–65–9</v>
      </c>
      <c r="E26" s="66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65–59–72–69–67–68–70–38–100––––––––––––––––––––</v>
      </c>
      <c r="F26" t="s">
        <v>0</v>
      </c>
      <c r="G26" s="103" t="s">
        <v>3094</v>
      </c>
      <c r="H26" s="105">
        <v>17</v>
      </c>
      <c r="J26" s="259">
        <f t="shared" si="0"/>
        <v>18</v>
      </c>
      <c r="L26" s="52" t="str">
        <f t="shared" si="1"/>
        <v>Ž21B</v>
      </c>
      <c r="M26" s="73">
        <f t="shared" si="2"/>
        <v>18</v>
      </c>
      <c r="N26" s="73">
        <f>IF(H26="","",IF(COUNTIF(H$7:H25,H26)=0,MAX(N$7:N25)+1,MAX(N$7:N25)))</f>
        <v>27</v>
      </c>
      <c r="O26" s="73">
        <f t="shared" si="10"/>
        <v>27</v>
      </c>
      <c r="P26" s="31" t="str">
        <f t="shared" si="3"/>
        <v>Ž21B – Ž16</v>
      </c>
      <c r="Q26" s="260" t="str">
        <f t="shared" si="4"/>
        <v>3.31</v>
      </c>
      <c r="R26" s="260">
        <f t="shared" si="11"/>
        <v>3310</v>
      </c>
      <c r="S26" s="260" t="str">
        <f t="shared" si="5"/>
        <v>115</v>
      </c>
      <c r="T26" s="260" t="str">
        <f t="shared" si="6"/>
        <v>8</v>
      </c>
      <c r="U26" s="32">
        <f t="shared" si="7"/>
        <v>18</v>
      </c>
      <c r="W26" s="19" t="str">
        <f t="shared" si="8"/>
        <v>INSERT INTO staza (id,trka_id,naziv,duljina,uspon,broj_kontrola,rbr) VALUES (27,1002,'Ž21B – Ž16',3310,115,8,18);</v>
      </c>
      <c r="X26" t="s">
        <v>0</v>
      </c>
      <c r="Y26" s="19" t="str">
        <f t="shared" si="9"/>
        <v>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6" t="s">
        <v>0</v>
      </c>
    </row>
    <row r="27" spans="1:26" x14ac:dyDescent="0.25">
      <c r="A27" t="s">
        <v>0</v>
      </c>
      <c r="B27" s="52" t="str">
        <f>IF(csv!F22="","",csv!T22)</f>
        <v>M14</v>
      </c>
      <c r="C27" s="31" t="str">
        <f>IF(csv!F22="","",csv!AO22)</f>
        <v>M14</v>
      </c>
      <c r="D27" s="31" t="str">
        <f>IF(csv!F22="","",csv!AP22&amp;"–"&amp;csv!AQ22&amp;"–"&amp;csv!AR22)</f>
        <v>2.77–65–9</v>
      </c>
      <c r="E27" s="66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65–59–72–69–67–68–70–38–100––––––––––––––––––––</v>
      </c>
      <c r="F27" t="s">
        <v>0</v>
      </c>
      <c r="G27" s="103" t="s">
        <v>2766</v>
      </c>
      <c r="H27" s="105">
        <v>17</v>
      </c>
      <c r="J27" s="259">
        <f t="shared" si="0"/>
        <v>18</v>
      </c>
      <c r="L27" s="52" t="str">
        <f t="shared" si="1"/>
        <v>Ž16</v>
      </c>
      <c r="M27" s="73">
        <f t="shared" si="2"/>
        <v>20</v>
      </c>
      <c r="N27" s="73">
        <f>IF(H27="","",IF(COUNTIF(H$7:H26,H27)=0,MAX(N$7:N26)+1,MAX(N$7:N26)))</f>
        <v>27</v>
      </c>
      <c r="O27" s="73" t="str">
        <f t="shared" si="10"/>
        <v/>
      </c>
      <c r="P27" s="31" t="str">
        <f t="shared" si="3"/>
        <v>Ž16</v>
      </c>
      <c r="Q27" s="260" t="str">
        <f t="shared" si="4"/>
        <v/>
      </c>
      <c r="R27" s="260" t="str">
        <f t="shared" si="11"/>
        <v/>
      </c>
      <c r="S27" s="260" t="str">
        <f t="shared" si="5"/>
        <v/>
      </c>
      <c r="T27" s="260" t="str">
        <f t="shared" si="6"/>
        <v/>
      </c>
      <c r="U27" s="32">
        <f t="shared" si="7"/>
        <v>20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(28,1002,'Ž20',4330,155,9,19);
INSERT INTO staza (id,trka_id,naziv,duljina,uspon,broj_kontrola,rbr) VALUES (29,1002,'Otvorena',3310,125,9,23);</v>
      </c>
      <c r="Z27" t="s">
        <v>0</v>
      </c>
    </row>
    <row r="28" spans="1:26" x14ac:dyDescent="0.25">
      <c r="A28" t="s">
        <v>0</v>
      </c>
      <c r="B28" s="52" t="str">
        <f>IF(csv!F23="","",csv!T23)</f>
        <v>M14</v>
      </c>
      <c r="C28" s="31" t="str">
        <f>IF(csv!F23="","",csv!AO23)</f>
        <v>M14</v>
      </c>
      <c r="D28" s="31" t="str">
        <f>IF(csv!F23="","",csv!AP23&amp;"–"&amp;csv!AQ23&amp;"–"&amp;csv!AR23)</f>
        <v>2.77–65–9</v>
      </c>
      <c r="E28" s="66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103" t="s">
        <v>2928</v>
      </c>
      <c r="H28" s="105">
        <v>5</v>
      </c>
      <c r="J28" s="259">
        <f t="shared" si="0"/>
        <v>19</v>
      </c>
      <c r="L28" s="52" t="str">
        <f t="shared" si="1"/>
        <v>Ž20</v>
      </c>
      <c r="M28" s="73">
        <f t="shared" si="2"/>
        <v>19</v>
      </c>
      <c r="N28" s="73">
        <f>IF(H28="","",IF(COUNTIF(H$7:H27,H28)=0,MAX(N$7:N27)+1,MAX(N$7:N27)))</f>
        <v>28</v>
      </c>
      <c r="O28" s="73">
        <f t="shared" si="10"/>
        <v>28</v>
      </c>
      <c r="P28" s="31" t="str">
        <f t="shared" si="3"/>
        <v>Ž20</v>
      </c>
      <c r="Q28" s="260" t="str">
        <f t="shared" si="4"/>
        <v>4.33</v>
      </c>
      <c r="R28" s="260">
        <f t="shared" si="11"/>
        <v>4330</v>
      </c>
      <c r="S28" s="260" t="str">
        <f t="shared" si="5"/>
        <v>155</v>
      </c>
      <c r="T28" s="260" t="str">
        <f t="shared" si="6"/>
        <v>9</v>
      </c>
      <c r="U28" s="32">
        <f t="shared" si="7"/>
        <v>19</v>
      </c>
      <c r="W28" s="19" t="str">
        <f t="shared" si="8"/>
        <v>INSERT INTO staza (id,trka_id,naziv,duljina,uspon,broj_kontrola,rbr) VALUES (28,1002,'Ž20',4330,155,9,19);</v>
      </c>
      <c r="X28" t="s">
        <v>0</v>
      </c>
      <c r="Y28" s="19" t="str">
        <f t="shared" si="9"/>
        <v>INSERT INTO staza (id,trka_id,naziv,duljina,uspon,broj_kontrola,rbr) VALUES (28,1002,'Ž20',4330,155,9,19);
INSERT INTO staza (id,trka_id,naziv,duljina,uspon,broj_kontrola,rbr) VALUES (29,1002,'Otvorena',3310,125,9,23);</v>
      </c>
      <c r="Z28" t="s">
        <v>0</v>
      </c>
    </row>
    <row r="29" spans="1:26" x14ac:dyDescent="0.25">
      <c r="A29" t="s">
        <v>0</v>
      </c>
      <c r="B29" s="52" t="str">
        <f>IF(csv!F24="","",csv!T24)</f>
        <v>M14</v>
      </c>
      <c r="C29" s="31" t="str">
        <f>IF(csv!F24="","",csv!AO24)</f>
        <v>M14</v>
      </c>
      <c r="D29" s="31" t="str">
        <f>IF(csv!F24="","",csv!AP24&amp;"–"&amp;csv!AQ24&amp;"–"&amp;csv!AR24)</f>
        <v>2.77–65–9</v>
      </c>
      <c r="E29" s="66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3" t="s">
        <v>2427</v>
      </c>
      <c r="H29" s="105">
        <v>16</v>
      </c>
      <c r="J29" s="259">
        <f t="shared" si="0"/>
        <v>23</v>
      </c>
      <c r="L29" s="52" t="str">
        <f t="shared" si="1"/>
        <v>Otvorena</v>
      </c>
      <c r="M29" s="73">
        <f t="shared" si="2"/>
        <v>23</v>
      </c>
      <c r="N29" s="73">
        <f>IF(H29="","",IF(COUNTIF(H$7:H28,H29)=0,MAX(N$7:N28)+1,MAX(N$7:N28)))</f>
        <v>29</v>
      </c>
      <c r="O29" s="73">
        <f t="shared" si="10"/>
        <v>29</v>
      </c>
      <c r="P29" s="31" t="str">
        <f t="shared" si="3"/>
        <v>Otvorena</v>
      </c>
      <c r="Q29" s="260" t="str">
        <f t="shared" si="4"/>
        <v>3.31</v>
      </c>
      <c r="R29" s="260">
        <f t="shared" si="11"/>
        <v>3310</v>
      </c>
      <c r="S29" s="260" t="str">
        <f t="shared" si="5"/>
        <v>125</v>
      </c>
      <c r="T29" s="260" t="str">
        <f t="shared" si="6"/>
        <v>9</v>
      </c>
      <c r="U29" s="32">
        <f t="shared" si="7"/>
        <v>23</v>
      </c>
      <c r="W29" s="19" t="str">
        <f t="shared" si="8"/>
        <v>INSERT INTO staza (id,trka_id,naziv,duljina,uspon,broj_kontrola,rbr) VALUES (29,1002,'Otvorena',3310,125,9,23);</v>
      </c>
      <c r="X29" t="s">
        <v>0</v>
      </c>
      <c r="Y29" s="19" t="str">
        <f t="shared" si="9"/>
        <v>INSERT INTO staza (id,trka_id,naziv,duljina,uspon,broj_kontrola,rbr) VALUES (29,1002,'Otvorena',3310,125,9,23);</v>
      </c>
      <c r="Z29" t="s">
        <v>0</v>
      </c>
    </row>
    <row r="30" spans="1:26" x14ac:dyDescent="0.25">
      <c r="A30" t="s">
        <v>0</v>
      </c>
      <c r="B30" s="52" t="str">
        <f>IF(csv!F25="","",csv!T25)</f>
        <v>M14</v>
      </c>
      <c r="C30" s="31" t="str">
        <f>IF(csv!F25="","",csv!AO25)</f>
        <v>M14</v>
      </c>
      <c r="D30" s="31" t="str">
        <f>IF(csv!F25="","",csv!AP25&amp;"–"&amp;csv!AQ25&amp;"–"&amp;csv!AR25)</f>
        <v>2.77–65–9</v>
      </c>
      <c r="E30" s="66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3"/>
      <c r="H30" s="105"/>
      <c r="J30" s="259" t="str">
        <f t="shared" si="0"/>
        <v/>
      </c>
      <c r="L30" s="52" t="str">
        <f t="shared" si="1"/>
        <v/>
      </c>
      <c r="M30" s="73" t="str">
        <f t="shared" si="2"/>
        <v/>
      </c>
      <c r="N30" s="73" t="str">
        <f>IF(H30="","",IF(COUNTIF(H$7:H29,H30)=0,MAX(N$7:N29)+1,MAX(N$7:N29)))</f>
        <v/>
      </c>
      <c r="O30" s="73" t="str">
        <f t="shared" si="10"/>
        <v/>
      </c>
      <c r="P30" s="31" t="str">
        <f t="shared" si="3"/>
        <v/>
      </c>
      <c r="Q30" s="260" t="str">
        <f t="shared" si="4"/>
        <v/>
      </c>
      <c r="R30" s="260" t="str">
        <f t="shared" si="11"/>
        <v/>
      </c>
      <c r="S30" s="260" t="str">
        <f t="shared" si="5"/>
        <v/>
      </c>
      <c r="T30" s="260" t="str">
        <f t="shared" si="6"/>
        <v/>
      </c>
      <c r="U30" s="32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2" t="str">
        <f>IF(csv!F26="","",csv!T26)</f>
        <v>M14</v>
      </c>
      <c r="C31" s="31" t="str">
        <f>IF(csv!F26="","",csv!AO26)</f>
        <v>M14</v>
      </c>
      <c r="D31" s="31" t="str">
        <f>IF(csv!F26="","",csv!AP26&amp;"–"&amp;csv!AQ26&amp;"–"&amp;csv!AR26)</f>
        <v>2.77–65–9</v>
      </c>
      <c r="E31" s="66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3"/>
      <c r="H31" s="105"/>
      <c r="J31" s="259" t="str">
        <f t="shared" si="0"/>
        <v/>
      </c>
      <c r="L31" s="52" t="str">
        <f t="shared" si="1"/>
        <v/>
      </c>
      <c r="M31" s="73" t="str">
        <f t="shared" si="2"/>
        <v/>
      </c>
      <c r="N31" s="73" t="str">
        <f>IF(H31="","",IF(COUNTIF(H$7:H30,H31)=0,MAX(N$7:N30)+1,MAX(N$7:N30)))</f>
        <v/>
      </c>
      <c r="O31" s="73" t="str">
        <f t="shared" si="10"/>
        <v/>
      </c>
      <c r="P31" s="31" t="str">
        <f t="shared" si="3"/>
        <v/>
      </c>
      <c r="Q31" s="260" t="str">
        <f t="shared" si="4"/>
        <v/>
      </c>
      <c r="R31" s="260" t="str">
        <f t="shared" si="11"/>
        <v/>
      </c>
      <c r="S31" s="260" t="str">
        <f t="shared" si="5"/>
        <v/>
      </c>
      <c r="T31" s="260" t="str">
        <f t="shared" si="6"/>
        <v/>
      </c>
      <c r="U31" s="32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2" t="str">
        <f>IF(csv!F27="","",csv!T27)</f>
        <v>M16</v>
      </c>
      <c r="C32" s="31" t="str">
        <f>IF(csv!F27="","",csv!AO27)</f>
        <v>M16</v>
      </c>
      <c r="D32" s="31" t="str">
        <f>IF(csv!F27="","",csv!AP27&amp;"–"&amp;csv!AQ27&amp;"–"&amp;csv!AR27)</f>
        <v>3.91–125–8</v>
      </c>
      <c r="E32" s="66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61–64–39–63–67–34–38–100–––––––––––––––––––––</v>
      </c>
      <c r="F32" t="s">
        <v>0</v>
      </c>
      <c r="G32" s="103"/>
      <c r="H32" s="105"/>
      <c r="J32" s="259" t="str">
        <f t="shared" si="0"/>
        <v/>
      </c>
      <c r="L32" s="52" t="str">
        <f t="shared" si="1"/>
        <v/>
      </c>
      <c r="M32" s="73" t="str">
        <f t="shared" si="2"/>
        <v/>
      </c>
      <c r="N32" s="73" t="str">
        <f>IF(H32="","",IF(COUNTIF(H$7:H31,H32)=0,MAX(N$7:N31)+1,MAX(N$7:N31)))</f>
        <v/>
      </c>
      <c r="O32" s="73" t="str">
        <f t="shared" si="10"/>
        <v/>
      </c>
      <c r="P32" s="31" t="str">
        <f t="shared" si="3"/>
        <v/>
      </c>
      <c r="Q32" s="260" t="str">
        <f t="shared" si="4"/>
        <v/>
      </c>
      <c r="R32" s="260" t="str">
        <f t="shared" si="11"/>
        <v/>
      </c>
      <c r="S32" s="260" t="str">
        <f t="shared" si="5"/>
        <v/>
      </c>
      <c r="T32" s="260" t="str">
        <f t="shared" si="6"/>
        <v/>
      </c>
      <c r="U32" s="32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2" t="str">
        <f>IF(csv!F28="","",csv!T28)</f>
        <v>M16</v>
      </c>
      <c r="C33" s="31" t="str">
        <f>IF(csv!F28="","",csv!AO28)</f>
        <v>M16</v>
      </c>
      <c r="D33" s="31" t="str">
        <f>IF(csv!F28="","",csv!AP28&amp;"–"&amp;csv!AQ28&amp;"–"&amp;csv!AR28)</f>
        <v>3.91–125–8</v>
      </c>
      <c r="E33" s="66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61–64–39–63–67–34–38–100–––––––––––––––––––––</v>
      </c>
      <c r="F33" t="s">
        <v>0</v>
      </c>
      <c r="G33" s="103"/>
      <c r="H33" s="105"/>
      <c r="J33" s="259" t="str">
        <f t="shared" si="0"/>
        <v/>
      </c>
      <c r="L33" s="52" t="str">
        <f t="shared" si="1"/>
        <v/>
      </c>
      <c r="M33" s="73" t="str">
        <f t="shared" si="2"/>
        <v/>
      </c>
      <c r="N33" s="73" t="str">
        <f>IF(H33="","",IF(COUNTIF(H$7:H32,H33)=0,MAX(N$7:N32)+1,MAX(N$7:N32)))</f>
        <v/>
      </c>
      <c r="O33" s="73" t="str">
        <f t="shared" si="10"/>
        <v/>
      </c>
      <c r="P33" s="31" t="str">
        <f t="shared" si="3"/>
        <v/>
      </c>
      <c r="Q33" s="260" t="str">
        <f t="shared" si="4"/>
        <v/>
      </c>
      <c r="R33" s="260" t="str">
        <f t="shared" si="11"/>
        <v/>
      </c>
      <c r="S33" s="260" t="str">
        <f t="shared" si="5"/>
        <v/>
      </c>
      <c r="T33" s="260" t="str">
        <f t="shared" si="6"/>
        <v/>
      </c>
      <c r="U33" s="32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2" t="str">
        <f>IF(csv!F29="","",csv!T29)</f>
        <v>M16</v>
      </c>
      <c r="C34" s="31" t="str">
        <f>IF(csv!F29="","",csv!AO29)</f>
        <v>M16</v>
      </c>
      <c r="D34" s="31" t="str">
        <f>IF(csv!F29="","",csv!AP29&amp;"–"&amp;csv!AQ29&amp;"–"&amp;csv!AR29)</f>
        <v>3.91–125–8</v>
      </c>
      <c r="E34" s="66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61–64–39–63–67–34–38–100–––––––––––––––––––––</v>
      </c>
      <c r="F34" t="s">
        <v>0</v>
      </c>
      <c r="G34" s="103"/>
      <c r="H34" s="105"/>
      <c r="J34" s="259" t="str">
        <f t="shared" si="0"/>
        <v/>
      </c>
      <c r="L34" s="52" t="str">
        <f t="shared" si="1"/>
        <v/>
      </c>
      <c r="M34" s="73" t="str">
        <f t="shared" si="2"/>
        <v/>
      </c>
      <c r="N34" s="73" t="str">
        <f>IF(H34="","",IF(COUNTIF(H$7:H33,H34)=0,MAX(N$7:N33)+1,MAX(N$7:N33)))</f>
        <v/>
      </c>
      <c r="O34" s="73" t="str">
        <f t="shared" si="10"/>
        <v/>
      </c>
      <c r="P34" s="31" t="str">
        <f t="shared" si="3"/>
        <v/>
      </c>
      <c r="Q34" s="260" t="str">
        <f t="shared" si="4"/>
        <v/>
      </c>
      <c r="R34" s="260" t="str">
        <f t="shared" si="11"/>
        <v/>
      </c>
      <c r="S34" s="260" t="str">
        <f t="shared" si="5"/>
        <v/>
      </c>
      <c r="T34" s="260" t="str">
        <f t="shared" si="6"/>
        <v/>
      </c>
      <c r="U34" s="32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2" t="str">
        <f>IF(csv!F30="","",csv!T30)</f>
        <v>M16</v>
      </c>
      <c r="C35" s="31" t="str">
        <f>IF(csv!F30="","",csv!AO30)</f>
        <v>M16</v>
      </c>
      <c r="D35" s="31" t="str">
        <f>IF(csv!F30="","",csv!AP30&amp;"–"&amp;csv!AQ30&amp;"–"&amp;csv!AR30)</f>
        <v>3.91–125–8</v>
      </c>
      <c r="E35" s="66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61–64–39–63–67–34–38–100–––––––––––––––––––––</v>
      </c>
      <c r="F35" t="s">
        <v>0</v>
      </c>
      <c r="G35" s="103"/>
      <c r="H35" s="105"/>
      <c r="J35" s="259" t="str">
        <f t="shared" si="0"/>
        <v/>
      </c>
      <c r="L35" s="52" t="str">
        <f t="shared" si="1"/>
        <v/>
      </c>
      <c r="M35" s="73" t="str">
        <f t="shared" si="2"/>
        <v/>
      </c>
      <c r="N35" s="73" t="str">
        <f>IF(H35="","",IF(COUNTIF(H$7:H34,H35)=0,MAX(N$7:N34)+1,MAX(N$7:N34)))</f>
        <v/>
      </c>
      <c r="O35" s="73" t="str">
        <f t="shared" si="10"/>
        <v/>
      </c>
      <c r="P35" s="31" t="str">
        <f t="shared" si="3"/>
        <v/>
      </c>
      <c r="Q35" s="260" t="str">
        <f t="shared" si="4"/>
        <v/>
      </c>
      <c r="R35" s="260" t="str">
        <f t="shared" si="11"/>
        <v/>
      </c>
      <c r="S35" s="260" t="str">
        <f t="shared" si="5"/>
        <v/>
      </c>
      <c r="T35" s="260" t="str">
        <f t="shared" si="6"/>
        <v/>
      </c>
      <c r="U35" s="32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2" t="str">
        <f>IF(csv!F31="","",csv!T31)</f>
        <v>M16</v>
      </c>
      <c r="C36" s="31" t="str">
        <f>IF(csv!F31="","",csv!AO31)</f>
        <v>M16</v>
      </c>
      <c r="D36" s="31" t="str">
        <f>IF(csv!F31="","",csv!AP31&amp;"–"&amp;csv!AQ31&amp;"–"&amp;csv!AR31)</f>
        <v>3.91–125–8</v>
      </c>
      <c r="E36" s="66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61–64–39–63–67–34–38–100–––––––––––––––––––––</v>
      </c>
      <c r="F36" t="s">
        <v>0</v>
      </c>
      <c r="G36" s="103"/>
      <c r="H36" s="105"/>
      <c r="J36" s="259" t="str">
        <f t="shared" si="0"/>
        <v/>
      </c>
      <c r="L36" s="52" t="str">
        <f t="shared" si="1"/>
        <v/>
      </c>
      <c r="M36" s="73" t="str">
        <f t="shared" si="2"/>
        <v/>
      </c>
      <c r="N36" s="73" t="str">
        <f>IF(H36="","",IF(COUNTIF(H$7:H35,H36)=0,MAX(N$7:N35)+1,MAX(N$7:N35)))</f>
        <v/>
      </c>
      <c r="O36" s="73" t="str">
        <f t="shared" si="10"/>
        <v/>
      </c>
      <c r="P36" s="31" t="str">
        <f t="shared" si="3"/>
        <v/>
      </c>
      <c r="Q36" s="260" t="str">
        <f t="shared" si="4"/>
        <v/>
      </c>
      <c r="R36" s="260" t="str">
        <f t="shared" si="11"/>
        <v/>
      </c>
      <c r="S36" s="260" t="str">
        <f t="shared" si="5"/>
        <v/>
      </c>
      <c r="T36" s="260" t="str">
        <f t="shared" si="6"/>
        <v/>
      </c>
      <c r="U36" s="32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2" t="str">
        <f>IF(csv!F32="","",csv!T32)</f>
        <v>M16</v>
      </c>
      <c r="C37" s="31" t="str">
        <f>IF(csv!F32="","",csv!AO32)</f>
        <v>M16</v>
      </c>
      <c r="D37" s="31" t="str">
        <f>IF(csv!F32="","",csv!AP32&amp;"–"&amp;csv!AQ32&amp;"–"&amp;csv!AR32)</f>
        <v>3.91–125–8</v>
      </c>
      <c r="E37" s="66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103"/>
      <c r="H37" s="105"/>
      <c r="J37" s="259" t="str">
        <f t="shared" si="0"/>
        <v/>
      </c>
      <c r="L37" s="52" t="str">
        <f t="shared" si="1"/>
        <v/>
      </c>
      <c r="M37" s="73" t="str">
        <f t="shared" si="2"/>
        <v/>
      </c>
      <c r="N37" s="73" t="str">
        <f>IF(H37="","",IF(COUNTIF(H$7:H36,H37)=0,MAX(N$7:N36)+1,MAX(N$7:N36)))</f>
        <v/>
      </c>
      <c r="O37" s="73" t="str">
        <f t="shared" si="10"/>
        <v/>
      </c>
      <c r="P37" s="31" t="str">
        <f t="shared" si="3"/>
        <v/>
      </c>
      <c r="Q37" s="260" t="str">
        <f t="shared" si="4"/>
        <v/>
      </c>
      <c r="R37" s="260" t="str">
        <f t="shared" si="11"/>
        <v/>
      </c>
      <c r="S37" s="260" t="str">
        <f t="shared" si="5"/>
        <v/>
      </c>
      <c r="T37" s="260" t="str">
        <f t="shared" si="6"/>
        <v/>
      </c>
      <c r="U37" s="32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2" t="str">
        <f>IF(csv!F33="","",csv!T33)</f>
        <v>M16</v>
      </c>
      <c r="C38" s="31" t="str">
        <f>IF(csv!F33="","",csv!AO33)</f>
        <v>M16</v>
      </c>
      <c r="D38" s="31" t="str">
        <f>IF(csv!F33="","",csv!AP33&amp;"–"&amp;csv!AQ33&amp;"–"&amp;csv!AR33)</f>
        <v>3.91–125–8</v>
      </c>
      <c r="E38" s="66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103"/>
      <c r="H38" s="105"/>
      <c r="J38" s="259" t="str">
        <f t="shared" si="0"/>
        <v/>
      </c>
      <c r="L38" s="52" t="str">
        <f t="shared" si="1"/>
        <v/>
      </c>
      <c r="M38" s="73" t="str">
        <f t="shared" si="2"/>
        <v/>
      </c>
      <c r="N38" s="73" t="str">
        <f>IF(H38="","",IF(COUNTIF(H$7:H37,H38)=0,MAX(N$7:N37)+1,MAX(N$7:N37)))</f>
        <v/>
      </c>
      <c r="O38" s="73" t="str">
        <f t="shared" si="10"/>
        <v/>
      </c>
      <c r="P38" s="31" t="str">
        <f t="shared" si="3"/>
        <v/>
      </c>
      <c r="Q38" s="260" t="str">
        <f t="shared" si="4"/>
        <v/>
      </c>
      <c r="R38" s="260" t="str">
        <f t="shared" si="11"/>
        <v/>
      </c>
      <c r="S38" s="260" t="str">
        <f t="shared" si="5"/>
        <v/>
      </c>
      <c r="T38" s="260" t="str">
        <f t="shared" si="6"/>
        <v/>
      </c>
      <c r="U38" s="32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2" t="str">
        <f>IF(csv!F34="","",csv!T34)</f>
        <v>M16</v>
      </c>
      <c r="C39" s="31" t="str">
        <f>IF(csv!F34="","",csv!AO34)</f>
        <v>M16</v>
      </c>
      <c r="D39" s="31" t="str">
        <f>IF(csv!F34="","",csv!AP34&amp;"–"&amp;csv!AQ34&amp;"–"&amp;csv!AR34)</f>
        <v>3.91–125–8</v>
      </c>
      <c r="E39" s="66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3"/>
      <c r="H39" s="105"/>
      <c r="J39" s="259" t="str">
        <f t="shared" si="0"/>
        <v/>
      </c>
      <c r="L39" s="52" t="str">
        <f t="shared" si="1"/>
        <v/>
      </c>
      <c r="M39" s="73" t="str">
        <f t="shared" si="2"/>
        <v/>
      </c>
      <c r="N39" s="73" t="str">
        <f>IF(H39="","",IF(COUNTIF(H$7:H38,H39)=0,MAX(N$7:N38)+1,MAX(N$7:N38)))</f>
        <v/>
      </c>
      <c r="O39" s="73" t="str">
        <f t="shared" si="10"/>
        <v/>
      </c>
      <c r="P39" s="31" t="str">
        <f t="shared" si="3"/>
        <v/>
      </c>
      <c r="Q39" s="260" t="str">
        <f t="shared" si="4"/>
        <v/>
      </c>
      <c r="R39" s="260" t="str">
        <f t="shared" si="11"/>
        <v/>
      </c>
      <c r="S39" s="260" t="str">
        <f t="shared" si="5"/>
        <v/>
      </c>
      <c r="T39" s="260" t="str">
        <f t="shared" si="6"/>
        <v/>
      </c>
      <c r="U39" s="32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2" t="str">
        <f>IF(csv!F35="","",csv!T35)</f>
        <v>M16</v>
      </c>
      <c r="C40" s="31" t="str">
        <f>IF(csv!F35="","",csv!AO35)</f>
        <v>M16</v>
      </c>
      <c r="D40" s="31" t="str">
        <f>IF(csv!F35="","",csv!AP35&amp;"–"&amp;csv!AQ35&amp;"–"&amp;csv!AR35)</f>
        <v>3.91–125–8</v>
      </c>
      <c r="E40" s="66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61–64–39––67–34–38–100–––––––––––––––––––––</v>
      </c>
      <c r="F40" t="s">
        <v>0</v>
      </c>
      <c r="G40" s="103"/>
      <c r="H40" s="105"/>
      <c r="J40" s="259" t="str">
        <f t="shared" ref="J40:J57" si="15">IF(U40="","",IF(H40=H39,J39,U40))</f>
        <v/>
      </c>
      <c r="L40" s="52" t="str">
        <f t="shared" ref="L40:L57" si="16">IF(G40="","",INDEX(regKategorija_oznaka,MATCH(INDEX(natKategorija_katRegId,MATCH(G40,natKategorija_kategorija,0)),regKategorija_id,0)))</f>
        <v/>
      </c>
      <c r="M40" s="73" t="str">
        <f t="shared" ref="M40:M57" si="17">IF(L40="","",INDEX(regKategorija_rbr,MATCH(L40,regKategorija_oznaka,0)))</f>
        <v/>
      </c>
      <c r="N40" s="73" t="str">
        <f>IF(H40="","",IF(COUNTIF(H$7:H39,H40)=0,MAX(N$7:N39)+1,MAX(N$7:N39)))</f>
        <v/>
      </c>
      <c r="O40" s="73" t="str">
        <f t="shared" si="10"/>
        <v/>
      </c>
      <c r="P40" s="31" t="str">
        <f t="shared" ref="P40:P57" si="18">IF(L40="","",IF(H40&lt;&gt;H41,L40,L40&amp;" – "&amp;P41))</f>
        <v/>
      </c>
      <c r="Q40" s="260" t="str">
        <f t="shared" ref="Q40:Q57" si="19">IF(O40="","",INDEX(csv,MATCH($G40,nat_kategorija,0),41))</f>
        <v/>
      </c>
      <c r="R40" s="260" t="str">
        <f t="shared" si="11"/>
        <v/>
      </c>
      <c r="S40" s="260" t="str">
        <f t="shared" ref="S40:S57" si="20">IF(O40="","",INDEX(csv,MATCH($G40,nat_kategorija,0),42))</f>
        <v/>
      </c>
      <c r="T40" s="260" t="str">
        <f t="shared" ref="T40:T57" si="21">IF(O40="","",INDEX(csv,MATCH($G40,nat_kategorija,0),43))</f>
        <v/>
      </c>
      <c r="U40" s="32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2" t="str">
        <f>IF(csv!F36="","",csv!T36)</f>
        <v>M16</v>
      </c>
      <c r="C41" s="31" t="str">
        <f>IF(csv!F36="","",csv!AO36)</f>
        <v>M16</v>
      </c>
      <c r="D41" s="31" t="str">
        <f>IF(csv!F36="","",csv!AP36&amp;"–"&amp;csv!AQ36&amp;"–"&amp;csv!AR36)</f>
        <v>3.91–125–8</v>
      </c>
      <c r="E41" s="66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61–64––––––100–––––––––––––––––––––</v>
      </c>
      <c r="F41" t="s">
        <v>0</v>
      </c>
      <c r="G41" s="103"/>
      <c r="H41" s="105"/>
      <c r="J41" s="259" t="str">
        <f t="shared" si="15"/>
        <v/>
      </c>
      <c r="L41" s="52" t="str">
        <f t="shared" si="16"/>
        <v/>
      </c>
      <c r="M41" s="73" t="str">
        <f t="shared" si="17"/>
        <v/>
      </c>
      <c r="N41" s="73" t="str">
        <f>IF(H41="","",IF(COUNTIF(H$7:H40,H41)=0,MAX(N$7:N40)+1,MAX(N$7:N40)))</f>
        <v/>
      </c>
      <c r="O41" s="73" t="str">
        <f t="shared" si="10"/>
        <v/>
      </c>
      <c r="P41" s="31" t="str">
        <f t="shared" si="18"/>
        <v/>
      </c>
      <c r="Q41" s="260" t="str">
        <f t="shared" si="19"/>
        <v/>
      </c>
      <c r="R41" s="260" t="str">
        <f t="shared" si="11"/>
        <v/>
      </c>
      <c r="S41" s="260" t="str">
        <f t="shared" si="20"/>
        <v/>
      </c>
      <c r="T41" s="260" t="str">
        <f t="shared" si="21"/>
        <v/>
      </c>
      <c r="U41" s="32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2" t="str">
        <f>IF(csv!F37="","",csv!T37)</f>
        <v>M16</v>
      </c>
      <c r="C42" s="31" t="str">
        <f>IF(csv!F37="","",csv!AO37)</f>
        <v>M16</v>
      </c>
      <c r="D42" s="31" t="str">
        <f>IF(csv!F37="","",csv!AP37&amp;"–"&amp;csv!AQ37&amp;"–"&amp;csv!AR37)</f>
        <v>3.91–125–8</v>
      </c>
      <c r="E42" s="66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/>
      </c>
      <c r="F42" t="s">
        <v>0</v>
      </c>
      <c r="G42" s="103"/>
      <c r="H42" s="105"/>
      <c r="J42" s="259" t="str">
        <f t="shared" si="15"/>
        <v/>
      </c>
      <c r="L42" s="52" t="str">
        <f t="shared" si="16"/>
        <v/>
      </c>
      <c r="M42" s="73" t="str">
        <f t="shared" si="17"/>
        <v/>
      </c>
      <c r="N42" s="73" t="str">
        <f>IF(H42="","",IF(COUNTIF(H$7:H41,H42)=0,MAX(N$7:N41)+1,MAX(N$7:N41)))</f>
        <v/>
      </c>
      <c r="O42" s="73" t="str">
        <f t="shared" si="10"/>
        <v/>
      </c>
      <c r="P42" s="31" t="str">
        <f t="shared" si="18"/>
        <v/>
      </c>
      <c r="Q42" s="260" t="str">
        <f t="shared" si="19"/>
        <v/>
      </c>
      <c r="R42" s="260" t="str">
        <f t="shared" si="11"/>
        <v/>
      </c>
      <c r="S42" s="260" t="str">
        <f t="shared" si="20"/>
        <v/>
      </c>
      <c r="T42" s="260" t="str">
        <f t="shared" si="21"/>
        <v/>
      </c>
      <c r="U42" s="32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2" t="str">
        <f>IF(csv!F38="","",csv!T38)</f>
        <v>M20</v>
      </c>
      <c r="C43" s="31" t="str">
        <f>IF(csv!F38="","",csv!AO38)</f>
        <v>M20</v>
      </c>
      <c r="D43" s="31" t="str">
        <f>IF(csv!F38="","",csv!AP38&amp;"–"&amp;csv!AQ38&amp;"–"&amp;csv!AR38)</f>
        <v>5.91–290–10</v>
      </c>
      <c r="E43" s="66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41–71–47–45–50–46–49–62–55–100–––––––––––––––––––</v>
      </c>
      <c r="F43" t="s">
        <v>0</v>
      </c>
      <c r="G43" s="103"/>
      <c r="H43" s="105"/>
      <c r="J43" s="259" t="str">
        <f t="shared" si="15"/>
        <v/>
      </c>
      <c r="L43" s="52" t="str">
        <f t="shared" si="16"/>
        <v/>
      </c>
      <c r="M43" s="73" t="str">
        <f t="shared" si="17"/>
        <v/>
      </c>
      <c r="N43" s="73" t="str">
        <f>IF(H43="","",IF(COUNTIF(H$7:H42,H43)=0,MAX(N$7:N42)+1,MAX(N$7:N42)))</f>
        <v/>
      </c>
      <c r="O43" s="73" t="str">
        <f t="shared" si="10"/>
        <v/>
      </c>
      <c r="P43" s="31" t="str">
        <f t="shared" si="18"/>
        <v/>
      </c>
      <c r="Q43" s="260" t="str">
        <f t="shared" si="19"/>
        <v/>
      </c>
      <c r="R43" s="260" t="str">
        <f t="shared" si="11"/>
        <v/>
      </c>
      <c r="S43" s="260" t="str">
        <f t="shared" si="20"/>
        <v/>
      </c>
      <c r="T43" s="260" t="str">
        <f t="shared" si="21"/>
        <v/>
      </c>
      <c r="U43" s="32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2" t="str">
        <f>IF(csv!F39="","",csv!T39)</f>
        <v>M20</v>
      </c>
      <c r="C44" s="31" t="str">
        <f>IF(csv!F39="","",csv!AO39)</f>
        <v>M20</v>
      </c>
      <c r="D44" s="31" t="str">
        <f>IF(csv!F39="","",csv!AP39&amp;"–"&amp;csv!AQ39&amp;"–"&amp;csv!AR39)</f>
        <v>5.91–290–10</v>
      </c>
      <c r="E44" s="66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41–71–47–45–50–46–49–62–55–100–––––––––––––––––––</v>
      </c>
      <c r="F44" t="s">
        <v>0</v>
      </c>
      <c r="G44" s="103"/>
      <c r="H44" s="105"/>
      <c r="J44" s="259" t="str">
        <f t="shared" si="15"/>
        <v/>
      </c>
      <c r="L44" s="52" t="str">
        <f t="shared" si="16"/>
        <v/>
      </c>
      <c r="M44" s="73" t="str">
        <f t="shared" si="17"/>
        <v/>
      </c>
      <c r="N44" s="73" t="str">
        <f>IF(H44="","",IF(COUNTIF(H$7:H43,H44)=0,MAX(N$7:N43)+1,MAX(N$7:N43)))</f>
        <v/>
      </c>
      <c r="O44" s="73" t="str">
        <f t="shared" si="10"/>
        <v/>
      </c>
      <c r="P44" s="31" t="str">
        <f t="shared" si="18"/>
        <v/>
      </c>
      <c r="Q44" s="260" t="str">
        <f t="shared" si="19"/>
        <v/>
      </c>
      <c r="R44" s="260" t="str">
        <f t="shared" si="11"/>
        <v/>
      </c>
      <c r="S44" s="260" t="str">
        <f t="shared" si="20"/>
        <v/>
      </c>
      <c r="T44" s="260" t="str">
        <f t="shared" si="21"/>
        <v/>
      </c>
      <c r="U44" s="32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2" t="str">
        <f>IF(csv!F40="","",csv!T40)</f>
        <v>M20</v>
      </c>
      <c r="C45" s="31" t="str">
        <f>IF(csv!F40="","",csv!AO40)</f>
        <v>M20</v>
      </c>
      <c r="D45" s="31" t="str">
        <f>IF(csv!F40="","",csv!AP40&amp;"–"&amp;csv!AQ40&amp;"–"&amp;csv!AR40)</f>
        <v>5.91–290–10</v>
      </c>
      <c r="E45" s="66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41–71–47–45–50–46–49–62–55–100–––––––––––––––––––</v>
      </c>
      <c r="F45" t="s">
        <v>0</v>
      </c>
      <c r="G45" s="103"/>
      <c r="H45" s="105"/>
      <c r="J45" s="259" t="str">
        <f t="shared" si="15"/>
        <v/>
      </c>
      <c r="L45" s="52" t="str">
        <f t="shared" si="16"/>
        <v/>
      </c>
      <c r="M45" s="73" t="str">
        <f t="shared" si="17"/>
        <v/>
      </c>
      <c r="N45" s="73" t="str">
        <f>IF(H45="","",IF(COUNTIF(H$7:H44,H45)=0,MAX(N$7:N44)+1,MAX(N$7:N44)))</f>
        <v/>
      </c>
      <c r="O45" s="73" t="str">
        <f t="shared" si="10"/>
        <v/>
      </c>
      <c r="P45" s="31" t="str">
        <f t="shared" si="18"/>
        <v/>
      </c>
      <c r="Q45" s="260" t="str">
        <f t="shared" si="19"/>
        <v/>
      </c>
      <c r="R45" s="260" t="str">
        <f t="shared" si="11"/>
        <v/>
      </c>
      <c r="S45" s="260" t="str">
        <f t="shared" si="20"/>
        <v/>
      </c>
      <c r="T45" s="260" t="str">
        <f t="shared" si="21"/>
        <v/>
      </c>
      <c r="U45" s="32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2" t="str">
        <f>IF(csv!F41="","",csv!T41)</f>
        <v>M20</v>
      </c>
      <c r="C46" s="31" t="str">
        <f>IF(csv!F41="","",csv!AO41)</f>
        <v>M20</v>
      </c>
      <c r="D46" s="31" t="str">
        <f>IF(csv!F41="","",csv!AP41&amp;"–"&amp;csv!AQ41&amp;"–"&amp;csv!AR41)</f>
        <v>5.91–290–10</v>
      </c>
      <c r="E46" s="66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41–71–47–45–50–46–49–62–55–100–––––––––––––––––––</v>
      </c>
      <c r="F46" t="s">
        <v>0</v>
      </c>
      <c r="G46" s="103"/>
      <c r="H46" s="105"/>
      <c r="J46" s="259" t="str">
        <f t="shared" si="15"/>
        <v/>
      </c>
      <c r="L46" s="52" t="str">
        <f t="shared" si="16"/>
        <v/>
      </c>
      <c r="M46" s="73" t="str">
        <f t="shared" si="17"/>
        <v/>
      </c>
      <c r="N46" s="73" t="str">
        <f>IF(H46="","",IF(COUNTIF(H$7:H45,H46)=0,MAX(N$7:N45)+1,MAX(N$7:N45)))</f>
        <v/>
      </c>
      <c r="O46" s="73" t="str">
        <f t="shared" si="10"/>
        <v/>
      </c>
      <c r="P46" s="31" t="str">
        <f t="shared" si="18"/>
        <v/>
      </c>
      <c r="Q46" s="260" t="str">
        <f t="shared" si="19"/>
        <v/>
      </c>
      <c r="R46" s="260" t="str">
        <f t="shared" si="11"/>
        <v/>
      </c>
      <c r="S46" s="260" t="str">
        <f t="shared" si="20"/>
        <v/>
      </c>
      <c r="T46" s="260" t="str">
        <f t="shared" si="21"/>
        <v/>
      </c>
      <c r="U46" s="32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2" t="str">
        <f>IF(csv!F42="","",csv!T42)</f>
        <v>M20</v>
      </c>
      <c r="C47" s="31" t="str">
        <f>IF(csv!F42="","",csv!AO42)</f>
        <v>M20</v>
      </c>
      <c r="D47" s="31" t="str">
        <f>IF(csv!F42="","",csv!AP42&amp;"–"&amp;csv!AQ42&amp;"–"&amp;csv!AR42)</f>
        <v>5.91–290–10</v>
      </c>
      <c r="E47" s="66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41–71–47–45–50–46–49–62–55–100–––––––––––––––––––</v>
      </c>
      <c r="F47" t="s">
        <v>0</v>
      </c>
      <c r="G47" s="103"/>
      <c r="H47" s="105"/>
      <c r="J47" s="259" t="str">
        <f t="shared" si="15"/>
        <v/>
      </c>
      <c r="L47" s="52" t="str">
        <f t="shared" si="16"/>
        <v/>
      </c>
      <c r="M47" s="73" t="str">
        <f t="shared" si="17"/>
        <v/>
      </c>
      <c r="N47" s="73" t="str">
        <f>IF(H47="","",IF(COUNTIF(H$7:H46,H47)=0,MAX(N$7:N46)+1,MAX(N$7:N46)))</f>
        <v/>
      </c>
      <c r="O47" s="73" t="str">
        <f t="shared" si="10"/>
        <v/>
      </c>
      <c r="P47" s="31" t="str">
        <f t="shared" si="18"/>
        <v/>
      </c>
      <c r="Q47" s="260" t="str">
        <f t="shared" si="19"/>
        <v/>
      </c>
      <c r="R47" s="260" t="str">
        <f t="shared" si="11"/>
        <v/>
      </c>
      <c r="S47" s="260" t="str">
        <f t="shared" si="20"/>
        <v/>
      </c>
      <c r="T47" s="260" t="str">
        <f t="shared" si="21"/>
        <v/>
      </c>
      <c r="U47" s="32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2" t="str">
        <f>IF(csv!F43="","",csv!T43)</f>
        <v>M20</v>
      </c>
      <c r="C48" s="31" t="str">
        <f>IF(csv!F43="","",csv!AO43)</f>
        <v>M20</v>
      </c>
      <c r="D48" s="31" t="str">
        <f>IF(csv!F43="","",csv!AP43&amp;"–"&amp;csv!AQ43&amp;"–"&amp;csv!AR43)</f>
        <v>5.91–290–10</v>
      </c>
      <c r="E48" s="66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41–71–47–45–50–46–49–62–55–100–––––––––––––––––––</v>
      </c>
      <c r="F48" t="s">
        <v>0</v>
      </c>
      <c r="G48" s="103"/>
      <c r="H48" s="105"/>
      <c r="J48" s="259" t="str">
        <f t="shared" si="15"/>
        <v/>
      </c>
      <c r="L48" s="52" t="str">
        <f t="shared" si="16"/>
        <v/>
      </c>
      <c r="M48" s="73" t="str">
        <f t="shared" si="17"/>
        <v/>
      </c>
      <c r="N48" s="73" t="str">
        <f>IF(H48="","",IF(COUNTIF(H$7:H47,H48)=0,MAX(N$7:N47)+1,MAX(N$7:N47)))</f>
        <v/>
      </c>
      <c r="O48" s="73" t="str">
        <f t="shared" si="10"/>
        <v/>
      </c>
      <c r="P48" s="31" t="str">
        <f t="shared" si="18"/>
        <v/>
      </c>
      <c r="Q48" s="260" t="str">
        <f t="shared" si="19"/>
        <v/>
      </c>
      <c r="R48" s="260" t="str">
        <f t="shared" si="11"/>
        <v/>
      </c>
      <c r="S48" s="260" t="str">
        <f t="shared" si="20"/>
        <v/>
      </c>
      <c r="T48" s="260" t="str">
        <f t="shared" si="21"/>
        <v/>
      </c>
      <c r="U48" s="32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2" t="str">
        <f>IF(csv!F44="","",csv!T44)</f>
        <v>M20</v>
      </c>
      <c r="C49" s="31" t="str">
        <f>IF(csv!F44="","",csv!AO44)</f>
        <v>M20</v>
      </c>
      <c r="D49" s="31" t="str">
        <f>IF(csv!F44="","",csv!AP44&amp;"–"&amp;csv!AQ44&amp;"–"&amp;csv!AR44)</f>
        <v>5.91–290–10</v>
      </c>
      <c r="E49" s="66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/>
      </c>
      <c r="F49" t="s">
        <v>0</v>
      </c>
      <c r="G49" s="103"/>
      <c r="H49" s="105"/>
      <c r="J49" s="259" t="str">
        <f t="shared" si="15"/>
        <v/>
      </c>
      <c r="L49" s="52" t="str">
        <f t="shared" si="16"/>
        <v/>
      </c>
      <c r="M49" s="73" t="str">
        <f t="shared" si="17"/>
        <v/>
      </c>
      <c r="N49" s="73" t="str">
        <f>IF(H49="","",IF(COUNTIF(H$7:H48,H49)=0,MAX(N$7:N48)+1,MAX(N$7:N48)))</f>
        <v/>
      </c>
      <c r="O49" s="73" t="str">
        <f t="shared" si="10"/>
        <v/>
      </c>
      <c r="P49" s="31" t="str">
        <f t="shared" si="18"/>
        <v/>
      </c>
      <c r="Q49" s="260" t="str">
        <f t="shared" si="19"/>
        <v/>
      </c>
      <c r="R49" s="260" t="str">
        <f t="shared" si="11"/>
        <v/>
      </c>
      <c r="S49" s="260" t="str">
        <f t="shared" si="20"/>
        <v/>
      </c>
      <c r="T49" s="260" t="str">
        <f t="shared" si="21"/>
        <v/>
      </c>
      <c r="U49" s="32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2" t="str">
        <f>IF(csv!F45="","",csv!T45)</f>
        <v>M20</v>
      </c>
      <c r="C50" s="31" t="str">
        <f>IF(csv!F45="","",csv!AO45)</f>
        <v>M20</v>
      </c>
      <c r="D50" s="31" t="str">
        <f>IF(csv!F45="","",csv!AP45&amp;"–"&amp;csv!AQ45&amp;"–"&amp;csv!AR45)</f>
        <v>5.91–290–10</v>
      </c>
      <c r="E50" s="66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3"/>
      <c r="H50" s="105"/>
      <c r="J50" s="259" t="str">
        <f t="shared" si="15"/>
        <v/>
      </c>
      <c r="L50" s="52" t="str">
        <f t="shared" si="16"/>
        <v/>
      </c>
      <c r="M50" s="73" t="str">
        <f t="shared" si="17"/>
        <v/>
      </c>
      <c r="N50" s="73" t="str">
        <f>IF(H50="","",IF(COUNTIF(H$7:H49,H50)=0,MAX(N$7:N49)+1,MAX(N$7:N49)))</f>
        <v/>
      </c>
      <c r="O50" s="73" t="str">
        <f t="shared" si="10"/>
        <v/>
      </c>
      <c r="P50" s="31" t="str">
        <f t="shared" si="18"/>
        <v/>
      </c>
      <c r="Q50" s="260" t="str">
        <f t="shared" si="19"/>
        <v/>
      </c>
      <c r="R50" s="260" t="str">
        <f t="shared" si="11"/>
        <v/>
      </c>
      <c r="S50" s="260" t="str">
        <f t="shared" si="20"/>
        <v/>
      </c>
      <c r="T50" s="260" t="str">
        <f t="shared" si="21"/>
        <v/>
      </c>
      <c r="U50" s="32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2" t="str">
        <f>IF(csv!F46="","",csv!T46)</f>
        <v>M20</v>
      </c>
      <c r="C51" s="31" t="str">
        <f>IF(csv!F46="","",csv!AO46)</f>
        <v>M20</v>
      </c>
      <c r="D51" s="31" t="str">
        <f>IF(csv!F46="","",csv!AP46&amp;"–"&amp;csv!AQ46&amp;"–"&amp;csv!AR46)</f>
        <v>5.91–290–10</v>
      </c>
      <c r="E51" s="66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3"/>
      <c r="H51" s="105"/>
      <c r="J51" s="259" t="str">
        <f t="shared" si="15"/>
        <v/>
      </c>
      <c r="L51" s="52" t="str">
        <f t="shared" si="16"/>
        <v/>
      </c>
      <c r="M51" s="73" t="str">
        <f t="shared" si="17"/>
        <v/>
      </c>
      <c r="N51" s="73" t="str">
        <f>IF(H51="","",IF(COUNTIF(H$7:H50,H51)=0,MAX(N$7:N50)+1,MAX(N$7:N50)))</f>
        <v/>
      </c>
      <c r="O51" s="73" t="str">
        <f t="shared" si="10"/>
        <v/>
      </c>
      <c r="P51" s="31" t="str">
        <f t="shared" si="18"/>
        <v/>
      </c>
      <c r="Q51" s="260" t="str">
        <f t="shared" si="19"/>
        <v/>
      </c>
      <c r="R51" s="260" t="str">
        <f t="shared" si="11"/>
        <v/>
      </c>
      <c r="S51" s="260" t="str">
        <f t="shared" si="20"/>
        <v/>
      </c>
      <c r="T51" s="260" t="str">
        <f t="shared" si="21"/>
        <v/>
      </c>
      <c r="U51" s="32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2" t="str">
        <f>IF(csv!F47="","",csv!T47)</f>
        <v>M20</v>
      </c>
      <c r="C52" s="31" t="str">
        <f>IF(csv!F47="","",csv!AO47)</f>
        <v>M20</v>
      </c>
      <c r="D52" s="31" t="str">
        <f>IF(csv!F47="","",csv!AP47&amp;"–"&amp;csv!AQ47&amp;"–"&amp;csv!AR47)</f>
        <v>5.91–290–10</v>
      </c>
      <c r="E52" s="66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41–––––––––100–––––––––––––––––––</v>
      </c>
      <c r="F52" t="s">
        <v>0</v>
      </c>
      <c r="G52" s="103"/>
      <c r="H52" s="105"/>
      <c r="J52" s="259" t="str">
        <f t="shared" si="15"/>
        <v/>
      </c>
      <c r="L52" s="52" t="str">
        <f t="shared" si="16"/>
        <v/>
      </c>
      <c r="M52" s="73" t="str">
        <f t="shared" si="17"/>
        <v/>
      </c>
      <c r="N52" s="73" t="str">
        <f>IF(H52="","",IF(COUNTIF(H$7:H51,H52)=0,MAX(N$7:N51)+1,MAX(N$7:N51)))</f>
        <v/>
      </c>
      <c r="O52" s="73" t="str">
        <f t="shared" si="10"/>
        <v/>
      </c>
      <c r="P52" s="31" t="str">
        <f t="shared" si="18"/>
        <v/>
      </c>
      <c r="Q52" s="260" t="str">
        <f t="shared" si="19"/>
        <v/>
      </c>
      <c r="R52" s="260" t="str">
        <f t="shared" si="11"/>
        <v/>
      </c>
      <c r="S52" s="260" t="str">
        <f t="shared" si="20"/>
        <v/>
      </c>
      <c r="T52" s="260" t="str">
        <f t="shared" si="21"/>
        <v/>
      </c>
      <c r="U52" s="32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2" t="str">
        <f>IF(csv!F48="","",csv!T48)</f>
        <v>M21A</v>
      </c>
      <c r="C53" s="31" t="str">
        <f>IF(csv!F48="","",csv!AO48)</f>
        <v>M21A</v>
      </c>
      <c r="D53" s="31" t="str">
        <f>IF(csv!F48="","",csv!AP48&amp;"–"&amp;csv!AQ48&amp;"–"&amp;csv!AR48)</f>
        <v>9.14–460–17</v>
      </c>
      <c r="E53" s="66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43–56–71–45–50–46–48–49–31–51–32–33–52–53–54–55–100––––––––––––</v>
      </c>
      <c r="F53" t="s">
        <v>0</v>
      </c>
      <c r="G53" s="103"/>
      <c r="H53" s="105"/>
      <c r="J53" s="259" t="str">
        <f t="shared" si="15"/>
        <v/>
      </c>
      <c r="L53" s="52" t="str">
        <f t="shared" si="16"/>
        <v/>
      </c>
      <c r="M53" s="73" t="str">
        <f t="shared" si="17"/>
        <v/>
      </c>
      <c r="N53" s="73" t="str">
        <f>IF(H53="","",IF(COUNTIF(H$7:H52,H53)=0,MAX(N$7:N52)+1,MAX(N$7:N52)))</f>
        <v/>
      </c>
      <c r="O53" s="73" t="str">
        <f t="shared" si="10"/>
        <v/>
      </c>
      <c r="P53" s="31" t="str">
        <f t="shared" si="18"/>
        <v/>
      </c>
      <c r="Q53" s="260" t="str">
        <f t="shared" si="19"/>
        <v/>
      </c>
      <c r="R53" s="260" t="str">
        <f t="shared" si="11"/>
        <v/>
      </c>
      <c r="S53" s="260" t="str">
        <f t="shared" si="20"/>
        <v/>
      </c>
      <c r="T53" s="260" t="str">
        <f t="shared" si="21"/>
        <v/>
      </c>
      <c r="U53" s="32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2" t="str">
        <f>IF(csv!F49="","",csv!T49)</f>
        <v>M21A</v>
      </c>
      <c r="C54" s="31" t="str">
        <f>IF(csv!F49="","",csv!AO49)</f>
        <v>M21A</v>
      </c>
      <c r="D54" s="31" t="str">
        <f>IF(csv!F49="","",csv!AP49&amp;"–"&amp;csv!AQ49&amp;"–"&amp;csv!AR49)</f>
        <v>9.14–460–17</v>
      </c>
      <c r="E54" s="66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43–56–71–45–50–46–48–49–31–51–32–33–52–53–54–55–100––––––––––––</v>
      </c>
      <c r="F54" t="s">
        <v>0</v>
      </c>
      <c r="G54" s="103"/>
      <c r="H54" s="105"/>
      <c r="J54" s="259" t="str">
        <f t="shared" si="15"/>
        <v/>
      </c>
      <c r="L54" s="52" t="str">
        <f t="shared" si="16"/>
        <v/>
      </c>
      <c r="M54" s="73" t="str">
        <f t="shared" si="17"/>
        <v/>
      </c>
      <c r="N54" s="73" t="str">
        <f>IF(H54="","",IF(COUNTIF(H$7:H53,H54)=0,MAX(N$7:N53)+1,MAX(N$7:N53)))</f>
        <v/>
      </c>
      <c r="O54" s="73" t="str">
        <f t="shared" si="10"/>
        <v/>
      </c>
      <c r="P54" s="31" t="str">
        <f t="shared" si="18"/>
        <v/>
      </c>
      <c r="Q54" s="260" t="str">
        <f t="shared" si="19"/>
        <v/>
      </c>
      <c r="R54" s="260" t="str">
        <f t="shared" si="11"/>
        <v/>
      </c>
      <c r="S54" s="260" t="str">
        <f t="shared" si="20"/>
        <v/>
      </c>
      <c r="T54" s="260" t="str">
        <f t="shared" si="21"/>
        <v/>
      </c>
      <c r="U54" s="32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2" t="str">
        <f>IF(csv!F50="","",csv!T50)</f>
        <v>M21A</v>
      </c>
      <c r="C55" s="31" t="str">
        <f>IF(csv!F50="","",csv!AO50)</f>
        <v>M21A</v>
      </c>
      <c r="D55" s="31" t="str">
        <f>IF(csv!F50="","",csv!AP50&amp;"–"&amp;csv!AQ50&amp;"–"&amp;csv!AR50)</f>
        <v>9.14–460–17</v>
      </c>
      <c r="E55" s="66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43–56–71–45–50–46–48–49–31–51–32–33–52–53–54–55–100––––––––––––</v>
      </c>
      <c r="F55" t="s">
        <v>0</v>
      </c>
      <c r="G55" s="103"/>
      <c r="H55" s="105"/>
      <c r="J55" s="259" t="str">
        <f t="shared" si="15"/>
        <v/>
      </c>
      <c r="L55" s="52" t="str">
        <f t="shared" si="16"/>
        <v/>
      </c>
      <c r="M55" s="73" t="str">
        <f t="shared" si="17"/>
        <v/>
      </c>
      <c r="N55" s="73" t="str">
        <f>IF(H55="","",IF(COUNTIF(H$7:H54,H55)=0,MAX(N$7:N54)+1,MAX(N$7:N54)))</f>
        <v/>
      </c>
      <c r="O55" s="73" t="str">
        <f t="shared" si="10"/>
        <v/>
      </c>
      <c r="P55" s="31" t="str">
        <f t="shared" si="18"/>
        <v/>
      </c>
      <c r="Q55" s="260" t="str">
        <f t="shared" si="19"/>
        <v/>
      </c>
      <c r="R55" s="260" t="str">
        <f t="shared" si="11"/>
        <v/>
      </c>
      <c r="S55" s="260" t="str">
        <f t="shared" si="20"/>
        <v/>
      </c>
      <c r="T55" s="260" t="str">
        <f t="shared" si="21"/>
        <v/>
      </c>
      <c r="U55" s="32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2" t="str">
        <f>IF(csv!F51="","",csv!T51)</f>
        <v>M21A</v>
      </c>
      <c r="C56" s="31" t="str">
        <f>IF(csv!F51="","",csv!AO51)</f>
        <v>M21A</v>
      </c>
      <c r="D56" s="31" t="str">
        <f>IF(csv!F51="","",csv!AP51&amp;"–"&amp;csv!AQ51&amp;"–"&amp;csv!AR51)</f>
        <v>9.14–460–17</v>
      </c>
      <c r="E56" s="66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43–56–71–45–50–46–48–49–31–51–32–33–52–53–54–55–100––––––––––––</v>
      </c>
      <c r="F56" t="s">
        <v>0</v>
      </c>
      <c r="G56" s="103"/>
      <c r="H56" s="105"/>
      <c r="J56" s="259" t="str">
        <f t="shared" si="15"/>
        <v/>
      </c>
      <c r="L56" s="52" t="str">
        <f t="shared" si="16"/>
        <v/>
      </c>
      <c r="M56" s="73" t="str">
        <f t="shared" si="17"/>
        <v/>
      </c>
      <c r="N56" s="73" t="str">
        <f>IF(H56="","",IF(COUNTIF(H$7:H55,H56)=0,MAX(N$7:N55)+1,MAX(N$7:N55)))</f>
        <v/>
      </c>
      <c r="O56" s="73" t="str">
        <f t="shared" si="10"/>
        <v/>
      </c>
      <c r="P56" s="31" t="str">
        <f t="shared" si="18"/>
        <v/>
      </c>
      <c r="Q56" s="260" t="str">
        <f t="shared" si="19"/>
        <v/>
      </c>
      <c r="R56" s="260" t="str">
        <f t="shared" si="11"/>
        <v/>
      </c>
      <c r="S56" s="260" t="str">
        <f t="shared" si="20"/>
        <v/>
      </c>
      <c r="T56" s="260" t="str">
        <f t="shared" si="21"/>
        <v/>
      </c>
      <c r="U56" s="32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2" t="str">
        <f>IF(csv!F52="","",csv!T52)</f>
        <v>M21A</v>
      </c>
      <c r="C57" s="31" t="str">
        <f>IF(csv!F52="","",csv!AO52)</f>
        <v>M21A</v>
      </c>
      <c r="D57" s="31" t="str">
        <f>IF(csv!F52="","",csv!AP52&amp;"–"&amp;csv!AQ52&amp;"–"&amp;csv!AR52)</f>
        <v>9.14–460–17</v>
      </c>
      <c r="E57" s="66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43–56–71–45–50–46–48–49–31–51–32–33–52–53–54–55–100––––––––––––</v>
      </c>
      <c r="F57" t="s">
        <v>0</v>
      </c>
      <c r="G57" s="106"/>
      <c r="H57" s="108"/>
      <c r="J57" s="262" t="str">
        <f t="shared" si="15"/>
        <v/>
      </c>
      <c r="L57" s="54" t="str">
        <f t="shared" si="16"/>
        <v/>
      </c>
      <c r="M57" s="74" t="str">
        <f t="shared" si="17"/>
        <v/>
      </c>
      <c r="N57" s="74" t="str">
        <f>IF(H57="","",IF(COUNTIF(H$7:H56,H57)=0,MAX(N$7:N56)+1,MAX(N$7:N56)))</f>
        <v/>
      </c>
      <c r="O57" s="74" t="str">
        <f t="shared" si="10"/>
        <v/>
      </c>
      <c r="P57" s="34" t="str">
        <f t="shared" si="18"/>
        <v/>
      </c>
      <c r="Q57" s="263" t="str">
        <f t="shared" si="19"/>
        <v/>
      </c>
      <c r="R57" s="263" t="str">
        <f t="shared" si="11"/>
        <v/>
      </c>
      <c r="S57" s="263" t="str">
        <f t="shared" si="20"/>
        <v/>
      </c>
      <c r="T57" s="263" t="str">
        <f t="shared" si="21"/>
        <v/>
      </c>
      <c r="U57" s="35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2" t="str">
        <f>IF(csv!F53="","",csv!T53)</f>
        <v>M21A</v>
      </c>
      <c r="C58" s="31" t="str">
        <f>IF(csv!F53="","",csv!AO53)</f>
        <v>M21A</v>
      </c>
      <c r="D58" s="31" t="str">
        <f>IF(csv!F53="","",csv!AP53&amp;"–"&amp;csv!AQ53&amp;"–"&amp;csv!AR53)</f>
        <v>9.14–460–17</v>
      </c>
      <c r="E58" s="66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43–56–71–45–50–46–48–49–31–51–32–33–52–53–54–55–100––––––––––––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2" t="str">
        <f>IF(csv!F54="","",csv!T54)</f>
        <v>M21A</v>
      </c>
      <c r="C59" s="31" t="str">
        <f>IF(csv!F54="","",csv!AO54)</f>
        <v>M21A</v>
      </c>
      <c r="D59" s="31" t="str">
        <f>IF(csv!F54="","",csv!AP54&amp;"–"&amp;csv!AQ54&amp;"–"&amp;csv!AR54)</f>
        <v>9.14–460–17</v>
      </c>
      <c r="E59" s="66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43–56–71–45–50–46–48–49–31–51–32–33–52–53–54–55–100––––––––––––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2" t="str">
        <f>IF(csv!F55="","",csv!T55)</f>
        <v>M21A</v>
      </c>
      <c r="C60" s="31" t="str">
        <f>IF(csv!F55="","",csv!AO55)</f>
        <v>M21A</v>
      </c>
      <c r="D60" s="31" t="str">
        <f>IF(csv!F55="","",csv!AP55&amp;"–"&amp;csv!AQ55&amp;"–"&amp;csv!AR55)</f>
        <v>9.14–460–17</v>
      </c>
      <c r="E60" s="66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43–56–71–45–50–46–48–49–31–51–32–33–52–53–54–55–100––––––––––––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2" t="str">
        <f>IF(csv!F56="","",csv!T56)</f>
        <v>M21A</v>
      </c>
      <c r="C61" s="31" t="str">
        <f>IF(csv!F56="","",csv!AO56)</f>
        <v>M21A</v>
      </c>
      <c r="D61" s="31" t="str">
        <f>IF(csv!F56="","",csv!AP56&amp;"–"&amp;csv!AQ56&amp;"–"&amp;csv!AR56)</f>
        <v>9.14–460–17</v>
      </c>
      <c r="E61" s="66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43–56–71–45–50–46–48–49–31–51–32–33–52–53–54–55–100––––––––––––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2" t="str">
        <f>IF(csv!F57="","",csv!T57)</f>
        <v>M21A</v>
      </c>
      <c r="C62" s="31" t="str">
        <f>IF(csv!F57="","",csv!AO57)</f>
        <v>M21A</v>
      </c>
      <c r="D62" s="31" t="str">
        <f>IF(csv!F57="","",csv!AP57&amp;"–"&amp;csv!AQ57&amp;"–"&amp;csv!AR57)</f>
        <v>9.14–460–17</v>
      </c>
      <c r="E62" s="66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43–56–71–45–50–46–48–49–31–51–32–33–52–53–54–55–100––––––––––––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2" t="str">
        <f>IF(csv!F58="","",csv!T58)</f>
        <v>M21A</v>
      </c>
      <c r="C63" s="31" t="str">
        <f>IF(csv!F58="","",csv!AO58)</f>
        <v>M21A</v>
      </c>
      <c r="D63" s="31" t="str">
        <f>IF(csv!F58="","",csv!AP58&amp;"–"&amp;csv!AQ58&amp;"–"&amp;csv!AR58)</f>
        <v>9.14–460–17</v>
      </c>
      <c r="E63" s="66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2" t="str">
        <f>IF(csv!F59="","",csv!T59)</f>
        <v>M21A</v>
      </c>
      <c r="C64" s="31" t="str">
        <f>IF(csv!F59="","",csv!AO59)</f>
        <v>M21A</v>
      </c>
      <c r="D64" s="31" t="str">
        <f>IF(csv!F59="","",csv!AP59&amp;"–"&amp;csv!AQ59&amp;"–"&amp;csv!AR59)</f>
        <v>9.14–460–17</v>
      </c>
      <c r="E64" s="66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2" t="str">
        <f>IF(csv!F60="","",csv!T60)</f>
        <v>M21A</v>
      </c>
      <c r="C65" s="31" t="str">
        <f>IF(csv!F60="","",csv!AO60)</f>
        <v>M21A</v>
      </c>
      <c r="D65" s="31" t="str">
        <f>IF(csv!F60="","",csv!AP60&amp;"–"&amp;csv!AQ60&amp;"–"&amp;csv!AR60)</f>
        <v>9.14–460–17</v>
      </c>
      <c r="E65" s="66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2" t="str">
        <f>IF(csv!F61="","",csv!T61)</f>
        <v>M21B</v>
      </c>
      <c r="C66" s="31" t="str">
        <f>IF(csv!F61="","",csv!AO61)</f>
        <v>M21B</v>
      </c>
      <c r="D66" s="31" t="str">
        <f>IF(csv!F61="","",csv!AP61&amp;"–"&amp;csv!AQ61&amp;"–"&amp;csv!AR61)</f>
        <v>3.91–125–8</v>
      </c>
      <c r="E66" s="66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61–64–39–63–67–34–38–100–––––––––––––––––––––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2" t="str">
        <f>IF(csv!F62="","",csv!T62)</f>
        <v>M21B</v>
      </c>
      <c r="C67" s="31" t="str">
        <f>IF(csv!F62="","",csv!AO62)</f>
        <v>M21B</v>
      </c>
      <c r="D67" s="31" t="str">
        <f>IF(csv!F62="","",csv!AP62&amp;"–"&amp;csv!AQ62&amp;"–"&amp;csv!AR62)</f>
        <v>3.91–125–8</v>
      </c>
      <c r="E67" s="66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61–64–39–63–67–34–38–100–––––––––––––––––––––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2" t="str">
        <f>IF(csv!F63="","",csv!T63)</f>
        <v>M21B</v>
      </c>
      <c r="C68" s="31" t="str">
        <f>IF(csv!F63="","",csv!AO63)</f>
        <v>M21B</v>
      </c>
      <c r="D68" s="31" t="str">
        <f>IF(csv!F63="","",csv!AP63&amp;"–"&amp;csv!AQ63&amp;"–"&amp;csv!AR63)</f>
        <v>3.91–125–8</v>
      </c>
      <c r="E68" s="66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61–64–39–63–67–34–38–100–––––––––––––––––––––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2" t="str">
        <f>IF(csv!F64="","",csv!T64)</f>
        <v>M21B</v>
      </c>
      <c r="C69" s="31" t="str">
        <f>IF(csv!F64="","",csv!AO64)</f>
        <v>M21B</v>
      </c>
      <c r="D69" s="31" t="str">
        <f>IF(csv!F64="","",csv!AP64&amp;"–"&amp;csv!AQ64&amp;"–"&amp;csv!AR64)</f>
        <v>3.91–125–8</v>
      </c>
      <c r="E69" s="66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61–64–39–63–67–34–38–100–––––––––––––––––––––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2" t="str">
        <f>IF(csv!F65="","",csv!T65)</f>
        <v>M21B</v>
      </c>
      <c r="C70" s="31" t="str">
        <f>IF(csv!F65="","",csv!AO65)</f>
        <v>M21B</v>
      </c>
      <c r="D70" s="31" t="str">
        <f>IF(csv!F65="","",csv!AP65&amp;"–"&amp;csv!AQ65&amp;"–"&amp;csv!AR65)</f>
        <v>3.91–125–8</v>
      </c>
      <c r="E70" s="66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61–64–39–63–67–34–38–100–––––––––––––––––––––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2" t="str">
        <f>IF(csv!F66="","",csv!T66)</f>
        <v>M21B</v>
      </c>
      <c r="C71" s="31" t="str">
        <f>IF(csv!F66="","",csv!AO66)</f>
        <v>M21B</v>
      </c>
      <c r="D71" s="31" t="str">
        <f>IF(csv!F66="","",csv!AP66&amp;"–"&amp;csv!AQ66&amp;"–"&amp;csv!AR66)</f>
        <v>3.91–125–8</v>
      </c>
      <c r="E71" s="66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61–64–39–63–67–34–38–100–––––––––––––––––––––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2" t="str">
        <f>IF(csv!F67="","",csv!T67)</f>
        <v>M21B</v>
      </c>
      <c r="C72" s="31" t="str">
        <f>IF(csv!F67="","",csv!AO67)</f>
        <v>M21B</v>
      </c>
      <c r="D72" s="31" t="str">
        <f>IF(csv!F67="","",csv!AP67&amp;"–"&amp;csv!AQ67&amp;"–"&amp;csv!AR67)</f>
        <v>3.91–125–8</v>
      </c>
      <c r="E72" s="66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61–64–39–63–67–34–38–100–––––––––––––––––––––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2" t="str">
        <f>IF(csv!F68="","",csv!T68)</f>
        <v>M21B</v>
      </c>
      <c r="C73" s="31" t="str">
        <f>IF(csv!F68="","",csv!AO68)</f>
        <v>M21B</v>
      </c>
      <c r="D73" s="31" t="str">
        <f>IF(csv!F68="","",csv!AP68&amp;"–"&amp;csv!AQ68&amp;"–"&amp;csv!AR68)</f>
        <v>3.91–125–8</v>
      </c>
      <c r="E73" s="66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61–64–39–63–67–34–38–100–––––––––––––––––––––</v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2" t="str">
        <f>IF(csv!F69="","",csv!T69)</f>
        <v>M21B</v>
      </c>
      <c r="C74" s="31" t="str">
        <f>IF(csv!F69="","",csv!AO69)</f>
        <v>M21B</v>
      </c>
      <c r="D74" s="31" t="str">
        <f>IF(csv!F69="","",csv!AP69&amp;"–"&amp;csv!AQ69&amp;"–"&amp;csv!AR69)</f>
        <v>3.91–125–8</v>
      </c>
      <c r="E74" s="66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61–64–39–63–67–34–38–100–––––––––––––––––––––</v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2" t="str">
        <f>IF(csv!F70="","",csv!T70)</f>
        <v>M21B</v>
      </c>
      <c r="C75" s="31" t="str">
        <f>IF(csv!F70="","",csv!AO70)</f>
        <v>M21B</v>
      </c>
      <c r="D75" s="31" t="str">
        <f>IF(csv!F70="","",csv!AP70&amp;"–"&amp;csv!AQ70&amp;"–"&amp;csv!AR70)</f>
        <v>3.91–125–8</v>
      </c>
      <c r="E75" s="66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61–64–39–63–67–34–38–100–––––––––––––––––––––</v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2" t="str">
        <f>IF(csv!F71="","",csv!T71)</f>
        <v>M21B</v>
      </c>
      <c r="C76" s="31" t="str">
        <f>IF(csv!F71="","",csv!AO71)</f>
        <v>M21B</v>
      </c>
      <c r="D76" s="31" t="str">
        <f>IF(csv!F71="","",csv!AP71&amp;"–"&amp;csv!AQ71&amp;"–"&amp;csv!AR71)</f>
        <v>3.91–125–8</v>
      </c>
      <c r="E76" s="66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61–64–39–63–67–34–38–100–––––––––––––––––––––</v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2" t="str">
        <f>IF(csv!F72="","",csv!T72)</f>
        <v>M21B</v>
      </c>
      <c r="C77" s="31" t="str">
        <f>IF(csv!F72="","",csv!AO72)</f>
        <v>M21B</v>
      </c>
      <c r="D77" s="31" t="str">
        <f>IF(csv!F72="","",csv!AP72&amp;"–"&amp;csv!AQ72&amp;"–"&amp;csv!AR72)</f>
        <v>3.91–125–8</v>
      </c>
      <c r="E77" s="66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61–64–39–63–67–34–38–100–––––––––––––––––––––</v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2" t="str">
        <f>IF(csv!F73="","",csv!T73)</f>
        <v>M21B</v>
      </c>
      <c r="C78" s="31" t="str">
        <f>IF(csv!F73="","",csv!AO73)</f>
        <v>M21B</v>
      </c>
      <c r="D78" s="31" t="str">
        <f>IF(csv!F73="","",csv!AP73&amp;"–"&amp;csv!AQ73&amp;"–"&amp;csv!AR73)</f>
        <v>3.91–125–8</v>
      </c>
      <c r="E78" s="66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61–64–39–63–67–34–38–100–––––––––––––––––––––</v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2" t="str">
        <f>IF(csv!F74="","",csv!T74)</f>
        <v>M21B</v>
      </c>
      <c r="C79" s="31" t="str">
        <f>IF(csv!F74="","",csv!AO74)</f>
        <v>M21B</v>
      </c>
      <c r="D79" s="31" t="str">
        <f>IF(csv!F74="","",csv!AP74&amp;"–"&amp;csv!AQ74&amp;"–"&amp;csv!AR74)</f>
        <v>3.91–125–8</v>
      </c>
      <c r="E79" s="66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61–64–39–63–67–34–38–100–––––––––––––––––––––</v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2" t="str">
        <f>IF(csv!F75="","",csv!T75)</f>
        <v>M21B</v>
      </c>
      <c r="C80" s="31" t="str">
        <f>IF(csv!F75="","",csv!AO75)</f>
        <v>M21B</v>
      </c>
      <c r="D80" s="31" t="str">
        <f>IF(csv!F75="","",csv!AP75&amp;"–"&amp;csv!AQ75&amp;"–"&amp;csv!AR75)</f>
        <v>3.91–125–8</v>
      </c>
      <c r="E80" s="66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61–64–39–63–67–34–38–100–––––––––––––––––––––</v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2" t="str">
        <f>IF(csv!F76="","",csv!T76)</f>
        <v>M21B</v>
      </c>
      <c r="C81" s="31" t="str">
        <f>IF(csv!F76="","",csv!AO76)</f>
        <v>M21B</v>
      </c>
      <c r="D81" s="31" t="str">
        <f>IF(csv!F76="","",csv!AP76&amp;"–"&amp;csv!AQ76&amp;"–"&amp;csv!AR76)</f>
        <v>3.91–125–8</v>
      </c>
      <c r="E81" s="66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61–64–39–63–67–34–38–100–––––––––––––––––––––</v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2" t="str">
        <f>IF(csv!F77="","",csv!T77)</f>
        <v>M21B</v>
      </c>
      <c r="C82" s="31" t="str">
        <f>IF(csv!F77="","",csv!AO77)</f>
        <v>M21B</v>
      </c>
      <c r="D82" s="31" t="str">
        <f>IF(csv!F77="","",csv!AP77&amp;"–"&amp;csv!AQ77&amp;"–"&amp;csv!AR77)</f>
        <v>3.91–125–8</v>
      </c>
      <c r="E82" s="66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61–64–39–63–67–34–38–100–––––––––––––––––––––</v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2" t="str">
        <f>IF(csv!F78="","",csv!T78)</f>
        <v>M21B</v>
      </c>
      <c r="C83" s="31" t="str">
        <f>IF(csv!F78="","",csv!AO78)</f>
        <v>M21B</v>
      </c>
      <c r="D83" s="31" t="str">
        <f>IF(csv!F78="","",csv!AP78&amp;"–"&amp;csv!AQ78&amp;"–"&amp;csv!AR78)</f>
        <v>3.91–125–8</v>
      </c>
      <c r="E83" s="66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61–64–39–63–67–34–38–100–––––––––––––––––––––</v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2" t="str">
        <f>IF(csv!F79="","",csv!T79)</f>
        <v>M21B</v>
      </c>
      <c r="C84" s="31" t="str">
        <f>IF(csv!F79="","",csv!AO79)</f>
        <v>M21B</v>
      </c>
      <c r="D84" s="31" t="str">
        <f>IF(csv!F79="","",csv!AP79&amp;"–"&amp;csv!AQ79&amp;"–"&amp;csv!AR79)</f>
        <v>3.91–125–8</v>
      </c>
      <c r="E84" s="66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61–64–39–63–67–34–38–100–––––––––––––––––––––</v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2" t="str">
        <f>IF(csv!F80="","",csv!T80)</f>
        <v>M21B</v>
      </c>
      <c r="C85" s="31" t="str">
        <f>IF(csv!F80="","",csv!AO80)</f>
        <v>M21B</v>
      </c>
      <c r="D85" s="31" t="str">
        <f>IF(csv!F80="","",csv!AP80&amp;"–"&amp;csv!AQ80&amp;"–"&amp;csv!AR80)</f>
        <v>3.91–125–8</v>
      </c>
      <c r="E85" s="66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61–64–39–63–67–34–38–100–––––––––––––––––––––</v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2" t="str">
        <f>IF(csv!F81="","",csv!T81)</f>
        <v>M21B</v>
      </c>
      <c r="C86" s="31" t="str">
        <f>IF(csv!F81="","",csv!AO81)</f>
        <v>M21B</v>
      </c>
      <c r="D86" s="31" t="str">
        <f>IF(csv!F81="","",csv!AP81&amp;"–"&amp;csv!AQ81&amp;"–"&amp;csv!AR81)</f>
        <v>3.91–125–8</v>
      </c>
      <c r="E86" s="66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61–64–39–63–67–34–38–100–––––––––––––––––––––</v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2" t="str">
        <f>IF(csv!F82="","",csv!T82)</f>
        <v>M21B</v>
      </c>
      <c r="C87" s="31" t="str">
        <f>IF(csv!F82="","",csv!AO82)</f>
        <v>M21B</v>
      </c>
      <c r="D87" s="31" t="str">
        <f>IF(csv!F82="","",csv!AP82&amp;"–"&amp;csv!AQ82&amp;"–"&amp;csv!AR82)</f>
        <v>3.91–125–8</v>
      </c>
      <c r="E87" s="66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61–64–39–63–67–34–38–100–––––––––––––––––––––</v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2" t="str">
        <f>IF(csv!F83="","",csv!T83)</f>
        <v>M21B</v>
      </c>
      <c r="C88" s="31" t="str">
        <f>IF(csv!F83="","",csv!AO83)</f>
        <v>M21B</v>
      </c>
      <c r="D88" s="31" t="str">
        <f>IF(csv!F83="","",csv!AP83&amp;"–"&amp;csv!AQ83&amp;"–"&amp;csv!AR83)</f>
        <v>3.91–125–8</v>
      </c>
      <c r="E88" s="66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61–64–39–63–67–34–38–100–––––––––––––––––––––</v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2" t="str">
        <f>IF(csv!F84="","",csv!T84)</f>
        <v>M21B</v>
      </c>
      <c r="C89" s="31" t="str">
        <f>IF(csv!F84="","",csv!AO84)</f>
        <v>M21B</v>
      </c>
      <c r="D89" s="31" t="str">
        <f>IF(csv!F84="","",csv!AP84&amp;"–"&amp;csv!AQ84&amp;"–"&amp;csv!AR84)</f>
        <v>3.91–125–8</v>
      </c>
      <c r="E89" s="66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61–64–39–63–67–34–38–100–––––––––––––––––––––</v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2" t="str">
        <f>IF(csv!F85="","",csv!T85)</f>
        <v>M21B</v>
      </c>
      <c r="C90" s="31" t="str">
        <f>IF(csv!F85="","",csv!AO85)</f>
        <v>M21B</v>
      </c>
      <c r="D90" s="31" t="str">
        <f>IF(csv!F85="","",csv!AP85&amp;"–"&amp;csv!AQ85&amp;"–"&amp;csv!AR85)</f>
        <v>3.91–125–8</v>
      </c>
      <c r="E90" s="66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61–64–39–63–67–34–38–100–––––––––––––––––––––</v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2" t="str">
        <f>IF(csv!F86="","",csv!T86)</f>
        <v>M21B</v>
      </c>
      <c r="C91" s="31" t="str">
        <f>IF(csv!F86="","",csv!AO86)</f>
        <v>M21B</v>
      </c>
      <c r="D91" s="31" t="str">
        <f>IF(csv!F86="","",csv!AP86&amp;"–"&amp;csv!AQ86&amp;"–"&amp;csv!AR86)</f>
        <v>3.91–125–8</v>
      </c>
      <c r="E91" s="66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61–64–39–63–67–34–38–100–––––––––––––––––––––</v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2" t="str">
        <f>IF(csv!F87="","",csv!T87)</f>
        <v>M21B</v>
      </c>
      <c r="C92" s="31" t="str">
        <f>IF(csv!F87="","",csv!AO87)</f>
        <v>M21B</v>
      </c>
      <c r="D92" s="31" t="str">
        <f>IF(csv!F87="","",csv!AP87&amp;"–"&amp;csv!AQ87&amp;"–"&amp;csv!AR87)</f>
        <v>3.91–125–8</v>
      </c>
      <c r="E92" s="66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61–64–39–63–67–34–38–100–––––––––––––––––––––</v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2" t="str">
        <f>IF(csv!F88="","",csv!T88)</f>
        <v>M21B</v>
      </c>
      <c r="C93" s="31" t="str">
        <f>IF(csv!F88="","",csv!AO88)</f>
        <v>M21B</v>
      </c>
      <c r="D93" s="31" t="str">
        <f>IF(csv!F88="","",csv!AP88&amp;"–"&amp;csv!AQ88&amp;"–"&amp;csv!AR88)</f>
        <v>3.91–125–8</v>
      </c>
      <c r="E93" s="66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61–64–39–63–67–34–38–100–––––––––––––––––––––</v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2" t="str">
        <f>IF(csv!F89="","",csv!T89)</f>
        <v>M21B</v>
      </c>
      <c r="C94" s="31" t="str">
        <f>IF(csv!F89="","",csv!AO89)</f>
        <v>M21B</v>
      </c>
      <c r="D94" s="31" t="str">
        <f>IF(csv!F89="","",csv!AP89&amp;"–"&amp;csv!AQ89&amp;"–"&amp;csv!AR89)</f>
        <v>3.91–125–8</v>
      </c>
      <c r="E94" s="66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61–64–39–63–67–34–38–100–––––––––––––––––––––</v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2" t="str">
        <f>IF(csv!F90="","",csv!T90)</f>
        <v>M21B</v>
      </c>
      <c r="C95" s="31" t="str">
        <f>IF(csv!F90="","",csv!AO90)</f>
        <v>M21B</v>
      </c>
      <c r="D95" s="31" t="str">
        <f>IF(csv!F90="","",csv!AP90&amp;"–"&amp;csv!AQ90&amp;"–"&amp;csv!AR90)</f>
        <v>3.91–125–8</v>
      </c>
      <c r="E95" s="66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2" t="str">
        <f>IF(csv!F91="","",csv!T91)</f>
        <v>M21B</v>
      </c>
      <c r="C96" s="31" t="str">
        <f>IF(csv!F91="","",csv!AO91)</f>
        <v>M21B</v>
      </c>
      <c r="D96" s="31" t="str">
        <f>IF(csv!F91="","",csv!AP91&amp;"–"&amp;csv!AQ91&amp;"–"&amp;csv!AR91)</f>
        <v>3.91–125–8</v>
      </c>
      <c r="E96" s="66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2" t="str">
        <f>IF(csv!F92="","",csv!T92)</f>
        <v>M21B</v>
      </c>
      <c r="C97" s="31" t="str">
        <f>IF(csv!F92="","",csv!AO92)</f>
        <v>M21B</v>
      </c>
      <c r="D97" s="31" t="str">
        <f>IF(csv!F92="","",csv!AP92&amp;"–"&amp;csv!AQ92&amp;"–"&amp;csv!AR92)</f>
        <v>3.91–125–8</v>
      </c>
      <c r="E97" s="66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2" t="str">
        <f>IF(csv!F93="","",csv!T93)</f>
        <v>M21B</v>
      </c>
      <c r="C98" s="31" t="str">
        <f>IF(csv!F93="","",csv!AO93)</f>
        <v>M21B</v>
      </c>
      <c r="D98" s="31" t="str">
        <f>IF(csv!F93="","",csv!AP93&amp;"–"&amp;csv!AQ93&amp;"–"&amp;csv!AR93)</f>
        <v>3.91–125–8</v>
      </c>
      <c r="E98" s="66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2" t="str">
        <f>IF(csv!F94="","",csv!T94)</f>
        <v>M21B</v>
      </c>
      <c r="C99" s="31" t="str">
        <f>IF(csv!F94="","",csv!AO94)</f>
        <v>M21B</v>
      </c>
      <c r="D99" s="31" t="str">
        <f>IF(csv!F94="","",csv!AP94&amp;"–"&amp;csv!AQ94&amp;"–"&amp;csv!AR94)</f>
        <v>3.91–125–8</v>
      </c>
      <c r="E99" s="66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2" t="str">
        <f>IF(csv!F95="","",csv!T95)</f>
        <v>M21B</v>
      </c>
      <c r="C100" s="31" t="str">
        <f>IF(csv!F95="","",csv!AO95)</f>
        <v>M21B</v>
      </c>
      <c r="D100" s="31" t="str">
        <f>IF(csv!F95="","",csv!AP95&amp;"–"&amp;csv!AQ95&amp;"–"&amp;csv!AR95)</f>
        <v>3.91–125–8</v>
      </c>
      <c r="E100" s="66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2" t="str">
        <f>IF(csv!F96="","",csv!T96)</f>
        <v>M21B</v>
      </c>
      <c r="C101" s="31" t="str">
        <f>IF(csv!F96="","",csv!AO96)</f>
        <v>M21B</v>
      </c>
      <c r="D101" s="31" t="str">
        <f>IF(csv!F96="","",csv!AP96&amp;"–"&amp;csv!AQ96&amp;"–"&amp;csv!AR96)</f>
        <v>3.91–125–8</v>
      </c>
      <c r="E101" s="66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2" t="str">
        <f>IF(csv!F97="","",csv!T97)</f>
        <v>M21B</v>
      </c>
      <c r="C102" s="31" t="str">
        <f>IF(csv!F97="","",csv!AO97)</f>
        <v>M21B</v>
      </c>
      <c r="D102" s="31" t="str">
        <f>IF(csv!F97="","",csv!AP97&amp;"–"&amp;csv!AQ97&amp;"–"&amp;csv!AR97)</f>
        <v>3.91–125–8</v>
      </c>
      <c r="E102" s="66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2" t="str">
        <f>IF(csv!F98="","",csv!T98)</f>
        <v>M21B</v>
      </c>
      <c r="C103" s="31" t="str">
        <f>IF(csv!F98="","",csv!AO98)</f>
        <v>M21B</v>
      </c>
      <c r="D103" s="31" t="str">
        <f>IF(csv!F98="","",csv!AP98&amp;"–"&amp;csv!AQ98&amp;"–"&amp;csv!AR98)</f>
        <v>3.91–125–8</v>
      </c>
      <c r="E103" s="66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2" t="str">
        <f>IF(csv!F99="","",csv!T99)</f>
        <v>M35</v>
      </c>
      <c r="C104" s="31" t="str">
        <f>IF(csv!F99="","",csv!AO99)</f>
        <v>M35</v>
      </c>
      <c r="D104" s="31" t="str">
        <f>IF(csv!F99="","",csv!AP99&amp;"–"&amp;csv!AQ99&amp;"–"&amp;csv!AR99)</f>
        <v>6.38–325–13</v>
      </c>
      <c r="E104" s="66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39–42–43–56–47–45–50–48–49–57–54–55–100––––––––––––––––</v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2" t="str">
        <f>IF(csv!F100="","",csv!T100)</f>
        <v>M35</v>
      </c>
      <c r="C105" s="31" t="str">
        <f>IF(csv!F100="","",csv!AO100)</f>
        <v>M35</v>
      </c>
      <c r="D105" s="31" t="str">
        <f>IF(csv!F100="","",csv!AP100&amp;"–"&amp;csv!AQ100&amp;"–"&amp;csv!AR100)</f>
        <v>6.38–325–13</v>
      </c>
      <c r="E105" s="66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39–42–43–56–47–45–50–48–49–57–54–55–100––––––––––––––––</v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2" t="str">
        <f>IF(csv!F101="","",csv!T101)</f>
        <v>M35</v>
      </c>
      <c r="C106" s="31" t="str">
        <f>IF(csv!F101="","",csv!AO101)</f>
        <v>M35</v>
      </c>
      <c r="D106" s="31" t="str">
        <f>IF(csv!F101="","",csv!AP101&amp;"–"&amp;csv!AQ101&amp;"–"&amp;csv!AR101)</f>
        <v>6.38–325–13</v>
      </c>
      <c r="E106" s="66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39–42–43–56–47–45–50–48–49–57–54–55–100––––––––––––––––</v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2" t="str">
        <f>IF(csv!F102="","",csv!T102)</f>
        <v>M35</v>
      </c>
      <c r="C107" s="31" t="str">
        <f>IF(csv!F102="","",csv!AO102)</f>
        <v>M35</v>
      </c>
      <c r="D107" s="31" t="str">
        <f>IF(csv!F102="","",csv!AP102&amp;"–"&amp;csv!AQ102&amp;"–"&amp;csv!AR102)</f>
        <v>6.38–325–13</v>
      </c>
      <c r="E107" s="66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39–42–43–56–47–45–50–48–49–57–54–55–100––––––––––––––––</v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2" t="str">
        <f>IF(csv!F103="","",csv!T103)</f>
        <v>M35</v>
      </c>
      <c r="C108" s="31" t="str">
        <f>IF(csv!F103="","",csv!AO103)</f>
        <v>M35</v>
      </c>
      <c r="D108" s="31" t="str">
        <f>IF(csv!F103="","",csv!AP103&amp;"–"&amp;csv!AQ103&amp;"–"&amp;csv!AR103)</f>
        <v>6.38–325–13</v>
      </c>
      <c r="E108" s="66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39–42–43–56–47–45–50–48–49–57–54–55–100––––––––––––––––</v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2" t="str">
        <f>IF(csv!F104="","",csv!T104)</f>
        <v>M35</v>
      </c>
      <c r="C109" s="31" t="str">
        <f>IF(csv!F104="","",csv!AO104)</f>
        <v>M35</v>
      </c>
      <c r="D109" s="31" t="str">
        <f>IF(csv!F104="","",csv!AP104&amp;"–"&amp;csv!AQ104&amp;"–"&amp;csv!AR104)</f>
        <v>6.38–325–13</v>
      </c>
      <c r="E109" s="66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39–42–43–56–47–45–50–48–49–57–54–55–100––––––––––––––––</v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2" t="str">
        <f>IF(csv!F105="","",csv!T105)</f>
        <v>M35</v>
      </c>
      <c r="C110" s="31" t="str">
        <f>IF(csv!F105="","",csv!AO105)</f>
        <v>M35</v>
      </c>
      <c r="D110" s="31" t="str">
        <f>IF(csv!F105="","",csv!AP105&amp;"–"&amp;csv!AQ105&amp;"–"&amp;csv!AR105)</f>
        <v>6.38–325–13</v>
      </c>
      <c r="E110" s="66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39–42–43–56–47–45–50–48–49–57–54–55–100––––––––––––––––</v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2" t="str">
        <f>IF(csv!F106="","",csv!T106)</f>
        <v>M35</v>
      </c>
      <c r="C111" s="31" t="str">
        <f>IF(csv!F106="","",csv!AO106)</f>
        <v>M35</v>
      </c>
      <c r="D111" s="31" t="str">
        <f>IF(csv!F106="","",csv!AP106&amp;"–"&amp;csv!AQ106&amp;"–"&amp;csv!AR106)</f>
        <v>6.38–325–13</v>
      </c>
      <c r="E111" s="66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39–42–43–56–47–45–50–48–49–57–54–55–100––––––––––––––––</v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2" t="str">
        <f>IF(csv!F107="","",csv!T107)</f>
        <v>M35</v>
      </c>
      <c r="C112" s="31" t="str">
        <f>IF(csv!F107="","",csv!AO107)</f>
        <v>M35</v>
      </c>
      <c r="D112" s="31" t="str">
        <f>IF(csv!F107="","",csv!AP107&amp;"–"&amp;csv!AQ107&amp;"–"&amp;csv!AR107)</f>
        <v>6.38–325–13</v>
      </c>
      <c r="E112" s="66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39–42–43–56–47–45–50–48–49–57–54–55–100––––––––––––––––</v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2" t="str">
        <f>IF(csv!F108="","",csv!T108)</f>
        <v>M35</v>
      </c>
      <c r="C113" s="31" t="str">
        <f>IF(csv!F108="","",csv!AO108)</f>
        <v>M35</v>
      </c>
      <c r="D113" s="31" t="str">
        <f>IF(csv!F108="","",csv!AP108&amp;"–"&amp;csv!AQ108&amp;"–"&amp;csv!AR108)</f>
        <v>6.38–325–13</v>
      </c>
      <c r="E113" s="66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39–42–43–56–47–45–50–48–49–57–54–55–100––––––––––––––––</v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2" t="str">
        <f>IF(csv!F109="","",csv!T109)</f>
        <v>M35</v>
      </c>
      <c r="C114" s="31" t="str">
        <f>IF(csv!F109="","",csv!AO109)</f>
        <v>M35</v>
      </c>
      <c r="D114" s="31" t="str">
        <f>IF(csv!F109="","",csv!AP109&amp;"–"&amp;csv!AQ109&amp;"–"&amp;csv!AR109)</f>
        <v>6.38–325–13</v>
      </c>
      <c r="E114" s="66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39–42–43–56–47–45–50–48–49–57–54–55–100––––––––––––––––</v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2" t="str">
        <f>IF(csv!F110="","",csv!T110)</f>
        <v>M35</v>
      </c>
      <c r="C115" s="31" t="str">
        <f>IF(csv!F110="","",csv!AO110)</f>
        <v>M35</v>
      </c>
      <c r="D115" s="31" t="str">
        <f>IF(csv!F110="","",csv!AP110&amp;"–"&amp;csv!AQ110&amp;"–"&amp;csv!AR110)</f>
        <v>6.38–325–13</v>
      </c>
      <c r="E115" s="66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39–42–43–56–47–45–50–48–49–57–54–55–100––––––––––––––––</v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2" t="str">
        <f>IF(csv!F111="","",csv!T111)</f>
        <v>M35</v>
      </c>
      <c r="C116" s="31" t="str">
        <f>IF(csv!F111="","",csv!AO111)</f>
        <v>M35</v>
      </c>
      <c r="D116" s="31" t="str">
        <f>IF(csv!F111="","",csv!AP111&amp;"–"&amp;csv!AQ111&amp;"–"&amp;csv!AR111)</f>
        <v>6.38–325–13</v>
      </c>
      <c r="E116" s="66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39–42–43–56–47–45–50–48–49–57–54–55–100––––––––––––––––</v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2" t="str">
        <f>IF(csv!F112="","",csv!T112)</f>
        <v>M35</v>
      </c>
      <c r="C117" s="31" t="str">
        <f>IF(csv!F112="","",csv!AO112)</f>
        <v>M35</v>
      </c>
      <c r="D117" s="31" t="str">
        <f>IF(csv!F112="","",csv!AP112&amp;"–"&amp;csv!AQ112&amp;"–"&amp;csv!AR112)</f>
        <v>6.38–325–13</v>
      </c>
      <c r="E117" s="66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39–42–43–56–47–45–50–48–49–57–54–55–100––––––––––––––––</v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2" t="str">
        <f>IF(csv!F113="","",csv!T113)</f>
        <v>M35</v>
      </c>
      <c r="C118" s="31" t="str">
        <f>IF(csv!F113="","",csv!AO113)</f>
        <v>M35</v>
      </c>
      <c r="D118" s="31" t="str">
        <f>IF(csv!F113="","",csv!AP113&amp;"–"&amp;csv!AQ113&amp;"–"&amp;csv!AR113)</f>
        <v>6.38–325–13</v>
      </c>
      <c r="E118" s="66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39–42–43–56–47–45–50–48–49–57–54–55–100––––––––––––––––</v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2" t="str">
        <f>IF(csv!F114="","",csv!T114)</f>
        <v>M35</v>
      </c>
      <c r="C119" s="31" t="str">
        <f>IF(csv!F114="","",csv!AO114)</f>
        <v>M35</v>
      </c>
      <c r="D119" s="31" t="str">
        <f>IF(csv!F114="","",csv!AP114&amp;"–"&amp;csv!AQ114&amp;"–"&amp;csv!AR114)</f>
        <v>6.38–325–13</v>
      </c>
      <c r="E119" s="66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39–42–43–56–47–45–50–48–49–57–54–55–100––––––––––––––––</v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2" t="str">
        <f>IF(csv!F115="","",csv!T115)</f>
        <v>M35</v>
      </c>
      <c r="C120" s="31" t="str">
        <f>IF(csv!F115="","",csv!AO115)</f>
        <v>M35</v>
      </c>
      <c r="D120" s="31" t="str">
        <f>IF(csv!F115="","",csv!AP115&amp;"–"&amp;csv!AQ115&amp;"–"&amp;csv!AR115)</f>
        <v>6.38–325–13</v>
      </c>
      <c r="E120" s="66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39–42–43–56–47–45–50–48–49–57–54–55–100––––––––––––––––</v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2" t="str">
        <f>IF(csv!F116="","",csv!T116)</f>
        <v>M35</v>
      </c>
      <c r="C121" s="31" t="str">
        <f>IF(csv!F116="","",csv!AO116)</f>
        <v>M35</v>
      </c>
      <c r="D121" s="31" t="str">
        <f>IF(csv!F116="","",csv!AP116&amp;"–"&amp;csv!AQ116&amp;"–"&amp;csv!AR116)</f>
        <v>6.38–325–13</v>
      </c>
      <c r="E121" s="66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39–42–43–56–47–45–50–48–49–57–54–55–100––––––––––––––––</v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2" t="str">
        <f>IF(csv!F117="","",csv!T117)</f>
        <v>M35</v>
      </c>
      <c r="C122" s="31" t="str">
        <f>IF(csv!F117="","",csv!AO117)</f>
        <v>M35</v>
      </c>
      <c r="D122" s="31" t="str">
        <f>IF(csv!F117="","",csv!AP117&amp;"–"&amp;csv!AQ117&amp;"–"&amp;csv!AR117)</f>
        <v>6.38–325–13</v>
      </c>
      <c r="E122" s="66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39–42–43–56–47–45–50–48–49–57–54–55–100––––––––––––––––</v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2" t="str">
        <f>IF(csv!F118="","",csv!T118)</f>
        <v>M35</v>
      </c>
      <c r="C123" s="31" t="str">
        <f>IF(csv!F118="","",csv!AO118)</f>
        <v>M35</v>
      </c>
      <c r="D123" s="31" t="str">
        <f>IF(csv!F118="","",csv!AP118&amp;"–"&amp;csv!AQ118&amp;"–"&amp;csv!AR118)</f>
        <v>6.38–325–13</v>
      </c>
      <c r="E123" s="66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2" t="str">
        <f>IF(csv!F119="","",csv!T119)</f>
        <v>M35</v>
      </c>
      <c r="C124" s="31" t="str">
        <f>IF(csv!F119="","",csv!AO119)</f>
        <v>M35</v>
      </c>
      <c r="D124" s="31" t="str">
        <f>IF(csv!F119="","",csv!AP119&amp;"–"&amp;csv!AQ119&amp;"–"&amp;csv!AR119)</f>
        <v>6.38–325–13</v>
      </c>
      <c r="E124" s="66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2" t="str">
        <f>IF(csv!F120="","",csv!T120)</f>
        <v>M45</v>
      </c>
      <c r="C125" s="31" t="str">
        <f>IF(csv!F120="","",csv!AO120)</f>
        <v>M45</v>
      </c>
      <c r="D125" s="31" t="str">
        <f>IF(csv!F120="","",csv!AP120&amp;"–"&amp;csv!AQ120&amp;"–"&amp;csv!AR120)</f>
        <v>4.77–240–8</v>
      </c>
      <c r="E125" s="66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58–44–71–47–45–43–54–100–––––––––––––––––––––</v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2" t="str">
        <f>IF(csv!F121="","",csv!T121)</f>
        <v>M45</v>
      </c>
      <c r="C126" s="31" t="str">
        <f>IF(csv!F121="","",csv!AO121)</f>
        <v>M45</v>
      </c>
      <c r="D126" s="31" t="str">
        <f>IF(csv!F121="","",csv!AP121&amp;"–"&amp;csv!AQ121&amp;"–"&amp;csv!AR121)</f>
        <v>4.77–240–8</v>
      </c>
      <c r="E126" s="66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58–44–71–47–45–43–54–100–––––––––––––––––––––</v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2" t="str">
        <f>IF(csv!F122="","",csv!T122)</f>
        <v>M45</v>
      </c>
      <c r="C127" s="31" t="str">
        <f>IF(csv!F122="","",csv!AO122)</f>
        <v>M45</v>
      </c>
      <c r="D127" s="31" t="str">
        <f>IF(csv!F122="","",csv!AP122&amp;"–"&amp;csv!AQ122&amp;"–"&amp;csv!AR122)</f>
        <v>4.77–240–8</v>
      </c>
      <c r="E127" s="66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58–44–71–47–45–43–54–100–––––––––––––––––––––</v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2" t="str">
        <f>IF(csv!F123="","",csv!T123)</f>
        <v>M45</v>
      </c>
      <c r="C128" s="31" t="str">
        <f>IF(csv!F123="","",csv!AO123)</f>
        <v>M45</v>
      </c>
      <c r="D128" s="31" t="str">
        <f>IF(csv!F123="","",csv!AP123&amp;"–"&amp;csv!AQ123&amp;"–"&amp;csv!AR123)</f>
        <v>4.77–240–8</v>
      </c>
      <c r="E128" s="66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58–44–71–47–45–43–54–100–––––––––––––––––––––</v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2" t="str">
        <f>IF(csv!F124="","",csv!T124)</f>
        <v>M45</v>
      </c>
      <c r="C129" s="31" t="str">
        <f>IF(csv!F124="","",csv!AO124)</f>
        <v>M45</v>
      </c>
      <c r="D129" s="31" t="str">
        <f>IF(csv!F124="","",csv!AP124&amp;"–"&amp;csv!AQ124&amp;"–"&amp;csv!AR124)</f>
        <v>4.77–240–8</v>
      </c>
      <c r="E129" s="66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58–44–71–47–45–43–54–100–––––––––––––––––––––</v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2" t="str">
        <f>IF(csv!F125="","",csv!T125)</f>
        <v>M45</v>
      </c>
      <c r="C130" s="31" t="str">
        <f>IF(csv!F125="","",csv!AO125)</f>
        <v>M45</v>
      </c>
      <c r="D130" s="31" t="str">
        <f>IF(csv!F125="","",csv!AP125&amp;"–"&amp;csv!AQ125&amp;"–"&amp;csv!AR125)</f>
        <v>4.77–240–8</v>
      </c>
      <c r="E130" s="66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58–44–71–47–45–43–54–100–––––––––––––––––––––</v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2" t="str">
        <f>IF(csv!F126="","",csv!T126)</f>
        <v>M45</v>
      </c>
      <c r="C131" s="31" t="str">
        <f>IF(csv!F126="","",csv!AO126)</f>
        <v>M45</v>
      </c>
      <c r="D131" s="31" t="str">
        <f>IF(csv!F126="","",csv!AP126&amp;"–"&amp;csv!AQ126&amp;"–"&amp;csv!AR126)</f>
        <v>4.77–240–8</v>
      </c>
      <c r="E131" s="66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58–44–71–47–45–43–54–100–––––––––––––––––––––</v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2" t="str">
        <f>IF(csv!F127="","",csv!T127)</f>
        <v>M45</v>
      </c>
      <c r="C132" s="31" t="str">
        <f>IF(csv!F127="","",csv!AO127)</f>
        <v>M45</v>
      </c>
      <c r="D132" s="31" t="str">
        <f>IF(csv!F127="","",csv!AP127&amp;"–"&amp;csv!AQ127&amp;"–"&amp;csv!AR127)</f>
        <v>4.77–240–8</v>
      </c>
      <c r="E132" s="66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58–44–71–47–45–43–54–100–––––––––––––––––––––</v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2" t="str">
        <f>IF(csv!F128="","",csv!T128)</f>
        <v>M45</v>
      </c>
      <c r="C133" s="31" t="str">
        <f>IF(csv!F128="","",csv!AO128)</f>
        <v>M45</v>
      </c>
      <c r="D133" s="31" t="str">
        <f>IF(csv!F128="","",csv!AP128&amp;"–"&amp;csv!AQ128&amp;"–"&amp;csv!AR128)</f>
        <v>4.77–240–8</v>
      </c>
      <c r="E133" s="66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58–44–71–47–45–43–54–100–––––––––––––––––––––</v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2" t="str">
        <f>IF(csv!F129="","",csv!T129)</f>
        <v>M45</v>
      </c>
      <c r="C134" s="31" t="str">
        <f>IF(csv!F129="","",csv!AO129)</f>
        <v>M45</v>
      </c>
      <c r="D134" s="31" t="str">
        <f>IF(csv!F129="","",csv!AP129&amp;"–"&amp;csv!AQ129&amp;"–"&amp;csv!AR129)</f>
        <v>4.77–240–8</v>
      </c>
      <c r="E134" s="66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58–44–71–47–45–43–54–100–––––––––––––––––––––</v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2" t="str">
        <f>IF(csv!F130="","",csv!T130)</f>
        <v>M45</v>
      </c>
      <c r="C135" s="31" t="str">
        <f>IF(csv!F130="","",csv!AO130)</f>
        <v>M45</v>
      </c>
      <c r="D135" s="31" t="str">
        <f>IF(csv!F130="","",csv!AP130&amp;"–"&amp;csv!AQ130&amp;"–"&amp;csv!AR130)</f>
        <v>4.77–240–8</v>
      </c>
      <c r="E135" s="66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58–44–71–47–45–43–54–100–––––––––––––––––––––</v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2" t="str">
        <f>IF(csv!F131="","",csv!T131)</f>
        <v>M45</v>
      </c>
      <c r="C136" s="31" t="str">
        <f>IF(csv!F131="","",csv!AO131)</f>
        <v>M45</v>
      </c>
      <c r="D136" s="31" t="str">
        <f>IF(csv!F131="","",csv!AP131&amp;"–"&amp;csv!AQ131&amp;"–"&amp;csv!AR131)</f>
        <v>4.77–240–8</v>
      </c>
      <c r="E136" s="66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58–44–71–47–45–43–54–100–––––––––––––––––––––</v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2" t="str">
        <f>IF(csv!F132="","",csv!T132)</f>
        <v>M45</v>
      </c>
      <c r="C137" s="31" t="str">
        <f>IF(csv!F132="","",csv!AO132)</f>
        <v>M45</v>
      </c>
      <c r="D137" s="31" t="str">
        <f>IF(csv!F132="","",csv!AP132&amp;"–"&amp;csv!AQ132&amp;"–"&amp;csv!AR132)</f>
        <v>4.77–240–8</v>
      </c>
      <c r="E137" s="66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58–44–71–47–45–43–54–100–––––––––––––––––––––</v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2" t="str">
        <f>IF(csv!F133="","",csv!T133)</f>
        <v>M45</v>
      </c>
      <c r="C138" s="31" t="str">
        <f>IF(csv!F133="","",csv!AO133)</f>
        <v>M45</v>
      </c>
      <c r="D138" s="31" t="str">
        <f>IF(csv!F133="","",csv!AP133&amp;"–"&amp;csv!AQ133&amp;"–"&amp;csv!AR133)</f>
        <v>4.77–240–8</v>
      </c>
      <c r="E138" s="66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58–44–71–47–45–43–54–100–––––––––––––––––––––</v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2" t="str">
        <f>IF(csv!F134="","",csv!T134)</f>
        <v>M45</v>
      </c>
      <c r="C139" s="31" t="str">
        <f>IF(csv!F134="","",csv!AO134)</f>
        <v>M45</v>
      </c>
      <c r="D139" s="31" t="str">
        <f>IF(csv!F134="","",csv!AP134&amp;"–"&amp;csv!AQ134&amp;"–"&amp;csv!AR134)</f>
        <v>4.77–240–8</v>
      </c>
      <c r="E139" s="66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58–44–71–47–45–43–54–100–––––––––––––––––––––</v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2" t="str">
        <f>IF(csv!F135="","",csv!T135)</f>
        <v>M45</v>
      </c>
      <c r="C140" s="31" t="str">
        <f>IF(csv!F135="","",csv!AO135)</f>
        <v>M45</v>
      </c>
      <c r="D140" s="31" t="str">
        <f>IF(csv!F135="","",csv!AP135&amp;"–"&amp;csv!AQ135&amp;"–"&amp;csv!AR135)</f>
        <v>4.77–240–8</v>
      </c>
      <c r="E140" s="66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58–44–71–47–45–43–54–100–––––––––––––––––––––</v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2" t="str">
        <f>IF(csv!F136="","",csv!T136)</f>
        <v>M45</v>
      </c>
      <c r="C141" s="31" t="str">
        <f>IF(csv!F136="","",csv!AO136)</f>
        <v>M45</v>
      </c>
      <c r="D141" s="31" t="str">
        <f>IF(csv!F136="","",csv!AP136&amp;"–"&amp;csv!AQ136&amp;"–"&amp;csv!AR136)</f>
        <v>4.77–240–8</v>
      </c>
      <c r="E141" s="66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58–44–71–47–45–43–54–100–––––––––––––––––––––</v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2" t="str">
        <f>IF(csv!F137="","",csv!T137)</f>
        <v>M45</v>
      </c>
      <c r="C142" s="31" t="str">
        <f>IF(csv!F137="","",csv!AO137)</f>
        <v>M45</v>
      </c>
      <c r="D142" s="31" t="str">
        <f>IF(csv!F137="","",csv!AP137&amp;"–"&amp;csv!AQ137&amp;"–"&amp;csv!AR137)</f>
        <v>4.77–240–8</v>
      </c>
      <c r="E142" s="66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58–44–71–47–45–43–54–100–––––––––––––––––––––</v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2" t="str">
        <f>IF(csv!F138="","",csv!T138)</f>
        <v>M45</v>
      </c>
      <c r="C143" s="31" t="str">
        <f>IF(csv!F138="","",csv!AO138)</f>
        <v>M45</v>
      </c>
      <c r="D143" s="31" t="str">
        <f>IF(csv!F138="","",csv!AP138&amp;"–"&amp;csv!AQ138&amp;"–"&amp;csv!AR138)</f>
        <v>4.77–240–8</v>
      </c>
      <c r="E143" s="66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58–44–71–47–45–43–54–100–––––––––––––––––––––</v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2" t="str">
        <f>IF(csv!F139="","",csv!T139)</f>
        <v>M45</v>
      </c>
      <c r="C144" s="31" t="str">
        <f>IF(csv!F139="","",csv!AO139)</f>
        <v>M45</v>
      </c>
      <c r="D144" s="31" t="str">
        <f>IF(csv!F139="","",csv!AP139&amp;"–"&amp;csv!AQ139&amp;"–"&amp;csv!AR139)</f>
        <v>4.77–240–8</v>
      </c>
      <c r="E144" s="66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58–44–71–47–45–43–54–100–––––––––––––––––––––</v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2" t="str">
        <f>IF(csv!F140="","",csv!T140)</f>
        <v>M45</v>
      </c>
      <c r="C145" s="31" t="str">
        <f>IF(csv!F140="","",csv!AO140)</f>
        <v>M45</v>
      </c>
      <c r="D145" s="31" t="str">
        <f>IF(csv!F140="","",csv!AP140&amp;"–"&amp;csv!AQ140&amp;"–"&amp;csv!AR140)</f>
        <v>4.77–240–8</v>
      </c>
      <c r="E145" s="66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58–44–71–47–45–43–54–100–––––––––––––––––––––</v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2" t="str">
        <f>IF(csv!F141="","",csv!T141)</f>
        <v>M45</v>
      </c>
      <c r="C146" s="31" t="str">
        <f>IF(csv!F141="","",csv!AO141)</f>
        <v>M45</v>
      </c>
      <c r="D146" s="31" t="str">
        <f>IF(csv!F141="","",csv!AP141&amp;"–"&amp;csv!AQ141&amp;"–"&amp;csv!AR141)</f>
        <v>4.77–240–8</v>
      </c>
      <c r="E146" s="66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2" t="str">
        <f>IF(csv!F142="","",csv!T142)</f>
        <v>M45</v>
      </c>
      <c r="C147" s="31" t="str">
        <f>IF(csv!F142="","",csv!AO142)</f>
        <v>M45</v>
      </c>
      <c r="D147" s="31" t="str">
        <f>IF(csv!F142="","",csv!AP142&amp;"–"&amp;csv!AQ142&amp;"–"&amp;csv!AR142)</f>
        <v>4.77–240–8</v>
      </c>
      <c r="E147" s="66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2" t="str">
        <f>IF(csv!F143="","",csv!T143)</f>
        <v>M45</v>
      </c>
      <c r="C148" s="31" t="str">
        <f>IF(csv!F143="","",csv!AO143)</f>
        <v>M45</v>
      </c>
      <c r="D148" s="31" t="str">
        <f>IF(csv!F143="","",csv!AP143&amp;"–"&amp;csv!AQ143&amp;"–"&amp;csv!AR143)</f>
        <v>4.77–240–8</v>
      </c>
      <c r="E148" s="66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2" t="str">
        <f>IF(csv!F144="","",csv!T144)</f>
        <v>M45</v>
      </c>
      <c r="C149" s="31" t="str">
        <f>IF(csv!F144="","",csv!AO144)</f>
        <v>M45</v>
      </c>
      <c r="D149" s="31" t="str">
        <f>IF(csv!F144="","",csv!AP144&amp;"–"&amp;csv!AQ144&amp;"–"&amp;csv!AR144)</f>
        <v>4.77–240–8</v>
      </c>
      <c r="E149" s="66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2" t="str">
        <f>IF(csv!F145="","",csv!T145)</f>
        <v>M45</v>
      </c>
      <c r="C150" s="31" t="str">
        <f>IF(csv!F145="","",csv!AO145)</f>
        <v>M45</v>
      </c>
      <c r="D150" s="31" t="str">
        <f>IF(csv!F145="","",csv!AP145&amp;"–"&amp;csv!AQ145&amp;"–"&amp;csv!AR145)</f>
        <v>4.77–240–8</v>
      </c>
      <c r="E150" s="66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58–44–71–47–45–43–––––––––––––––––––––––</v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2" t="str">
        <f>IF(csv!F146="","",csv!T146)</f>
        <v>M45</v>
      </c>
      <c r="C151" s="31" t="str">
        <f>IF(csv!F146="","",csv!AO146)</f>
        <v>M45</v>
      </c>
      <c r="D151" s="31" t="str">
        <f>IF(csv!F146="","",csv!AP146&amp;"–"&amp;csv!AQ146&amp;"–"&amp;csv!AR146)</f>
        <v>4.77–240–8</v>
      </c>
      <c r="E151" s="66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2" t="str">
        <f>IF(csv!F147="","",csv!T147)</f>
        <v>M55</v>
      </c>
      <c r="C152" s="31" t="str">
        <f>IF(csv!F147="","",csv!AO147)</f>
        <v>M55</v>
      </c>
      <c r="D152" s="31" t="str">
        <f>IF(csv!F147="","",csv!AP147&amp;"–"&amp;csv!AQ147&amp;"–"&amp;csv!AR147)</f>
        <v>3.63–150–7</v>
      </c>
      <c r="E152" s="66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33–61–64–39–31–38–100––––––––––––––––––––––</v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2" t="str">
        <f>IF(csv!F148="","",csv!T148)</f>
        <v>M55</v>
      </c>
      <c r="C153" s="31" t="str">
        <f>IF(csv!F148="","",csv!AO148)</f>
        <v>M55</v>
      </c>
      <c r="D153" s="31" t="str">
        <f>IF(csv!F148="","",csv!AP148&amp;"–"&amp;csv!AQ148&amp;"–"&amp;csv!AR148)</f>
        <v>3.63–150–7</v>
      </c>
      <c r="E153" s="66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33–61–64–39–31–38–100––––––––––––––––––––––</v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2" t="str">
        <f>IF(csv!F149="","",csv!T149)</f>
        <v>M55</v>
      </c>
      <c r="C154" s="31" t="str">
        <f>IF(csv!F149="","",csv!AO149)</f>
        <v>M55</v>
      </c>
      <c r="D154" s="31" t="str">
        <f>IF(csv!F149="","",csv!AP149&amp;"–"&amp;csv!AQ149&amp;"–"&amp;csv!AR149)</f>
        <v>3.63–150–7</v>
      </c>
      <c r="E154" s="66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33–61–64–39–31–38–100––––––––––––––––––––––</v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2" t="str">
        <f>IF(csv!F150="","",csv!T150)</f>
        <v>M55</v>
      </c>
      <c r="C155" s="31" t="str">
        <f>IF(csv!F150="","",csv!AO150)</f>
        <v>M55</v>
      </c>
      <c r="D155" s="31" t="str">
        <f>IF(csv!F150="","",csv!AP150&amp;"–"&amp;csv!AQ150&amp;"–"&amp;csv!AR150)</f>
        <v>3.63–150–7</v>
      </c>
      <c r="E155" s="66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33–61–64–39–31–38–100––––––––––––––––––––––</v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2" t="str">
        <f>IF(csv!F151="","",csv!T151)</f>
        <v>M55</v>
      </c>
      <c r="C156" s="31" t="str">
        <f>IF(csv!F151="","",csv!AO151)</f>
        <v>M55</v>
      </c>
      <c r="D156" s="31" t="str">
        <f>IF(csv!F151="","",csv!AP151&amp;"–"&amp;csv!AQ151&amp;"–"&amp;csv!AR151)</f>
        <v>3.63–150–7</v>
      </c>
      <c r="E156" s="66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33–61–64–39–31–38–100––––––––––––––––––––––</v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2" t="str">
        <f>IF(csv!F152="","",csv!T152)</f>
        <v>M55</v>
      </c>
      <c r="C157" s="31" t="str">
        <f>IF(csv!F152="","",csv!AO152)</f>
        <v>M55</v>
      </c>
      <c r="D157" s="31" t="str">
        <f>IF(csv!F152="","",csv!AP152&amp;"–"&amp;csv!AQ152&amp;"–"&amp;csv!AR152)</f>
        <v>3.63–150–7</v>
      </c>
      <c r="E157" s="66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33–61–64–39–31–38–100––––––––––––––––––––––</v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2" t="str">
        <f>IF(csv!F153="","",csv!T153)</f>
        <v>M55</v>
      </c>
      <c r="C158" s="31" t="str">
        <f>IF(csv!F153="","",csv!AO153)</f>
        <v>M55</v>
      </c>
      <c r="D158" s="31" t="str">
        <f>IF(csv!F153="","",csv!AP153&amp;"–"&amp;csv!AQ153&amp;"–"&amp;csv!AR153)</f>
        <v>3.63–150–7</v>
      </c>
      <c r="E158" s="66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33–61–64–39–31–38–100––––––––––––––––––––––</v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2" t="str">
        <f>IF(csv!F154="","",csv!T154)</f>
        <v>M55</v>
      </c>
      <c r="C159" s="31" t="str">
        <f>IF(csv!F154="","",csv!AO154)</f>
        <v>M55</v>
      </c>
      <c r="D159" s="31" t="str">
        <f>IF(csv!F154="","",csv!AP154&amp;"–"&amp;csv!AQ154&amp;"–"&amp;csv!AR154)</f>
        <v>3.63–150–7</v>
      </c>
      <c r="E159" s="66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33–61–64–39–31–38–100––––––––––––––––––––––</v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2" t="str">
        <f>IF(csv!F155="","",csv!T155)</f>
        <v>M55</v>
      </c>
      <c r="C160" s="31" t="str">
        <f>IF(csv!F155="","",csv!AO155)</f>
        <v>M55</v>
      </c>
      <c r="D160" s="31" t="str">
        <f>IF(csv!F155="","",csv!AP155&amp;"–"&amp;csv!AQ155&amp;"–"&amp;csv!AR155)</f>
        <v>3.63–150–7</v>
      </c>
      <c r="E160" s="66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33–61–64–39–31–38–100––––––––––––––––––––––</v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2" t="str">
        <f>IF(csv!F156="","",csv!T156)</f>
        <v>M55</v>
      </c>
      <c r="C161" s="31" t="str">
        <f>IF(csv!F156="","",csv!AO156)</f>
        <v>M55</v>
      </c>
      <c r="D161" s="31" t="str">
        <f>IF(csv!F156="","",csv!AP156&amp;"–"&amp;csv!AQ156&amp;"–"&amp;csv!AR156)</f>
        <v>3.63–150–7</v>
      </c>
      <c r="E161" s="66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33–61–64–39–31–38–100––––––––––––––––––––––</v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2" t="str">
        <f>IF(csv!F157="","",csv!T157)</f>
        <v>M55</v>
      </c>
      <c r="C162" s="31" t="str">
        <f>IF(csv!F157="","",csv!AO157)</f>
        <v>M55</v>
      </c>
      <c r="D162" s="31" t="str">
        <f>IF(csv!F157="","",csv!AP157&amp;"–"&amp;csv!AQ157&amp;"–"&amp;csv!AR157)</f>
        <v>3.63–150–7</v>
      </c>
      <c r="E162" s="66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33–61–64–39–31–38–100––––––––––––––––––––––</v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2" t="str">
        <f>IF(csv!F158="","",csv!T158)</f>
        <v>M55</v>
      </c>
      <c r="C163" s="31" t="str">
        <f>IF(csv!F158="","",csv!AO158)</f>
        <v>M55</v>
      </c>
      <c r="D163" s="31" t="str">
        <f>IF(csv!F158="","",csv!AP158&amp;"–"&amp;csv!AQ158&amp;"–"&amp;csv!AR158)</f>
        <v>3.63–150–7</v>
      </c>
      <c r="E163" s="66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33–61–64–39–31–38–100––––––––––––––––––––––</v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2" t="str">
        <f>IF(csv!F159="","",csv!T159)</f>
        <v>M55</v>
      </c>
      <c r="C164" s="31" t="str">
        <f>IF(csv!F159="","",csv!AO159)</f>
        <v>M55</v>
      </c>
      <c r="D164" s="31" t="str">
        <f>IF(csv!F159="","",csv!AP159&amp;"–"&amp;csv!AQ159&amp;"–"&amp;csv!AR159)</f>
        <v>3.63–150–7</v>
      </c>
      <c r="E164" s="66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33–61–64–39–31–38–100––––––––––––––––––––––</v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2" t="str">
        <f>IF(csv!F160="","",csv!T160)</f>
        <v>M55</v>
      </c>
      <c r="C165" s="31" t="str">
        <f>IF(csv!F160="","",csv!AO160)</f>
        <v>M55</v>
      </c>
      <c r="D165" s="31" t="str">
        <f>IF(csv!F160="","",csv!AP160&amp;"–"&amp;csv!AQ160&amp;"–"&amp;csv!AR160)</f>
        <v>3.63–150–7</v>
      </c>
      <c r="E165" s="66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33–61–64–39–31–38–100––––––––––––––––––––––</v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2" t="str">
        <f>IF(csv!F161="","",csv!T161)</f>
        <v>M55</v>
      </c>
      <c r="C166" s="31" t="str">
        <f>IF(csv!F161="","",csv!AO161)</f>
        <v>M55</v>
      </c>
      <c r="D166" s="31" t="str">
        <f>IF(csv!F161="","",csv!AP161&amp;"–"&amp;csv!AQ161&amp;"–"&amp;csv!AR161)</f>
        <v>3.63–150–7</v>
      </c>
      <c r="E166" s="66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33–61–64–39–31–38–100––––––––––––––––––––––</v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2" t="str">
        <f>IF(csv!F162="","",csv!T162)</f>
        <v>M55</v>
      </c>
      <c r="C167" s="31" t="str">
        <f>IF(csv!F162="","",csv!AO162)</f>
        <v>M55</v>
      </c>
      <c r="D167" s="31" t="str">
        <f>IF(csv!F162="","",csv!AP162&amp;"–"&amp;csv!AQ162&amp;"–"&amp;csv!AR162)</f>
        <v>3.63–150–7</v>
      </c>
      <c r="E167" s="66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33–61–64–39–31–38–100––––––––––––––––––––––</v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2" t="str">
        <f>IF(csv!F163="","",csv!T163)</f>
        <v>M55</v>
      </c>
      <c r="C168" s="31" t="str">
        <f>IF(csv!F163="","",csv!AO163)</f>
        <v>M55</v>
      </c>
      <c r="D168" s="31" t="str">
        <f>IF(csv!F163="","",csv!AP163&amp;"–"&amp;csv!AQ163&amp;"–"&amp;csv!AR163)</f>
        <v>3.63–150–7</v>
      </c>
      <c r="E168" s="66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2" t="str">
        <f>IF(csv!F164="","",csv!T164)</f>
        <v>M55</v>
      </c>
      <c r="C169" s="31" t="str">
        <f>IF(csv!F164="","",csv!AO164)</f>
        <v>M55</v>
      </c>
      <c r="D169" s="31" t="str">
        <f>IF(csv!F164="","",csv!AP164&amp;"–"&amp;csv!AQ164&amp;"–"&amp;csv!AR164)</f>
        <v>3.63–150–7</v>
      </c>
      <c r="E169" s="66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2" t="str">
        <f>IF(csv!F165="","",csv!T165)</f>
        <v>M65</v>
      </c>
      <c r="C170" s="31" t="str">
        <f>IF(csv!F165="","",csv!AO165)</f>
        <v>M65</v>
      </c>
      <c r="D170" s="31" t="str">
        <f>IF(csv!F165="","",csv!AP165&amp;"–"&amp;csv!AQ165&amp;"–"&amp;csv!AR165)</f>
        <v>3.17–95–6</v>
      </c>
      <c r="E170" s="66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63–61–64–39–54–100–––––––––––––––––––––––</v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2" t="str">
        <f>IF(csv!F166="","",csv!T166)</f>
        <v>M65</v>
      </c>
      <c r="C171" s="31" t="str">
        <f>IF(csv!F166="","",csv!AO166)</f>
        <v>M65</v>
      </c>
      <c r="D171" s="31" t="str">
        <f>IF(csv!F166="","",csv!AP166&amp;"–"&amp;csv!AQ166&amp;"–"&amp;csv!AR166)</f>
        <v>3.17–95–6</v>
      </c>
      <c r="E171" s="66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63–61–64–39–54–100–––––––––––––––––––––––</v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2" t="str">
        <f>IF(csv!F167="","",csv!T167)</f>
        <v>M65</v>
      </c>
      <c r="C172" s="31" t="str">
        <f>IF(csv!F167="","",csv!AO167)</f>
        <v>M65</v>
      </c>
      <c r="D172" s="31" t="str">
        <f>IF(csv!F167="","",csv!AP167&amp;"–"&amp;csv!AQ167&amp;"–"&amp;csv!AR167)</f>
        <v>3.17–95–6</v>
      </c>
      <c r="E172" s="66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63–61–64–39–54–100–––––––––––––––––––––––</v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2" t="str">
        <f>IF(csv!F168="","",csv!T168)</f>
        <v>M65</v>
      </c>
      <c r="C173" s="31" t="str">
        <f>IF(csv!F168="","",csv!AO168)</f>
        <v>M65</v>
      </c>
      <c r="D173" s="31" t="str">
        <f>IF(csv!F168="","",csv!AP168&amp;"–"&amp;csv!AQ168&amp;"–"&amp;csv!AR168)</f>
        <v>3.17–95–6</v>
      </c>
      <c r="E173" s="66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2" t="str">
        <f>IF(csv!F169="","",csv!T169)</f>
        <v>M65</v>
      </c>
      <c r="C174" s="31" t="str">
        <f>IF(csv!F169="","",csv!AO169)</f>
        <v>M65</v>
      </c>
      <c r="D174" s="31" t="str">
        <f>IF(csv!F169="","",csv!AP169&amp;"–"&amp;csv!AQ169&amp;"–"&amp;csv!AR169)</f>
        <v>3.17–95–6</v>
      </c>
      <c r="E174" s="66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2" t="str">
        <f>IF(csv!F170="","",csv!T170)</f>
        <v>M70</v>
      </c>
      <c r="C175" s="31" t="str">
        <f>IF(csv!F170="","",csv!AO170)</f>
        <v>M70</v>
      </c>
      <c r="D175" s="31" t="str">
        <f>IF(csv!F170="","",csv!AP170&amp;"–"&amp;csv!AQ170&amp;"–"&amp;csv!AR170)</f>
        <v>3.17–95–6</v>
      </c>
      <c r="E175" s="66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63–61–64–39–54–100–––––––––––––––––––––––</v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2" t="str">
        <f>IF(csv!F171="","",csv!T171)</f>
        <v>M70</v>
      </c>
      <c r="C176" s="31" t="str">
        <f>IF(csv!F171="","",csv!AO171)</f>
        <v>M70</v>
      </c>
      <c r="D176" s="31" t="str">
        <f>IF(csv!F171="","",csv!AP171&amp;"–"&amp;csv!AQ171&amp;"–"&amp;csv!AR171)</f>
        <v>3.17–95–6</v>
      </c>
      <c r="E176" s="66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63–61–64–39–54–100–––––––––––––––––––––––</v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2" t="str">
        <f>IF(csv!F172="","",csv!T172)</f>
        <v>M70</v>
      </c>
      <c r="C177" s="31" t="str">
        <f>IF(csv!F172="","",csv!AO172)</f>
        <v>M70</v>
      </c>
      <c r="D177" s="31" t="str">
        <f>IF(csv!F172="","",csv!AP172&amp;"–"&amp;csv!AQ172&amp;"–"&amp;csv!AR172)</f>
        <v>3.17–95–6</v>
      </c>
      <c r="E177" s="66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2" t="str">
        <f>IF(csv!F173="","",csv!T173)</f>
        <v>M70</v>
      </c>
      <c r="C178" s="31" t="str">
        <f>IF(csv!F173="","",csv!AO173)</f>
        <v>M70</v>
      </c>
      <c r="D178" s="31" t="str">
        <f>IF(csv!F173="","",csv!AP173&amp;"–"&amp;csv!AQ173&amp;"–"&amp;csv!AR173)</f>
        <v>3.17–95–6</v>
      </c>
      <c r="E178" s="66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2" t="str">
        <f>IF(csv!F174="","",csv!T174)</f>
        <v>OPEN</v>
      </c>
      <c r="C179" s="31" t="str">
        <f>IF(csv!F174="","",csv!AO174)</f>
        <v>OPEN</v>
      </c>
      <c r="D179" s="31" t="str">
        <f>IF(csv!F174="","",csv!AP174&amp;"–"&amp;csv!AQ174&amp;"–"&amp;csv!AR174)</f>
        <v>3.31–125–9</v>
      </c>
      <c r="E179" s="66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65–63–64–53–67–68–31–55–100––––––––––––––––––––</v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2" t="str">
        <f>IF(csv!F175="","",csv!T175)</f>
        <v>OPEN</v>
      </c>
      <c r="C180" s="31" t="str">
        <f>IF(csv!F175="","",csv!AO175)</f>
        <v>OPEN</v>
      </c>
      <c r="D180" s="31" t="str">
        <f>IF(csv!F175="","",csv!AP175&amp;"–"&amp;csv!AQ175&amp;"–"&amp;csv!AR175)</f>
        <v>3.31–125–9</v>
      </c>
      <c r="E180" s="66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65–63–64–53–67–68–31–55–100––––––––––––––––––––</v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2" t="str">
        <f>IF(csv!F176="","",csv!T176)</f>
        <v>OPEN</v>
      </c>
      <c r="C181" s="31" t="str">
        <f>IF(csv!F176="","",csv!AO176)</f>
        <v>OPEN</v>
      </c>
      <c r="D181" s="31" t="str">
        <f>IF(csv!F176="","",csv!AP176&amp;"–"&amp;csv!AQ176&amp;"–"&amp;csv!AR176)</f>
        <v>3.31–125–9</v>
      </c>
      <c r="E181" s="66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65–63–64–53–67–68–31–55–100––––––––––––––––––––</v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2" t="str">
        <f>IF(csv!F177="","",csv!T177)</f>
        <v>OPEN</v>
      </c>
      <c r="C182" s="31" t="str">
        <f>IF(csv!F177="","",csv!AO177)</f>
        <v>OPEN</v>
      </c>
      <c r="D182" s="31" t="str">
        <f>IF(csv!F177="","",csv!AP177&amp;"–"&amp;csv!AQ177&amp;"–"&amp;csv!AR177)</f>
        <v>3.31–125–9</v>
      </c>
      <c r="E182" s="66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65–63–64–53–67–68–31–55–100––––––––––––––––––––</v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2" t="str">
        <f>IF(csv!F178="","",csv!T178)</f>
        <v>OPEN</v>
      </c>
      <c r="C183" s="31" t="str">
        <f>IF(csv!F178="","",csv!AO178)</f>
        <v>OPEN</v>
      </c>
      <c r="D183" s="31" t="str">
        <f>IF(csv!F178="","",csv!AP178&amp;"–"&amp;csv!AQ178&amp;"–"&amp;csv!AR178)</f>
        <v>3.31–125–9</v>
      </c>
      <c r="E183" s="66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65–63–64–53–67–68–31–55–100––––––––––––––––––––</v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2" t="str">
        <f>IF(csv!F179="","",csv!T179)</f>
        <v>OPEN</v>
      </c>
      <c r="C184" s="31" t="str">
        <f>IF(csv!F179="","",csv!AO179)</f>
        <v>OPEN</v>
      </c>
      <c r="D184" s="31" t="str">
        <f>IF(csv!F179="","",csv!AP179&amp;"–"&amp;csv!AQ179&amp;"–"&amp;csv!AR179)</f>
        <v>3.31–125–9</v>
      </c>
      <c r="E184" s="66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65–63–64–53–67–68–31–55–100––––––––––––––––––––</v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2" t="str">
        <f>IF(csv!F180="","",csv!T180)</f>
        <v>OPEN</v>
      </c>
      <c r="C185" s="31" t="str">
        <f>IF(csv!F180="","",csv!AO180)</f>
        <v>OPEN</v>
      </c>
      <c r="D185" s="31" t="str">
        <f>IF(csv!F180="","",csv!AP180&amp;"–"&amp;csv!AQ180&amp;"–"&amp;csv!AR180)</f>
        <v>3.31–125–9</v>
      </c>
      <c r="E185" s="66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65–63–64–53–67–68–31–55–100––––––––––––––––––––</v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2" t="str">
        <f>IF(csv!F181="","",csv!T181)</f>
        <v>OPEN</v>
      </c>
      <c r="C186" s="31" t="str">
        <f>IF(csv!F181="","",csv!AO181)</f>
        <v>OPEN</v>
      </c>
      <c r="D186" s="31" t="str">
        <f>IF(csv!F181="","",csv!AP181&amp;"–"&amp;csv!AQ181&amp;"–"&amp;csv!AR181)</f>
        <v>3.31–125–9</v>
      </c>
      <c r="E186" s="66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65–63–64–53–67–68–31–55–100––––––––––––––––––––</v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2" t="str">
        <f>IF(csv!F182="","",csv!T182)</f>
        <v>OPEN</v>
      </c>
      <c r="C187" s="31" t="str">
        <f>IF(csv!F182="","",csv!AO182)</f>
        <v>OPEN</v>
      </c>
      <c r="D187" s="31" t="str">
        <f>IF(csv!F182="","",csv!AP182&amp;"–"&amp;csv!AQ182&amp;"–"&amp;csv!AR182)</f>
        <v>3.31–125–9</v>
      </c>
      <c r="E187" s="66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65–63–64–53–67–68–31–55–100––––––––––––––––––––</v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2" t="str">
        <f>IF(csv!F183="","",csv!T183)</f>
        <v>OPEN</v>
      </c>
      <c r="C188" s="31" t="str">
        <f>IF(csv!F183="","",csv!AO183)</f>
        <v>OPEN</v>
      </c>
      <c r="D188" s="31" t="str">
        <f>IF(csv!F183="","",csv!AP183&amp;"–"&amp;csv!AQ183&amp;"–"&amp;csv!AR183)</f>
        <v>3.31–125–9</v>
      </c>
      <c r="E188" s="66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65–63–64–53–67–68–31–55–100––––––––––––––––––––</v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2" t="str">
        <f>IF(csv!F184="","",csv!T184)</f>
        <v>OPEN</v>
      </c>
      <c r="C189" s="31" t="str">
        <f>IF(csv!F184="","",csv!AO184)</f>
        <v>OPEN</v>
      </c>
      <c r="D189" s="31" t="str">
        <f>IF(csv!F184="","",csv!AP184&amp;"–"&amp;csv!AQ184&amp;"–"&amp;csv!AR184)</f>
        <v>3.31–125–9</v>
      </c>
      <c r="E189" s="66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65–63–64–53–67–68–31–55–100––––––––––––––––––––</v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2" t="str">
        <f>IF(csv!F185="","",csv!T185)</f>
        <v>OPEN</v>
      </c>
      <c r="C190" s="31" t="str">
        <f>IF(csv!F185="","",csv!AO185)</f>
        <v>OPEN</v>
      </c>
      <c r="D190" s="31" t="str">
        <f>IF(csv!F185="","",csv!AP185&amp;"–"&amp;csv!AQ185&amp;"–"&amp;csv!AR185)</f>
        <v>3.31–125–9</v>
      </c>
      <c r="E190" s="66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65–63–64–53–67–68–31–55–100––––––––––––––––––––</v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2" t="str">
        <f>IF(csv!F186="","",csv!T186)</f>
        <v>OPEN</v>
      </c>
      <c r="C191" s="31" t="str">
        <f>IF(csv!F186="","",csv!AO186)</f>
        <v>OPEN</v>
      </c>
      <c r="D191" s="31" t="str">
        <f>IF(csv!F186="","",csv!AP186&amp;"–"&amp;csv!AQ186&amp;"–"&amp;csv!AR186)</f>
        <v>3.31–125–9</v>
      </c>
      <c r="E191" s="66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2" t="str">
        <f>IF(csv!F187="","",csv!T187)</f>
        <v>OPEN</v>
      </c>
      <c r="C192" s="31" t="str">
        <f>IF(csv!F187="","",csv!AO187)</f>
        <v>OPEN</v>
      </c>
      <c r="D192" s="31" t="str">
        <f>IF(csv!F187="","",csv!AP187&amp;"–"&amp;csv!AQ187&amp;"–"&amp;csv!AR187)</f>
        <v>3.31–125–9</v>
      </c>
      <c r="E192" s="66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65––64–53–67–68–31–55–100––––––––––––––––––––</v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2" t="str">
        <f>IF(csv!F188="","",csv!T188)</f>
        <v>OPEN</v>
      </c>
      <c r="C193" s="31" t="str">
        <f>IF(csv!F188="","",csv!AO188)</f>
        <v>OPEN</v>
      </c>
      <c r="D193" s="31" t="str">
        <f>IF(csv!F188="","",csv!AP188&amp;"–"&amp;csv!AQ188&amp;"–"&amp;csv!AR188)</f>
        <v>3.31–125–9</v>
      </c>
      <c r="E193" s="66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2" t="str">
        <f>IF(csv!F189="","",csv!T189)</f>
        <v>OPEN</v>
      </c>
      <c r="C194" s="31" t="str">
        <f>IF(csv!F189="","",csv!AO189)</f>
        <v>OPEN</v>
      </c>
      <c r="D194" s="31" t="str">
        <f>IF(csv!F189="","",csv!AP189&amp;"–"&amp;csv!AQ189&amp;"–"&amp;csv!AR189)</f>
        <v>3.31–125–9</v>
      </c>
      <c r="E194" s="66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65––––––––100––––––––––––––––––––</v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2" t="str">
        <f>IF(csv!F190="","",csv!T190)</f>
        <v>OPEN</v>
      </c>
      <c r="C195" s="31" t="str">
        <f>IF(csv!F190="","",csv!AO190)</f>
        <v>OPEN</v>
      </c>
      <c r="D195" s="31" t="str">
        <f>IF(csv!F190="","",csv!AP190&amp;"–"&amp;csv!AQ190&amp;"–"&amp;csv!AR190)</f>
        <v>3.31–125–9</v>
      </c>
      <c r="E195" s="66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65–63–64–53–67––31–55–100––––––––––––––––––––</v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2" t="str">
        <f>IF(csv!F191="","",csv!T191)</f>
        <v>OPEN</v>
      </c>
      <c r="C196" s="31" t="str">
        <f>IF(csv!F191="","",csv!AO191)</f>
        <v>OPEN</v>
      </c>
      <c r="D196" s="31" t="str">
        <f>IF(csv!F191="","",csv!AP191&amp;"–"&amp;csv!AQ191&amp;"–"&amp;csv!AR191)</f>
        <v>3.31–125–9</v>
      </c>
      <c r="E196" s="66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2" t="str">
        <f>IF(csv!F192="","",csv!T192)</f>
        <v>OPEN</v>
      </c>
      <c r="C197" s="31" t="str">
        <f>IF(csv!F192="","",csv!AO192)</f>
        <v>OPEN</v>
      </c>
      <c r="D197" s="31" t="str">
        <f>IF(csv!F192="","",csv!AP192&amp;"–"&amp;csv!AQ192&amp;"–"&amp;csv!AR192)</f>
        <v>3.31–125–9</v>
      </c>
      <c r="E197" s="66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65––––––––––––––––––––––––––––</v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2" t="str">
        <f>IF(csv!F193="","",csv!T193)</f>
        <v>OPEN</v>
      </c>
      <c r="C198" s="31" t="str">
        <f>IF(csv!F193="","",csv!AO193)</f>
        <v>OPEN</v>
      </c>
      <c r="D198" s="31" t="str">
        <f>IF(csv!F193="","",csv!AP193&amp;"–"&amp;csv!AQ193&amp;"–"&amp;csv!AR193)</f>
        <v>3.31–125–9</v>
      </c>
      <c r="E198" s="66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2" t="str">
        <f>IF(csv!F194="","",csv!T194)</f>
        <v>OPEN</v>
      </c>
      <c r="C199" s="31" t="str">
        <f>IF(csv!F194="","",csv!AO194)</f>
        <v>OPEN</v>
      </c>
      <c r="D199" s="31" t="str">
        <f>IF(csv!F194="","",csv!AP194&amp;"–"&amp;csv!AQ194&amp;"–"&amp;csv!AR194)</f>
        <v>3.31–125–9</v>
      </c>
      <c r="E199" s="66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2" t="str">
        <f>IF(csv!F195="","",csv!T195)</f>
        <v>OPEN</v>
      </c>
      <c r="C200" s="31" t="str">
        <f>IF(csv!F195="","",csv!AO195)</f>
        <v>OPEN</v>
      </c>
      <c r="D200" s="31" t="str">
        <f>IF(csv!F195="","",csv!AP195&amp;"–"&amp;csv!AQ195&amp;"–"&amp;csv!AR195)</f>
        <v>3.31–125–9</v>
      </c>
      <c r="E200" s="66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2" t="str">
        <f>IF(csv!F196="","",csv!T196)</f>
        <v>OPEN</v>
      </c>
      <c r="C201" s="31" t="str">
        <f>IF(csv!F196="","",csv!AO196)</f>
        <v>OPEN</v>
      </c>
      <c r="D201" s="31" t="str">
        <f>IF(csv!F196="","",csv!AP196&amp;"–"&amp;csv!AQ196&amp;"–"&amp;csv!AR196)</f>
        <v>3.31–125–9</v>
      </c>
      <c r="E201" s="66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65––––––––––––––––––––––––––––</v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2" t="str">
        <f>IF(csv!F197="","",csv!T197)</f>
        <v>OPEN</v>
      </c>
      <c r="C202" s="31" t="str">
        <f>IF(csv!F197="","",csv!AO197)</f>
        <v>OPEN</v>
      </c>
      <c r="D202" s="31" t="str">
        <f>IF(csv!F197="","",csv!AP197&amp;"–"&amp;csv!AQ197&amp;"–"&amp;csv!AR197)</f>
        <v>3.31–125–9</v>
      </c>
      <c r="E202" s="66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2" t="str">
        <f>IF(csv!F198="","",csv!T198)</f>
        <v>OPEN</v>
      </c>
      <c r="C203" s="31" t="str">
        <f>IF(csv!F198="","",csv!AO198)</f>
        <v>OPEN</v>
      </c>
      <c r="D203" s="31" t="str">
        <f>IF(csv!F198="","",csv!AP198&amp;"–"&amp;csv!AQ198&amp;"–"&amp;csv!AR198)</f>
        <v>3.31–125–9</v>
      </c>
      <c r="E203" s="66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2" t="str">
        <f>IF(csv!F199="","",csv!T199)</f>
        <v>Ž12</v>
      </c>
      <c r="C204" s="31" t="str">
        <f>IF(csv!F199="","",csv!AO199)</f>
        <v>Ž12</v>
      </c>
      <c r="D204" s="31" t="str">
        <f>IF(csv!F199="","",csv!AP199&amp;"–"&amp;csv!AQ199&amp;"–"&amp;csv!AR199)</f>
        <v>1.93–30–7</v>
      </c>
      <c r="E204" s="66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35–59–60–66–34–38–100––––––––––––––––––––––</v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2" t="str">
        <f>IF(csv!F200="","",csv!T200)</f>
        <v>Ž12</v>
      </c>
      <c r="C205" s="31" t="str">
        <f>IF(csv!F200="","",csv!AO200)</f>
        <v>Ž12</v>
      </c>
      <c r="D205" s="31" t="str">
        <f>IF(csv!F200="","",csv!AP200&amp;"–"&amp;csv!AQ200&amp;"–"&amp;csv!AR200)</f>
        <v>1.93–30–7</v>
      </c>
      <c r="E205" s="66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35–59–60–66–34–38–100––––––––––––––––––––––</v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2" t="str">
        <f>IF(csv!F201="","",csv!T201)</f>
        <v>Ž12</v>
      </c>
      <c r="C206" s="31" t="str">
        <f>IF(csv!F201="","",csv!AO201)</f>
        <v>Ž12</v>
      </c>
      <c r="D206" s="31" t="str">
        <f>IF(csv!F201="","",csv!AP201&amp;"–"&amp;csv!AQ201&amp;"–"&amp;csv!AR201)</f>
        <v>1.93–30–7</v>
      </c>
      <c r="E206" s="66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35–59–60–66–34–38–100––––––––––––––––––––––</v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2" t="str">
        <f>IF(csv!F202="","",csv!T202)</f>
        <v>Ž12</v>
      </c>
      <c r="C207" s="31" t="str">
        <f>IF(csv!F202="","",csv!AO202)</f>
        <v>Ž12</v>
      </c>
      <c r="D207" s="31" t="str">
        <f>IF(csv!F202="","",csv!AP202&amp;"–"&amp;csv!AQ202&amp;"–"&amp;csv!AR202)</f>
        <v>1.93–30–7</v>
      </c>
      <c r="E207" s="66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35–59–60–66–34–38–100––––––––––––––––––––––</v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2" t="str">
        <f>IF(csv!F203="","",csv!T203)</f>
        <v>Ž12</v>
      </c>
      <c r="C208" s="31" t="str">
        <f>IF(csv!F203="","",csv!AO203)</f>
        <v>Ž12</v>
      </c>
      <c r="D208" s="31" t="str">
        <f>IF(csv!F203="","",csv!AP203&amp;"–"&amp;csv!AQ203&amp;"–"&amp;csv!AR203)</f>
        <v>1.93–30–7</v>
      </c>
      <c r="E208" s="66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35–59–60–66–34–38–100––––––––––––––––––––––</v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2" t="str">
        <f>IF(csv!F204="","",csv!T204)</f>
        <v>Ž12</v>
      </c>
      <c r="C209" s="31" t="str">
        <f>IF(csv!F204="","",csv!AO204)</f>
        <v>Ž12</v>
      </c>
      <c r="D209" s="31" t="str">
        <f>IF(csv!F204="","",csv!AP204&amp;"–"&amp;csv!AQ204&amp;"–"&amp;csv!AR204)</f>
        <v>1.93–30–7</v>
      </c>
      <c r="E209" s="66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35–59–60–66–34–38–100––––––––––––––––––––––</v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2" t="str">
        <f>IF(csv!F205="","",csv!T205)</f>
        <v>Ž12</v>
      </c>
      <c r="C210" s="31" t="str">
        <f>IF(csv!F205="","",csv!AO205)</f>
        <v>Ž12</v>
      </c>
      <c r="D210" s="31" t="str">
        <f>IF(csv!F205="","",csv!AP205&amp;"–"&amp;csv!AQ205&amp;"–"&amp;csv!AR205)</f>
        <v>1.93–30–7</v>
      </c>
      <c r="E210" s="66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35–59–60–66–34–38–100––––––––––––––––––––––</v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2" t="str">
        <f>IF(csv!F206="","",csv!T206)</f>
        <v>Ž12</v>
      </c>
      <c r="C211" s="31" t="str">
        <f>IF(csv!F206="","",csv!AO206)</f>
        <v>Ž12</v>
      </c>
      <c r="D211" s="31" t="str">
        <f>IF(csv!F206="","",csv!AP206&amp;"–"&amp;csv!AQ206&amp;"–"&amp;csv!AR206)</f>
        <v>1.93–30–7</v>
      </c>
      <c r="E211" s="66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35–59–60–66–34–38–100––––––––––––––––––––––</v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2" t="str">
        <f>IF(csv!F207="","",csv!T207)</f>
        <v>Ž12</v>
      </c>
      <c r="C212" s="31" t="str">
        <f>IF(csv!F207="","",csv!AO207)</f>
        <v>Ž12</v>
      </c>
      <c r="D212" s="31" t="str">
        <f>IF(csv!F207="","",csv!AP207&amp;"–"&amp;csv!AQ207&amp;"–"&amp;csv!AR207)</f>
        <v>1.93–30–7</v>
      </c>
      <c r="E212" s="66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35–59–60–66–34–38–100––––––––––––––––––––––</v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2" t="str">
        <f>IF(csv!F208="","",csv!T208)</f>
        <v>Ž12</v>
      </c>
      <c r="C213" s="31" t="str">
        <f>IF(csv!F208="","",csv!AO208)</f>
        <v>Ž12</v>
      </c>
      <c r="D213" s="31" t="str">
        <f>IF(csv!F208="","",csv!AP208&amp;"–"&amp;csv!AQ208&amp;"–"&amp;csv!AR208)</f>
        <v>1.93–30–7</v>
      </c>
      <c r="E213" s="66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2" t="str">
        <f>IF(csv!F209="","",csv!T209)</f>
        <v>Ž12</v>
      </c>
      <c r="C214" s="31" t="str">
        <f>IF(csv!F209="","",csv!AO209)</f>
        <v>Ž12</v>
      </c>
      <c r="D214" s="31" t="str">
        <f>IF(csv!F209="","",csv!AP209&amp;"–"&amp;csv!AQ209&amp;"–"&amp;csv!AR209)</f>
        <v>1.93–30–7</v>
      </c>
      <c r="E214" s="66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2" t="str">
        <f>IF(csv!F210="","",csv!T210)</f>
        <v>Ž12</v>
      </c>
      <c r="C215" s="31" t="str">
        <f>IF(csv!F210="","",csv!AO210)</f>
        <v>Ž12</v>
      </c>
      <c r="D215" s="31" t="str">
        <f>IF(csv!F210="","",csv!AP210&amp;"–"&amp;csv!AQ210&amp;"–"&amp;csv!AR210)</f>
        <v>1.93–30–7</v>
      </c>
      <c r="E215" s="66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2" t="str">
        <f>IF(csv!F211="","",csv!T211)</f>
        <v>Ž14</v>
      </c>
      <c r="C216" s="31" t="str">
        <f>IF(csv!F211="","",csv!AO211)</f>
        <v>Ž14</v>
      </c>
      <c r="D216" s="31" t="str">
        <f>IF(csv!F211="","",csv!AP211&amp;"–"&amp;csv!AQ211&amp;"–"&amp;csv!AR211)</f>
        <v>2.77–65–9</v>
      </c>
      <c r="E216" s="66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65–59–72–69–67–68–70–38–100––––––––––––––––––––</v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2" t="str">
        <f>IF(csv!F212="","",csv!T212)</f>
        <v>Ž14</v>
      </c>
      <c r="C217" s="31" t="str">
        <f>IF(csv!F212="","",csv!AO212)</f>
        <v>Ž14</v>
      </c>
      <c r="D217" s="31" t="str">
        <f>IF(csv!F212="","",csv!AP212&amp;"–"&amp;csv!AQ212&amp;"–"&amp;csv!AR212)</f>
        <v>2.77–65–9</v>
      </c>
      <c r="E217" s="66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65–59–72–69–67–68–70–38–100––––––––––––––––––––</v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2" t="str">
        <f>IF(csv!F213="","",csv!T213)</f>
        <v>Ž14</v>
      </c>
      <c r="C218" s="31" t="str">
        <f>IF(csv!F213="","",csv!AO213)</f>
        <v>Ž14</v>
      </c>
      <c r="D218" s="31" t="str">
        <f>IF(csv!F213="","",csv!AP213&amp;"–"&amp;csv!AQ213&amp;"–"&amp;csv!AR213)</f>
        <v>2.77–65–9</v>
      </c>
      <c r="E218" s="66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65–59–72–69–67–68–70–38–100––––––––––––––––––––</v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2" t="str">
        <f>IF(csv!F214="","",csv!T214)</f>
        <v>Ž14</v>
      </c>
      <c r="C219" s="31" t="str">
        <f>IF(csv!F214="","",csv!AO214)</f>
        <v>Ž14</v>
      </c>
      <c r="D219" s="31" t="str">
        <f>IF(csv!F214="","",csv!AP214&amp;"–"&amp;csv!AQ214&amp;"–"&amp;csv!AR214)</f>
        <v>2.77–65–9</v>
      </c>
      <c r="E219" s="66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2" t="str">
        <f>IF(csv!F215="","",csv!T215)</f>
        <v>Ž14</v>
      </c>
      <c r="C220" s="31" t="str">
        <f>IF(csv!F215="","",csv!AO215)</f>
        <v>Ž14</v>
      </c>
      <c r="D220" s="31" t="str">
        <f>IF(csv!F215="","",csv!AP215&amp;"–"&amp;csv!AQ215&amp;"–"&amp;csv!AR215)</f>
        <v>2.77–65–9</v>
      </c>
      <c r="E220" s="66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2" t="str">
        <f>IF(csv!F216="","",csv!T216)</f>
        <v>Ž16</v>
      </c>
      <c r="C221" s="31" t="str">
        <f>IF(csv!F216="","",csv!AO216)</f>
        <v>Ž16</v>
      </c>
      <c r="D221" s="31" t="str">
        <f>IF(csv!F216="","",csv!AP216&amp;"–"&amp;csv!AQ216&amp;"–"&amp;csv!AR216)</f>
        <v>3.31–115–8</v>
      </c>
      <c r="E221" s="66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68–64–53–67–70–31–55–100–––––––––––––––––––––</v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2" t="str">
        <f>IF(csv!F217="","",csv!T217)</f>
        <v>Ž16</v>
      </c>
      <c r="C222" s="31" t="str">
        <f>IF(csv!F217="","",csv!AO217)</f>
        <v>Ž16</v>
      </c>
      <c r="D222" s="31" t="str">
        <f>IF(csv!F217="","",csv!AP217&amp;"–"&amp;csv!AQ217&amp;"–"&amp;csv!AR217)</f>
        <v>3.31–115–8</v>
      </c>
      <c r="E222" s="66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68–64–53–67–70–31–55–100–––––––––––––––––––––</v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2" t="str">
        <f>IF(csv!F218="","",csv!T218)</f>
        <v>Ž16</v>
      </c>
      <c r="C223" s="31" t="str">
        <f>IF(csv!F218="","",csv!AO218)</f>
        <v>Ž16</v>
      </c>
      <c r="D223" s="31" t="str">
        <f>IF(csv!F218="","",csv!AP218&amp;"–"&amp;csv!AQ218&amp;"–"&amp;csv!AR218)</f>
        <v>3.31–115–8</v>
      </c>
      <c r="E223" s="66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68–64–53–67–70–31–55–100–––––––––––––––––––––</v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2" t="str">
        <f>IF(csv!F219="","",csv!T219)</f>
        <v>Ž16</v>
      </c>
      <c r="C224" s="31" t="str">
        <f>IF(csv!F219="","",csv!AO219)</f>
        <v>Ž16</v>
      </c>
      <c r="D224" s="31" t="str">
        <f>IF(csv!F219="","",csv!AP219&amp;"–"&amp;csv!AQ219&amp;"–"&amp;csv!AR219)</f>
        <v>3.31–115–8</v>
      </c>
      <c r="E224" s="66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68–64–53–67–70–31–55–100–––––––––––––––––––––</v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2" t="str">
        <f>IF(csv!F220="","",csv!T220)</f>
        <v>Ž16</v>
      </c>
      <c r="C225" s="31" t="str">
        <f>IF(csv!F220="","",csv!AO220)</f>
        <v>Ž16</v>
      </c>
      <c r="D225" s="31" t="str">
        <f>IF(csv!F220="","",csv!AP220&amp;"–"&amp;csv!AQ220&amp;"–"&amp;csv!AR220)</f>
        <v>3.31–115–8</v>
      </c>
      <c r="E225" s="66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68–64–53–67–70–31–55–100–––––––––––––––––––––</v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2" t="str">
        <f>IF(csv!F221="","",csv!T221)</f>
        <v>Ž16</v>
      </c>
      <c r="C226" s="31" t="str">
        <f>IF(csv!F221="","",csv!AO221)</f>
        <v>Ž16</v>
      </c>
      <c r="D226" s="31" t="str">
        <f>IF(csv!F221="","",csv!AP221&amp;"–"&amp;csv!AQ221&amp;"–"&amp;csv!AR221)</f>
        <v>3.31–115–8</v>
      </c>
      <c r="E226" s="66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68–64–53–67–70–31–55–100–––––––––––––––––––––</v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2" t="str">
        <f>IF(csv!F222="","",csv!T222)</f>
        <v>Ž16</v>
      </c>
      <c r="C227" s="31" t="str">
        <f>IF(csv!F222="","",csv!AO222)</f>
        <v>Ž16</v>
      </c>
      <c r="D227" s="31" t="str">
        <f>IF(csv!F222="","",csv!AP222&amp;"–"&amp;csv!AQ222&amp;"–"&amp;csv!AR222)</f>
        <v>3.31–115–8</v>
      </c>
      <c r="E227" s="66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68–64–53–67–70–31–55–100–––––––––––––––––––––</v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2" t="str">
        <f>IF(csv!F223="","",csv!T223)</f>
        <v>Ž16</v>
      </c>
      <c r="C228" s="31" t="str">
        <f>IF(csv!F223="","",csv!AO223)</f>
        <v>Ž16</v>
      </c>
      <c r="D228" s="31" t="str">
        <f>IF(csv!F223="","",csv!AP223&amp;"–"&amp;csv!AQ223&amp;"–"&amp;csv!AR223)</f>
        <v>3.31–115–8</v>
      </c>
      <c r="E228" s="66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68–64–53–67–70–31–55–100–––––––––––––––––––––</v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2" t="str">
        <f>IF(csv!F224="","",csv!T224)</f>
        <v>Ž16</v>
      </c>
      <c r="C229" s="31" t="str">
        <f>IF(csv!F224="","",csv!AO224)</f>
        <v>Ž16</v>
      </c>
      <c r="D229" s="31" t="str">
        <f>IF(csv!F224="","",csv!AP224&amp;"–"&amp;csv!AQ224&amp;"–"&amp;csv!AR224)</f>
        <v>3.31–115–8</v>
      </c>
      <c r="E229" s="66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68–64–53–67–70–31–55–100–––––––––––––––––––––</v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2" t="str">
        <f>IF(csv!F225="","",csv!T225)</f>
        <v>Ž16</v>
      </c>
      <c r="C230" s="31" t="str">
        <f>IF(csv!F225="","",csv!AO225)</f>
        <v>Ž16</v>
      </c>
      <c r="D230" s="31" t="str">
        <f>IF(csv!F225="","",csv!AP225&amp;"–"&amp;csv!AQ225&amp;"–"&amp;csv!AR225)</f>
        <v>3.31–115–8</v>
      </c>
      <c r="E230" s="66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68–64–53–67–70–31–55–100–––––––––––––––––––––</v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2" t="str">
        <f>IF(csv!F226="","",csv!T226)</f>
        <v>Ž16</v>
      </c>
      <c r="C231" s="31" t="str">
        <f>IF(csv!F226="","",csv!AO226)</f>
        <v>Ž16</v>
      </c>
      <c r="D231" s="31" t="str">
        <f>IF(csv!F226="","",csv!AP226&amp;"–"&amp;csv!AQ226&amp;"–"&amp;csv!AR226)</f>
        <v>3.31–115–8</v>
      </c>
      <c r="E231" s="66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68–64–53–67–70–31–55–100–––––––––––––––––––––</v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2" t="str">
        <f>IF(csv!F227="","",csv!T227)</f>
        <v>Ž16</v>
      </c>
      <c r="C232" s="31" t="str">
        <f>IF(csv!F227="","",csv!AO227)</f>
        <v>Ž16</v>
      </c>
      <c r="D232" s="31" t="str">
        <f>IF(csv!F227="","",csv!AP227&amp;"–"&amp;csv!AQ227&amp;"–"&amp;csv!AR227)</f>
        <v>3.31–115–8</v>
      </c>
      <c r="E232" s="66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68–64–53–67–70–31–55–100–––––––––––––––––––––</v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2" t="str">
        <f>IF(csv!F228="","",csv!T228)</f>
        <v>Ž16</v>
      </c>
      <c r="C233" s="31" t="str">
        <f>IF(csv!F228="","",csv!AO228)</f>
        <v>Ž16</v>
      </c>
      <c r="D233" s="31" t="str">
        <f>IF(csv!F228="","",csv!AP228&amp;"–"&amp;csv!AQ228&amp;"–"&amp;csv!AR228)</f>
        <v>3.31–115–8</v>
      </c>
      <c r="E233" s="66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68–64–53–67–70–31–55–100–––––––––––––––––––––</v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2" t="str">
        <f>IF(csv!F229="","",csv!T229)</f>
        <v>Ž16</v>
      </c>
      <c r="C234" s="31" t="str">
        <f>IF(csv!F229="","",csv!AO229)</f>
        <v>Ž16</v>
      </c>
      <c r="D234" s="31" t="str">
        <f>IF(csv!F229="","",csv!AP229&amp;"–"&amp;csv!AQ229&amp;"–"&amp;csv!AR229)</f>
        <v>3.31–115–8</v>
      </c>
      <c r="E234" s="66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68–64–53–67–70–31–55–100–––––––––––––––––––––</v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2" t="str">
        <f>IF(csv!F230="","",csv!T230)</f>
        <v>Ž16</v>
      </c>
      <c r="C235" s="31" t="str">
        <f>IF(csv!F230="","",csv!AO230)</f>
        <v>Ž16</v>
      </c>
      <c r="D235" s="31" t="str">
        <f>IF(csv!F230="","",csv!AP230&amp;"–"&amp;csv!AQ230&amp;"–"&amp;csv!AR230)</f>
        <v>3.31–115–8</v>
      </c>
      <c r="E235" s="66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68–––67–70–31––100–––––––––––––––––––––</v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2" t="str">
        <f>IF(csv!F231="","",csv!T231)</f>
        <v>Ž16</v>
      </c>
      <c r="C236" s="31" t="str">
        <f>IF(csv!F231="","",csv!AO231)</f>
        <v>Ž16</v>
      </c>
      <c r="D236" s="31" t="str">
        <f>IF(csv!F231="","",csv!AP231&amp;"–"&amp;csv!AQ231&amp;"–"&amp;csv!AR231)</f>
        <v>3.31–115–8</v>
      </c>
      <c r="E236" s="66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2" t="str">
        <f>IF(csv!F232="","",csv!T232)</f>
        <v>Ž16</v>
      </c>
      <c r="C237" s="31" t="str">
        <f>IF(csv!F232="","",csv!AO232)</f>
        <v>Ž16</v>
      </c>
      <c r="D237" s="31" t="str">
        <f>IF(csv!F232="","",csv!AP232&amp;"–"&amp;csv!AQ232&amp;"–"&amp;csv!AR232)</f>
        <v>3.31–115–8</v>
      </c>
      <c r="E237" s="66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2" t="str">
        <f>IF(csv!F233="","",csv!T233)</f>
        <v>Ž16</v>
      </c>
      <c r="C238" s="31" t="str">
        <f>IF(csv!F233="","",csv!AO233)</f>
        <v>Ž16</v>
      </c>
      <c r="D238" s="31" t="str">
        <f>IF(csv!F233="","",csv!AP233&amp;"–"&amp;csv!AQ233&amp;"–"&amp;csv!AR233)</f>
        <v>3.31–115–8</v>
      </c>
      <c r="E238" s="66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2" t="str">
        <f>IF(csv!F234="","",csv!T234)</f>
        <v>Ž20</v>
      </c>
      <c r="C239" s="31" t="str">
        <f>IF(csv!F234="","",csv!AO234)</f>
        <v>Ž20</v>
      </c>
      <c r="D239" s="31" t="str">
        <f>IF(csv!F234="","",csv!AP234&amp;"–"&amp;csv!AQ234&amp;"–"&amp;csv!AR234)</f>
        <v>4.33–155–9</v>
      </c>
      <c r="E239" s="66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36–58–52–53–51–32–33–54–100––––––––––––––––––––</v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2" t="str">
        <f>IF(csv!F235="","",csv!T235)</f>
        <v>Ž20</v>
      </c>
      <c r="C240" s="31" t="str">
        <f>IF(csv!F235="","",csv!AO235)</f>
        <v>Ž20</v>
      </c>
      <c r="D240" s="31" t="str">
        <f>IF(csv!F235="","",csv!AP235&amp;"–"&amp;csv!AQ235&amp;"–"&amp;csv!AR235)</f>
        <v>4.33–155–9</v>
      </c>
      <c r="E240" s="66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36–58–52–53–51–32–33–54–100––––––––––––––––––––</v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2" t="str">
        <f>IF(csv!F236="","",csv!T236)</f>
        <v>Ž20</v>
      </c>
      <c r="C241" s="31" t="str">
        <f>IF(csv!F236="","",csv!AO236)</f>
        <v>Ž20</v>
      </c>
      <c r="D241" s="31" t="str">
        <f>IF(csv!F236="","",csv!AP236&amp;"–"&amp;csv!AQ236&amp;"–"&amp;csv!AR236)</f>
        <v>4.33–155–9</v>
      </c>
      <c r="E241" s="66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36–58–52–53–51–32–33–54–100––––––––––––––––––––</v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2" t="str">
        <f>IF(csv!F237="","",csv!T237)</f>
        <v>Ž20</v>
      </c>
      <c r="C242" s="31" t="str">
        <f>IF(csv!F237="","",csv!AO237)</f>
        <v>Ž20</v>
      </c>
      <c r="D242" s="31" t="str">
        <f>IF(csv!F237="","",csv!AP237&amp;"–"&amp;csv!AQ237&amp;"–"&amp;csv!AR237)</f>
        <v>4.33–155–9</v>
      </c>
      <c r="E242" s="66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36–58–52–53–51–32–33–54–100––––––––––––––––––––</v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2" t="str">
        <f>IF(csv!F238="","",csv!T238)</f>
        <v>Ž20</v>
      </c>
      <c r="C243" s="31" t="str">
        <f>IF(csv!F238="","",csv!AO238)</f>
        <v>Ž20</v>
      </c>
      <c r="D243" s="31" t="str">
        <f>IF(csv!F238="","",csv!AP238&amp;"–"&amp;csv!AQ238&amp;"–"&amp;csv!AR238)</f>
        <v>4.33–155–9</v>
      </c>
      <c r="E243" s="66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36–58–52–53–51–32–33–54–100––––––––––––––––––––</v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2" t="str">
        <f>IF(csv!F239="","",csv!T239)</f>
        <v>Ž20</v>
      </c>
      <c r="C244" s="31" t="str">
        <f>IF(csv!F239="","",csv!AO239)</f>
        <v>Ž20</v>
      </c>
      <c r="D244" s="31" t="str">
        <f>IF(csv!F239="","",csv!AP239&amp;"–"&amp;csv!AQ239&amp;"–"&amp;csv!AR239)</f>
        <v>4.33–155–9</v>
      </c>
      <c r="E244" s="66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36–58–52–53–51–32–33–54–100––––––––––––––––––––</v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2" t="str">
        <f>IF(csv!F240="","",csv!T240)</f>
        <v>Ž20</v>
      </c>
      <c r="C245" s="31" t="str">
        <f>IF(csv!F240="","",csv!AO240)</f>
        <v>Ž20</v>
      </c>
      <c r="D245" s="31" t="str">
        <f>IF(csv!F240="","",csv!AP240&amp;"–"&amp;csv!AQ240&amp;"–"&amp;csv!AR240)</f>
        <v>4.33–155–9</v>
      </c>
      <c r="E245" s="66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2" t="str">
        <f>IF(csv!F241="","",csv!T241)</f>
        <v>Ž20</v>
      </c>
      <c r="C246" s="31" t="str">
        <f>IF(csv!F241="","",csv!AO241)</f>
        <v>Ž20</v>
      </c>
      <c r="D246" s="31" t="str">
        <f>IF(csv!F241="","",csv!AP241&amp;"–"&amp;csv!AQ241&amp;"–"&amp;csv!AR241)</f>
        <v>4.33–155–9</v>
      </c>
      <c r="E246" s="66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2" t="str">
        <f>IF(csv!F242="","",csv!T242)</f>
        <v>Ž20</v>
      </c>
      <c r="C247" s="31" t="str">
        <f>IF(csv!F242="","",csv!AO242)</f>
        <v>Ž20</v>
      </c>
      <c r="D247" s="31" t="str">
        <f>IF(csv!F242="","",csv!AP242&amp;"–"&amp;csv!AQ242&amp;"–"&amp;csv!AR242)</f>
        <v>4.33–155–9</v>
      </c>
      <c r="E247" s="66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2" t="str">
        <f>IF(csv!F243="","",csv!T243)</f>
        <v>Ž21A</v>
      </c>
      <c r="C248" s="31" t="str">
        <f>IF(csv!F243="","",csv!AO243)</f>
        <v>Ž21A</v>
      </c>
      <c r="D248" s="31" t="str">
        <f>IF(csv!F243="","",csv!AP243&amp;"–"&amp;csv!AQ243&amp;"–"&amp;csv!AR243)</f>
        <v>5.91–270–12</v>
      </c>
      <c r="E248" s="66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40–36–43–44–45–50–46–49–57–62–54–100–––––––––––––––––</v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2" t="str">
        <f>IF(csv!F244="","",csv!T244)</f>
        <v>Ž21A</v>
      </c>
      <c r="C249" s="31" t="str">
        <f>IF(csv!F244="","",csv!AO244)</f>
        <v>Ž21A</v>
      </c>
      <c r="D249" s="31" t="str">
        <f>IF(csv!F244="","",csv!AP244&amp;"–"&amp;csv!AQ244&amp;"–"&amp;csv!AR244)</f>
        <v>5.91–270–12</v>
      </c>
      <c r="E249" s="66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40–36–43–44–45–50–46–49–57–62–54–100–––––––––––––––––</v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2" t="str">
        <f>IF(csv!F245="","",csv!T245)</f>
        <v>Ž21A</v>
      </c>
      <c r="C250" s="31" t="str">
        <f>IF(csv!F245="","",csv!AO245)</f>
        <v>Ž21A</v>
      </c>
      <c r="D250" s="31" t="str">
        <f>IF(csv!F245="","",csv!AP245&amp;"–"&amp;csv!AQ245&amp;"–"&amp;csv!AR245)</f>
        <v>5.91–270–12</v>
      </c>
      <c r="E250" s="66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40–36–43–44–45–50–46–49–57–62–54–100–––––––––––––––––</v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2" t="str">
        <f>IF(csv!F246="","",csv!T246)</f>
        <v>Ž21A</v>
      </c>
      <c r="C251" s="31" t="str">
        <f>IF(csv!F246="","",csv!AO246)</f>
        <v>Ž21A</v>
      </c>
      <c r="D251" s="31" t="str">
        <f>IF(csv!F246="","",csv!AP246&amp;"–"&amp;csv!AQ246&amp;"–"&amp;csv!AR246)</f>
        <v>5.91–270–12</v>
      </c>
      <c r="E251" s="66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40–36–43–44–45–50–46–49–57–62–54–100–––––––––––––––––</v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2" t="str">
        <f>IF(csv!F247="","",csv!T247)</f>
        <v>Ž21A</v>
      </c>
      <c r="C252" s="31" t="str">
        <f>IF(csv!F247="","",csv!AO247)</f>
        <v>Ž21A</v>
      </c>
      <c r="D252" s="31" t="str">
        <f>IF(csv!F247="","",csv!AP247&amp;"–"&amp;csv!AQ247&amp;"–"&amp;csv!AR247)</f>
        <v>5.91–270–12</v>
      </c>
      <c r="E252" s="66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40–36–43–44–45–50–46–49–57–62–54–100–––––––––––––––––</v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2" t="str">
        <f>IF(csv!F248="","",csv!T248)</f>
        <v>Ž21A</v>
      </c>
      <c r="C253" s="31" t="str">
        <f>IF(csv!F248="","",csv!AO248)</f>
        <v>Ž21A</v>
      </c>
      <c r="D253" s="31" t="str">
        <f>IF(csv!F248="","",csv!AP248&amp;"–"&amp;csv!AQ248&amp;"–"&amp;csv!AR248)</f>
        <v>5.91–270–12</v>
      </c>
      <c r="E253" s="66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40–36–43–44–45–50–46–49–57–62–54–100–––––––––––––––––</v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2" t="str">
        <f>IF(csv!F249="","",csv!T249)</f>
        <v>Ž21A</v>
      </c>
      <c r="C254" s="31" t="str">
        <f>IF(csv!F249="","",csv!AO249)</f>
        <v>Ž21A</v>
      </c>
      <c r="D254" s="31" t="str">
        <f>IF(csv!F249="","",csv!AP249&amp;"–"&amp;csv!AQ249&amp;"–"&amp;csv!AR249)</f>
        <v>5.91–270–12</v>
      </c>
      <c r="E254" s="66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40–36–43–44–45–50–46–49–57–62–54–100–––––––––––––––––</v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2" t="str">
        <f>IF(csv!F250="","",csv!T250)</f>
        <v>Ž21A</v>
      </c>
      <c r="C255" s="31" t="str">
        <f>IF(csv!F250="","",csv!AO250)</f>
        <v>Ž21A</v>
      </c>
      <c r="D255" s="31" t="str">
        <f>IF(csv!F250="","",csv!AP250&amp;"–"&amp;csv!AQ250&amp;"–"&amp;csv!AR250)</f>
        <v>5.91–270–12</v>
      </c>
      <c r="E255" s="66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2" t="str">
        <f>IF(csv!F251="","",csv!T251)</f>
        <v>Ž21A</v>
      </c>
      <c r="C256" s="31" t="str">
        <f>IF(csv!F251="","",csv!AO251)</f>
        <v>Ž21A</v>
      </c>
      <c r="D256" s="31" t="str">
        <f>IF(csv!F251="","",csv!AP251&amp;"–"&amp;csv!AQ251&amp;"–"&amp;csv!AR251)</f>
        <v>5.91–270–12</v>
      </c>
      <c r="E256" s="66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2" t="str">
        <f>IF(csv!F252="","",csv!T252)</f>
        <v>Ž21A</v>
      </c>
      <c r="C257" s="31" t="str">
        <f>IF(csv!F252="","",csv!AO252)</f>
        <v>Ž21A</v>
      </c>
      <c r="D257" s="31" t="str">
        <f>IF(csv!F252="","",csv!AP252&amp;"–"&amp;csv!AQ252&amp;"–"&amp;csv!AR252)</f>
        <v>5.91–270–12</v>
      </c>
      <c r="E257" s="66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2" t="str">
        <f>IF(csv!F253="","",csv!T253)</f>
        <v>Ž21A</v>
      </c>
      <c r="C258" s="31" t="str">
        <f>IF(csv!F253="","",csv!AO253)</f>
        <v>Ž21A</v>
      </c>
      <c r="D258" s="31" t="str">
        <f>IF(csv!F253="","",csv!AP253&amp;"–"&amp;csv!AQ253&amp;"–"&amp;csv!AR253)</f>
        <v>5.91–270–12</v>
      </c>
      <c r="E258" s="66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2" t="str">
        <f>IF(csv!F254="","",csv!T254)</f>
        <v>Ž21B</v>
      </c>
      <c r="C259" s="31" t="str">
        <f>IF(csv!F254="","",csv!AO254)</f>
        <v>Ž21B</v>
      </c>
      <c r="D259" s="31" t="str">
        <f>IF(csv!F254="","",csv!AP254&amp;"–"&amp;csv!AQ254&amp;"–"&amp;csv!AR254)</f>
        <v>3.31–115–8</v>
      </c>
      <c r="E259" s="66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68–64–53–67–70–31–55–100–––––––––––––––––––––</v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2" t="str">
        <f>IF(csv!F255="","",csv!T255)</f>
        <v>Ž21B</v>
      </c>
      <c r="C260" s="31" t="str">
        <f>IF(csv!F255="","",csv!AO255)</f>
        <v>Ž21B</v>
      </c>
      <c r="D260" s="31" t="str">
        <f>IF(csv!F255="","",csv!AP255&amp;"–"&amp;csv!AQ255&amp;"–"&amp;csv!AR255)</f>
        <v>3.31–115–8</v>
      </c>
      <c r="E260" s="66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68–64–53–67–70–31–55–100–––––––––––––––––––––</v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2" t="str">
        <f>IF(csv!F256="","",csv!T256)</f>
        <v>Ž21B</v>
      </c>
      <c r="C261" s="31" t="str">
        <f>IF(csv!F256="","",csv!AO256)</f>
        <v>Ž21B</v>
      </c>
      <c r="D261" s="31" t="str">
        <f>IF(csv!F256="","",csv!AP256&amp;"–"&amp;csv!AQ256&amp;"–"&amp;csv!AR256)</f>
        <v>3.31–115–8</v>
      </c>
      <c r="E261" s="66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68–64–53–67–70–31–55–100–––––––––––––––––––––</v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2" t="str">
        <f>IF(csv!F257="","",csv!T257)</f>
        <v>Ž21B</v>
      </c>
      <c r="C262" s="31" t="str">
        <f>IF(csv!F257="","",csv!AO257)</f>
        <v>Ž21B</v>
      </c>
      <c r="D262" s="31" t="str">
        <f>IF(csv!F257="","",csv!AP257&amp;"–"&amp;csv!AQ257&amp;"–"&amp;csv!AR257)</f>
        <v>3.31–115–8</v>
      </c>
      <c r="E262" s="66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68–64–53–67–70–31–55–100–––––––––––––––––––––</v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2" t="str">
        <f>IF(csv!F258="","",csv!T258)</f>
        <v>Ž21B</v>
      </c>
      <c r="C263" s="31" t="str">
        <f>IF(csv!F258="","",csv!AO258)</f>
        <v>Ž21B</v>
      </c>
      <c r="D263" s="31" t="str">
        <f>IF(csv!F258="","",csv!AP258&amp;"–"&amp;csv!AQ258&amp;"–"&amp;csv!AR258)</f>
        <v>3.31–115–8</v>
      </c>
      <c r="E263" s="66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68–64–53–67–70–31–55–100–––––––––––––––––––––</v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2" t="str">
        <f>IF(csv!F259="","",csv!T259)</f>
        <v>Ž21B</v>
      </c>
      <c r="C264" s="31" t="str">
        <f>IF(csv!F259="","",csv!AO259)</f>
        <v>Ž21B</v>
      </c>
      <c r="D264" s="31" t="str">
        <f>IF(csv!F259="","",csv!AP259&amp;"–"&amp;csv!AQ259&amp;"–"&amp;csv!AR259)</f>
        <v>3.31–115–8</v>
      </c>
      <c r="E264" s="66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68–64–53–67–70–31–55–100–––––––––––––––––––––</v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2" t="str">
        <f>IF(csv!F260="","",csv!T260)</f>
        <v>Ž21B</v>
      </c>
      <c r="C265" s="31" t="str">
        <f>IF(csv!F260="","",csv!AO260)</f>
        <v>Ž21B</v>
      </c>
      <c r="D265" s="31" t="str">
        <f>IF(csv!F260="","",csv!AP260&amp;"–"&amp;csv!AQ260&amp;"–"&amp;csv!AR260)</f>
        <v>3.31–115–8</v>
      </c>
      <c r="E265" s="66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68–64–53–67–70–31–55–100–––––––––––––––––––––</v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2" t="str">
        <f>IF(csv!F261="","",csv!T261)</f>
        <v>Ž21B</v>
      </c>
      <c r="C266" s="31" t="str">
        <f>IF(csv!F261="","",csv!AO261)</f>
        <v>Ž21B</v>
      </c>
      <c r="D266" s="31" t="str">
        <f>IF(csv!F261="","",csv!AP261&amp;"–"&amp;csv!AQ261&amp;"–"&amp;csv!AR261)</f>
        <v>3.31–115–8</v>
      </c>
      <c r="E266" s="66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68–64–53–67–70–31–55–100–––––––––––––––––––––</v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2" t="str">
        <f>IF(csv!F262="","",csv!T262)</f>
        <v>Ž21B</v>
      </c>
      <c r="C267" s="31" t="str">
        <f>IF(csv!F262="","",csv!AO262)</f>
        <v>Ž21B</v>
      </c>
      <c r="D267" s="31" t="str">
        <f>IF(csv!F262="","",csv!AP262&amp;"–"&amp;csv!AQ262&amp;"–"&amp;csv!AR262)</f>
        <v>3.31–115–8</v>
      </c>
      <c r="E267" s="66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68–64–53–67–70–31–55–100–––––––––––––––––––––</v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2" t="str">
        <f>IF(csv!F263="","",csv!T263)</f>
        <v>Ž21B</v>
      </c>
      <c r="C268" s="31" t="str">
        <f>IF(csv!F263="","",csv!AO263)</f>
        <v>Ž21B</v>
      </c>
      <c r="D268" s="31" t="str">
        <f>IF(csv!F263="","",csv!AP263&amp;"–"&amp;csv!AQ263&amp;"–"&amp;csv!AR263)</f>
        <v>3.31–115–8</v>
      </c>
      <c r="E268" s="66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68–64–53–67–70–31–55–100–––––––––––––––––––––</v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2" t="str">
        <f>IF(csv!F264="","",csv!T264)</f>
        <v>Ž21B</v>
      </c>
      <c r="C269" s="31" t="str">
        <f>IF(csv!F264="","",csv!AO264)</f>
        <v>Ž21B</v>
      </c>
      <c r="D269" s="31" t="str">
        <f>IF(csv!F264="","",csv!AP264&amp;"–"&amp;csv!AQ264&amp;"–"&amp;csv!AR264)</f>
        <v>3.31–115–8</v>
      </c>
      <c r="E269" s="66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68–64–53–67–70–31–55–100–––––––––––––––––––––</v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2" t="str">
        <f>IF(csv!F265="","",csv!T265)</f>
        <v>Ž21B</v>
      </c>
      <c r="C270" s="31" t="str">
        <f>IF(csv!F265="","",csv!AO265)</f>
        <v>Ž21B</v>
      </c>
      <c r="D270" s="31" t="str">
        <f>IF(csv!F265="","",csv!AP265&amp;"–"&amp;csv!AQ265&amp;"–"&amp;csv!AR265)</f>
        <v>3.31–115–8</v>
      </c>
      <c r="E270" s="66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68–64–53–67–70–31–55–100–––––––––––––––––––––</v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2" t="str">
        <f>IF(csv!F266="","",csv!T266)</f>
        <v>Ž21B</v>
      </c>
      <c r="C271" s="31" t="str">
        <f>IF(csv!F266="","",csv!AO266)</f>
        <v>Ž21B</v>
      </c>
      <c r="D271" s="31" t="str">
        <f>IF(csv!F266="","",csv!AP266&amp;"–"&amp;csv!AQ266&amp;"–"&amp;csv!AR266)</f>
        <v>3.31–115–8</v>
      </c>
      <c r="E271" s="66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68–64–53–67–70–31–55–100–––––––––––––––––––––</v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2" t="str">
        <f>IF(csv!F267="","",csv!T267)</f>
        <v>Ž21B</v>
      </c>
      <c r="C272" s="31" t="str">
        <f>IF(csv!F267="","",csv!AO267)</f>
        <v>Ž21B</v>
      </c>
      <c r="D272" s="31" t="str">
        <f>IF(csv!F267="","",csv!AP267&amp;"–"&amp;csv!AQ267&amp;"–"&amp;csv!AR267)</f>
        <v>3.31–115–8</v>
      </c>
      <c r="E272" s="66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2" t="str">
        <f>IF(csv!F268="","",csv!T268)</f>
        <v>Ž21B</v>
      </c>
      <c r="C273" s="31" t="str">
        <f>IF(csv!F268="","",csv!AO268)</f>
        <v>Ž21B</v>
      </c>
      <c r="D273" s="31" t="str">
        <f>IF(csv!F268="","",csv!AP268&amp;"–"&amp;csv!AQ268&amp;"–"&amp;csv!AR268)</f>
        <v>3.31–115–8</v>
      </c>
      <c r="E273" s="66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2" t="str">
        <f>IF(csv!F269="","",csv!T269)</f>
        <v>Ž21B</v>
      </c>
      <c r="C274" s="31" t="str">
        <f>IF(csv!F269="","",csv!AO269)</f>
        <v>Ž21B</v>
      </c>
      <c r="D274" s="31" t="str">
        <f>IF(csv!F269="","",csv!AP269&amp;"–"&amp;csv!AQ269&amp;"–"&amp;csv!AR269)</f>
        <v>3.31–115–8</v>
      </c>
      <c r="E274" s="66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2" t="str">
        <f>IF(csv!F270="","",csv!T270)</f>
        <v>Ž21B</v>
      </c>
      <c r="C275" s="31" t="str">
        <f>IF(csv!F270="","",csv!AO270)</f>
        <v>Ž21B</v>
      </c>
      <c r="D275" s="31" t="str">
        <f>IF(csv!F270="","",csv!AP270&amp;"–"&amp;csv!AQ270&amp;"–"&amp;csv!AR270)</f>
        <v>3.31–115–8</v>
      </c>
      <c r="E275" s="66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2" t="str">
        <f>IF(csv!F271="","",csv!T271)</f>
        <v>Ž21B</v>
      </c>
      <c r="C276" s="31" t="str">
        <f>IF(csv!F271="","",csv!AO271)</f>
        <v>Ž21B</v>
      </c>
      <c r="D276" s="31" t="str">
        <f>IF(csv!F271="","",csv!AP271&amp;"–"&amp;csv!AQ271&amp;"–"&amp;csv!AR271)</f>
        <v>3.31–115–8</v>
      </c>
      <c r="E276" s="66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2" t="str">
        <f>IF(csv!F272="","",csv!T272)</f>
        <v>Ž21B</v>
      </c>
      <c r="C277" s="31" t="str">
        <f>IF(csv!F272="","",csv!AO272)</f>
        <v>Ž21B</v>
      </c>
      <c r="D277" s="31" t="str">
        <f>IF(csv!F272="","",csv!AP272&amp;"–"&amp;csv!AQ272&amp;"–"&amp;csv!AR272)</f>
        <v>3.31–115–8</v>
      </c>
      <c r="E277" s="66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2" t="str">
        <f>IF(csv!F273="","",csv!T273)</f>
        <v>Ž21B</v>
      </c>
      <c r="C278" s="31" t="str">
        <f>IF(csv!F273="","",csv!AO273)</f>
        <v>Ž21B</v>
      </c>
      <c r="D278" s="31" t="str">
        <f>IF(csv!F273="","",csv!AP273&amp;"–"&amp;csv!AQ273&amp;"–"&amp;csv!AR273)</f>
        <v>3.31–115–8</v>
      </c>
      <c r="E278" s="66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2" t="str">
        <f>IF(csv!F274="","",csv!T274)</f>
        <v>Ž21B</v>
      </c>
      <c r="C279" s="31" t="str">
        <f>IF(csv!F274="","",csv!AO274)</f>
        <v>Ž21B</v>
      </c>
      <c r="D279" s="31" t="str">
        <f>IF(csv!F274="","",csv!AP274&amp;"–"&amp;csv!AQ274&amp;"–"&amp;csv!AR274)</f>
        <v>3.31–115–8</v>
      </c>
      <c r="E279" s="66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2" t="str">
        <f>IF(csv!F275="","",csv!T275)</f>
        <v>Ž21B</v>
      </c>
      <c r="C280" s="31" t="str">
        <f>IF(csv!F275="","",csv!AO275)</f>
        <v>Ž21B</v>
      </c>
      <c r="D280" s="31" t="str">
        <f>IF(csv!F275="","",csv!AP275&amp;"–"&amp;csv!AQ275&amp;"–"&amp;csv!AR275)</f>
        <v>3.31–115–8</v>
      </c>
      <c r="E280" s="66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2" t="str">
        <f>IF(csv!F276="","",csv!T276)</f>
        <v>Ž21B</v>
      </c>
      <c r="C281" s="31" t="str">
        <f>IF(csv!F276="","",csv!AO276)</f>
        <v>Ž21B</v>
      </c>
      <c r="D281" s="31" t="str">
        <f>IF(csv!F276="","",csv!AP276&amp;"–"&amp;csv!AQ276&amp;"–"&amp;csv!AR276)</f>
        <v>3.31–115–8</v>
      </c>
      <c r="E281" s="66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2" t="str">
        <f>IF(csv!F277="","",csv!T277)</f>
        <v>Ž21B</v>
      </c>
      <c r="C282" s="31" t="str">
        <f>IF(csv!F277="","",csv!AO277)</f>
        <v>Ž21B</v>
      </c>
      <c r="D282" s="31" t="str">
        <f>IF(csv!F277="","",csv!AP277&amp;"–"&amp;csv!AQ277&amp;"–"&amp;csv!AR277)</f>
        <v>3.31–115–8</v>
      </c>
      <c r="E282" s="66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2" t="str">
        <f>IF(csv!F278="","",csv!T278)</f>
        <v>Ž21B</v>
      </c>
      <c r="C283" s="31" t="str">
        <f>IF(csv!F278="","",csv!AO278)</f>
        <v>Ž21B</v>
      </c>
      <c r="D283" s="31" t="str">
        <f>IF(csv!F278="","",csv!AP278&amp;"–"&amp;csv!AQ278&amp;"–"&amp;csv!AR278)</f>
        <v>3.31–115–8</v>
      </c>
      <c r="E283" s="66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68–64–––––––––––––––––––––––––––</v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2" t="str">
        <f>IF(csv!F279="","",csv!T279)</f>
        <v>Ž21B</v>
      </c>
      <c r="C284" s="31" t="str">
        <f>IF(csv!F279="","",csv!AO279)</f>
        <v>Ž21B</v>
      </c>
      <c r="D284" s="31" t="str">
        <f>IF(csv!F279="","",csv!AP279&amp;"–"&amp;csv!AQ279&amp;"–"&amp;csv!AR279)</f>
        <v>3.31–115–8</v>
      </c>
      <c r="E284" s="66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2" t="str">
        <f>IF(csv!F280="","",csv!T280)</f>
        <v>Ž35</v>
      </c>
      <c r="C285" s="31" t="str">
        <f>IF(csv!F280="","",csv!AO280)</f>
        <v>Ž35</v>
      </c>
      <c r="D285" s="31" t="str">
        <f>IF(csv!F280="","",csv!AP280&amp;"–"&amp;csv!AQ280&amp;"–"&amp;csv!AR280)</f>
        <v>3.82–155–8</v>
      </c>
      <c r="E285" s="66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36–58–52–51–32–37–54–100–––––––––––––––––––––</v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2" t="str">
        <f>IF(csv!F281="","",csv!T281)</f>
        <v>Ž35</v>
      </c>
      <c r="C286" s="31" t="str">
        <f>IF(csv!F281="","",csv!AO281)</f>
        <v>Ž35</v>
      </c>
      <c r="D286" s="31" t="str">
        <f>IF(csv!F281="","",csv!AP281&amp;"–"&amp;csv!AQ281&amp;"–"&amp;csv!AR281)</f>
        <v>3.82–155–8</v>
      </c>
      <c r="E286" s="66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36–58–52–51–32–37–54–100–––––––––––––––––––––</v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2" t="str">
        <f>IF(csv!F282="","",csv!T282)</f>
        <v>Ž35</v>
      </c>
      <c r="C287" s="31" t="str">
        <f>IF(csv!F282="","",csv!AO282)</f>
        <v>Ž35</v>
      </c>
      <c r="D287" s="31" t="str">
        <f>IF(csv!F282="","",csv!AP282&amp;"–"&amp;csv!AQ282&amp;"–"&amp;csv!AR282)</f>
        <v>3.82–155–8</v>
      </c>
      <c r="E287" s="66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36–58–52–51–32–37–54–100–––––––––––––––––––––</v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2" t="str">
        <f>IF(csv!F283="","",csv!T283)</f>
        <v>Ž35</v>
      </c>
      <c r="C288" s="31" t="str">
        <f>IF(csv!F283="","",csv!AO283)</f>
        <v>Ž35</v>
      </c>
      <c r="D288" s="31" t="str">
        <f>IF(csv!F283="","",csv!AP283&amp;"–"&amp;csv!AQ283&amp;"–"&amp;csv!AR283)</f>
        <v>3.82–155–8</v>
      </c>
      <c r="E288" s="66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36–58–52–51–32–37–54–100–––––––––––––––––––––</v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2" t="str">
        <f>IF(csv!F284="","",csv!T284)</f>
        <v>Ž35</v>
      </c>
      <c r="C289" s="31" t="str">
        <f>IF(csv!F284="","",csv!AO284)</f>
        <v>Ž35</v>
      </c>
      <c r="D289" s="31" t="str">
        <f>IF(csv!F284="","",csv!AP284&amp;"–"&amp;csv!AQ284&amp;"–"&amp;csv!AR284)</f>
        <v>3.82–155–8</v>
      </c>
      <c r="E289" s="66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36–58–52–51–32–37–54–100–––––––––––––––––––––</v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2" t="str">
        <f>IF(csv!F285="","",csv!T285)</f>
        <v>Ž35</v>
      </c>
      <c r="C290" s="31" t="str">
        <f>IF(csv!F285="","",csv!AO285)</f>
        <v>Ž35</v>
      </c>
      <c r="D290" s="31" t="str">
        <f>IF(csv!F285="","",csv!AP285&amp;"–"&amp;csv!AQ285&amp;"–"&amp;csv!AR285)</f>
        <v>3.82–155–8</v>
      </c>
      <c r="E290" s="66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36–58–52–51–32–37–54–100–––––––––––––––––––––</v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2" t="str">
        <f>IF(csv!F286="","",csv!T286)</f>
        <v>Ž35</v>
      </c>
      <c r="C291" s="31" t="str">
        <f>IF(csv!F286="","",csv!AO286)</f>
        <v>Ž35</v>
      </c>
      <c r="D291" s="31" t="str">
        <f>IF(csv!F286="","",csv!AP286&amp;"–"&amp;csv!AQ286&amp;"–"&amp;csv!AR286)</f>
        <v>3.82–155–8</v>
      </c>
      <c r="E291" s="66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36–58–52–51–32–37–54–100–––––––––––––––––––––</v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2" t="str">
        <f>IF(csv!F287="","",csv!T287)</f>
        <v>Ž35</v>
      </c>
      <c r="C292" s="31" t="str">
        <f>IF(csv!F287="","",csv!AO287)</f>
        <v>Ž35</v>
      </c>
      <c r="D292" s="31" t="str">
        <f>IF(csv!F287="","",csv!AP287&amp;"–"&amp;csv!AQ287&amp;"–"&amp;csv!AR287)</f>
        <v>3.82–155–8</v>
      </c>
      <c r="E292" s="66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36–58–52–51–32–37–54–100–––––––––––––––––––––</v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2" t="str">
        <f>IF(csv!F288="","",csv!T288)</f>
        <v>Ž35</v>
      </c>
      <c r="C293" s="31" t="str">
        <f>IF(csv!F288="","",csv!AO288)</f>
        <v>Ž35</v>
      </c>
      <c r="D293" s="31" t="str">
        <f>IF(csv!F288="","",csv!AP288&amp;"–"&amp;csv!AQ288&amp;"–"&amp;csv!AR288)</f>
        <v>3.82–155–8</v>
      </c>
      <c r="E293" s="66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36–58–52–51–32–37–54–100–––––––––––––––––––––</v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2" t="str">
        <f>IF(csv!F289="","",csv!T289)</f>
        <v>Ž35</v>
      </c>
      <c r="C294" s="31" t="str">
        <f>IF(csv!F289="","",csv!AO289)</f>
        <v>Ž35</v>
      </c>
      <c r="D294" s="31" t="str">
        <f>IF(csv!F289="","",csv!AP289&amp;"–"&amp;csv!AQ289&amp;"–"&amp;csv!AR289)</f>
        <v>3.82–155–8</v>
      </c>
      <c r="E294" s="66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36–58–52–51–32–37–54–100–––––––––––––––––––––</v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2" t="str">
        <f>IF(csv!F290="","",csv!T290)</f>
        <v>Ž35</v>
      </c>
      <c r="C295" s="31" t="str">
        <f>IF(csv!F290="","",csv!AO290)</f>
        <v>Ž35</v>
      </c>
      <c r="D295" s="31" t="str">
        <f>IF(csv!F290="","",csv!AP290&amp;"–"&amp;csv!AQ290&amp;"–"&amp;csv!AR290)</f>
        <v>3.82–155–8</v>
      </c>
      <c r="E295" s="66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36–58–52–51–32–37–54–100–––––––––––––––––––––</v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2" t="str">
        <f>IF(csv!F291="","",csv!T291)</f>
        <v>Ž35</v>
      </c>
      <c r="C296" s="31" t="str">
        <f>IF(csv!F291="","",csv!AO291)</f>
        <v>Ž35</v>
      </c>
      <c r="D296" s="31" t="str">
        <f>IF(csv!F291="","",csv!AP291&amp;"–"&amp;csv!AQ291&amp;"–"&amp;csv!AR291)</f>
        <v>3.82–155–8</v>
      </c>
      <c r="E296" s="66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36–58–52–51–32–37–54–100–––––––––––––––––––––</v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2" t="str">
        <f>IF(csv!F292="","",csv!T292)</f>
        <v>Ž35</v>
      </c>
      <c r="C297" s="31" t="str">
        <f>IF(csv!F292="","",csv!AO292)</f>
        <v>Ž35</v>
      </c>
      <c r="D297" s="31" t="str">
        <f>IF(csv!F292="","",csv!AP292&amp;"–"&amp;csv!AQ292&amp;"–"&amp;csv!AR292)</f>
        <v>3.82–155–8</v>
      </c>
      <c r="E297" s="66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36–58–52–51–32–37–54–100–––––––––––––––––––––</v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2" t="str">
        <f>IF(csv!F293="","",csv!T293)</f>
        <v>Ž35</v>
      </c>
      <c r="C298" s="31" t="str">
        <f>IF(csv!F293="","",csv!AO293)</f>
        <v>Ž35</v>
      </c>
      <c r="D298" s="31" t="str">
        <f>IF(csv!F293="","",csv!AP293&amp;"–"&amp;csv!AQ293&amp;"–"&amp;csv!AR293)</f>
        <v>3.82–155–8</v>
      </c>
      <c r="E298" s="66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36–58–52–51–32–37–54–100–––––––––––––––––––––</v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2" t="str">
        <f>IF(csv!F294="","",csv!T294)</f>
        <v>Ž35</v>
      </c>
      <c r="C299" s="31" t="str">
        <f>IF(csv!F294="","",csv!AO294)</f>
        <v>Ž35</v>
      </c>
      <c r="D299" s="31" t="str">
        <f>IF(csv!F294="","",csv!AP294&amp;"–"&amp;csv!AQ294&amp;"–"&amp;csv!AR294)</f>
        <v>3.82–155–8</v>
      </c>
      <c r="E299" s="66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36–58–52–51–32–37–54–100–––––––––––––––––––––</v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2" t="str">
        <f>IF(csv!F295="","",csv!T295)</f>
        <v>Ž35</v>
      </c>
      <c r="C300" s="31" t="str">
        <f>IF(csv!F295="","",csv!AO295)</f>
        <v>Ž35</v>
      </c>
      <c r="D300" s="31" t="str">
        <f>IF(csv!F295="","",csv!AP295&amp;"–"&amp;csv!AQ295&amp;"–"&amp;csv!AR295)</f>
        <v>3.82–155–8</v>
      </c>
      <c r="E300" s="66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36–58–52–51–32–37–54–100–––––––––––––––––––––</v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2" t="str">
        <f>IF(csv!F296="","",csv!T296)</f>
        <v>Ž35</v>
      </c>
      <c r="C301" s="31" t="str">
        <f>IF(csv!F296="","",csv!AO296)</f>
        <v>Ž35</v>
      </c>
      <c r="D301" s="31" t="str">
        <f>IF(csv!F296="","",csv!AP296&amp;"–"&amp;csv!AQ296&amp;"–"&amp;csv!AR296)</f>
        <v>3.82–155–8</v>
      </c>
      <c r="E301" s="66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36–58–52–51–32–37–54–100–––––––––––––––––––––</v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2" t="str">
        <f>IF(csv!F297="","",csv!T297)</f>
        <v>Ž35</v>
      </c>
      <c r="C302" s="31" t="str">
        <f>IF(csv!F297="","",csv!AO297)</f>
        <v>Ž35</v>
      </c>
      <c r="D302" s="31" t="str">
        <f>IF(csv!F297="","",csv!AP297&amp;"–"&amp;csv!AQ297&amp;"–"&amp;csv!AR297)</f>
        <v>3.82–155–8</v>
      </c>
      <c r="E302" s="66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2" t="str">
        <f>IF(csv!F298="","",csv!T298)</f>
        <v>Ž35</v>
      </c>
      <c r="C303" s="31" t="str">
        <f>IF(csv!F298="","",csv!AO298)</f>
        <v>Ž35</v>
      </c>
      <c r="D303" s="31" t="str">
        <f>IF(csv!F298="","",csv!AP298&amp;"–"&amp;csv!AQ298&amp;"–"&amp;csv!AR298)</f>
        <v>3.82–155–8</v>
      </c>
      <c r="E303" s="66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2" t="str">
        <f>IF(csv!F299="","",csv!T299)</f>
        <v>Ž35</v>
      </c>
      <c r="C304" s="31" t="str">
        <f>IF(csv!F299="","",csv!AO299)</f>
        <v>Ž35</v>
      </c>
      <c r="D304" s="31" t="str">
        <f>IF(csv!F299="","",csv!AP299&amp;"–"&amp;csv!AQ299&amp;"–"&amp;csv!AR299)</f>
        <v>3.82–155–8</v>
      </c>
      <c r="E304" s="66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2" t="str">
        <f>IF(csv!F300="","",csv!T300)</f>
        <v>Ž35</v>
      </c>
      <c r="C305" s="31" t="str">
        <f>IF(csv!F300="","",csv!AO300)</f>
        <v>Ž35</v>
      </c>
      <c r="D305" s="31" t="str">
        <f>IF(csv!F300="","",csv!AP300&amp;"–"&amp;csv!AQ300&amp;"–"&amp;csv!AR300)</f>
        <v>3.82–155–8</v>
      </c>
      <c r="E305" s="66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2" t="str">
        <f>IF(csv!F301="","",csv!T301)</f>
        <v>Ž35</v>
      </c>
      <c r="C306" s="31" t="str">
        <f>IF(csv!F301="","",csv!AO301)</f>
        <v>Ž35</v>
      </c>
      <c r="D306" s="31" t="str">
        <f>IF(csv!F301="","",csv!AP301&amp;"–"&amp;csv!AQ301&amp;"–"&amp;csv!AR301)</f>
        <v>3.82–155–8</v>
      </c>
      <c r="E306" s="66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2" t="str">
        <f>IF(csv!F302="","",csv!T302)</f>
        <v>Ž45</v>
      </c>
      <c r="C307" s="31" t="str">
        <f>IF(csv!F302="","",csv!AO302)</f>
        <v>Ž45</v>
      </c>
      <c r="D307" s="31" t="str">
        <f>IF(csv!F302="","",csv!AP302&amp;"–"&amp;csv!AQ302&amp;"–"&amp;csv!AR302)</f>
        <v>3.39–110–8</v>
      </c>
      <c r="E307" s="66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40–36–57–51–32–37–62–100–––––––––––––––––––––</v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2" t="str">
        <f>IF(csv!F303="","",csv!T303)</f>
        <v>Ž45</v>
      </c>
      <c r="C308" s="31" t="str">
        <f>IF(csv!F303="","",csv!AO303)</f>
        <v>Ž45</v>
      </c>
      <c r="D308" s="31" t="str">
        <f>IF(csv!F303="","",csv!AP303&amp;"–"&amp;csv!AQ303&amp;"–"&amp;csv!AR303)</f>
        <v>3.39–110–8</v>
      </c>
      <c r="E308" s="66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40–36–57–51–32–37–62–100–––––––––––––––––––––</v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2" t="str">
        <f>IF(csv!F304="","",csv!T304)</f>
        <v>Ž45</v>
      </c>
      <c r="C309" s="31" t="str">
        <f>IF(csv!F304="","",csv!AO304)</f>
        <v>Ž45</v>
      </c>
      <c r="D309" s="31" t="str">
        <f>IF(csv!F304="","",csv!AP304&amp;"–"&amp;csv!AQ304&amp;"–"&amp;csv!AR304)</f>
        <v>3.39–110–8</v>
      </c>
      <c r="E309" s="66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40–36–57–51–32–37–62–100–––––––––––––––––––––</v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2" t="str">
        <f>IF(csv!F305="","",csv!T305)</f>
        <v>Ž45</v>
      </c>
      <c r="C310" s="31" t="str">
        <f>IF(csv!F305="","",csv!AO305)</f>
        <v>Ž45</v>
      </c>
      <c r="D310" s="31" t="str">
        <f>IF(csv!F305="","",csv!AP305&amp;"–"&amp;csv!AQ305&amp;"–"&amp;csv!AR305)</f>
        <v>3.39–110–8</v>
      </c>
      <c r="E310" s="66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40–36–57–51–32–37–62–100–––––––––––––––––––––</v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2" t="str">
        <f>IF(csv!F306="","",csv!T306)</f>
        <v>Ž45</v>
      </c>
      <c r="C311" s="31" t="str">
        <f>IF(csv!F306="","",csv!AO306)</f>
        <v>Ž45</v>
      </c>
      <c r="D311" s="31" t="str">
        <f>IF(csv!F306="","",csv!AP306&amp;"–"&amp;csv!AQ306&amp;"–"&amp;csv!AR306)</f>
        <v>3.39–110–8</v>
      </c>
      <c r="E311" s="66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40–36–57–51–32–37–62–100–––––––––––––––––––––</v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2" t="str">
        <f>IF(csv!F307="","",csv!T307)</f>
        <v>Ž45</v>
      </c>
      <c r="C312" s="31" t="str">
        <f>IF(csv!F307="","",csv!AO307)</f>
        <v>Ž45</v>
      </c>
      <c r="D312" s="31" t="str">
        <f>IF(csv!F307="","",csv!AP307&amp;"–"&amp;csv!AQ307&amp;"–"&amp;csv!AR307)</f>
        <v>3.39–110–8</v>
      </c>
      <c r="E312" s="66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40–36–57–51–32–37–62–100–––––––––––––––––––––</v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2" t="str">
        <f>IF(csv!F308="","",csv!T308)</f>
        <v>Ž45</v>
      </c>
      <c r="C313" s="31" t="str">
        <f>IF(csv!F308="","",csv!AO308)</f>
        <v>Ž45</v>
      </c>
      <c r="D313" s="31" t="str">
        <f>IF(csv!F308="","",csv!AP308&amp;"–"&amp;csv!AQ308&amp;"–"&amp;csv!AR308)</f>
        <v>3.39–110–8</v>
      </c>
      <c r="E313" s="66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40–36–57–51–32–37–62–100–––––––––––––––––––––</v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2" t="str">
        <f>IF(csv!F309="","",csv!T309)</f>
        <v>Ž45</v>
      </c>
      <c r="C314" s="31" t="str">
        <f>IF(csv!F309="","",csv!AO309)</f>
        <v>Ž45</v>
      </c>
      <c r="D314" s="31" t="str">
        <f>IF(csv!F309="","",csv!AP309&amp;"–"&amp;csv!AQ309&amp;"–"&amp;csv!AR309)</f>
        <v>3.39–110–8</v>
      </c>
      <c r="E314" s="66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40–36–57–51–32–37–62–100–––––––––––––––––––––</v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2" t="str">
        <f>IF(csv!F310="","",csv!T310)</f>
        <v>Ž45</v>
      </c>
      <c r="C315" s="31" t="str">
        <f>IF(csv!F310="","",csv!AO310)</f>
        <v>Ž45</v>
      </c>
      <c r="D315" s="31" t="str">
        <f>IF(csv!F310="","",csv!AP310&amp;"–"&amp;csv!AQ310&amp;"–"&amp;csv!AR310)</f>
        <v>3.39–110–8</v>
      </c>
      <c r="E315" s="66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40–36–57–51–32–37–62–100–––––––––––––––––––––</v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2" t="str">
        <f>IF(csv!F311="","",csv!T311)</f>
        <v>Ž45</v>
      </c>
      <c r="C316" s="31" t="str">
        <f>IF(csv!F311="","",csv!AO311)</f>
        <v>Ž45</v>
      </c>
      <c r="D316" s="31" t="str">
        <f>IF(csv!F311="","",csv!AP311&amp;"–"&amp;csv!AQ311&amp;"–"&amp;csv!AR311)</f>
        <v>3.39–110–8</v>
      </c>
      <c r="E316" s="66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40–36–57–51–32–37–62–100–––––––––––––––––––––</v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2" t="str">
        <f>IF(csv!F312="","",csv!T312)</f>
        <v>Ž45</v>
      </c>
      <c r="C317" s="31" t="str">
        <f>IF(csv!F312="","",csv!AO312)</f>
        <v>Ž45</v>
      </c>
      <c r="D317" s="31" t="str">
        <f>IF(csv!F312="","",csv!AP312&amp;"–"&amp;csv!AQ312&amp;"–"&amp;csv!AR312)</f>
        <v>3.39–110–8</v>
      </c>
      <c r="E317" s="66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40–36–57–51–32–37–62–100–––––––––––––––––––––</v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2" t="str">
        <f>IF(csv!F313="","",csv!T313)</f>
        <v>Ž45</v>
      </c>
      <c r="C318" s="31" t="str">
        <f>IF(csv!F313="","",csv!AO313)</f>
        <v>Ž45</v>
      </c>
      <c r="D318" s="31" t="str">
        <f>IF(csv!F313="","",csv!AP313&amp;"–"&amp;csv!AQ313&amp;"–"&amp;csv!AR313)</f>
        <v>3.39–110–8</v>
      </c>
      <c r="E318" s="66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40–36–57–51–32–37–62–100–––––––––––––––––––––</v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2" t="str">
        <f>IF(csv!F314="","",csv!T314)</f>
        <v>Ž45</v>
      </c>
      <c r="C319" s="31" t="str">
        <f>IF(csv!F314="","",csv!AO314)</f>
        <v>Ž45</v>
      </c>
      <c r="D319" s="31" t="str">
        <f>IF(csv!F314="","",csv!AP314&amp;"–"&amp;csv!AQ314&amp;"–"&amp;csv!AR314)</f>
        <v>3.39–110–8</v>
      </c>
      <c r="E319" s="66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40–36–57–51–32–37–62–100–––––––––––––––––––––</v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2" t="str">
        <f>IF(csv!F315="","",csv!T315)</f>
        <v>Ž45</v>
      </c>
      <c r="C320" s="31" t="str">
        <f>IF(csv!F315="","",csv!AO315)</f>
        <v>Ž45</v>
      </c>
      <c r="D320" s="31" t="str">
        <f>IF(csv!F315="","",csv!AP315&amp;"–"&amp;csv!AQ315&amp;"–"&amp;csv!AR315)</f>
        <v>3.39–110–8</v>
      </c>
      <c r="E320" s="66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40–36–57–51–32–37–62–100–––––––––––––––––––––</v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2" t="str">
        <f>IF(csv!F316="","",csv!T316)</f>
        <v>Ž45</v>
      </c>
      <c r="C321" s="31" t="str">
        <f>IF(csv!F316="","",csv!AO316)</f>
        <v>Ž45</v>
      </c>
      <c r="D321" s="31" t="str">
        <f>IF(csv!F316="","",csv!AP316&amp;"–"&amp;csv!AQ316&amp;"–"&amp;csv!AR316)</f>
        <v>3.39–110–8</v>
      </c>
      <c r="E321" s="66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40–36–57–51–32–37–62–100–––––––––––––––––––––</v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2" t="str">
        <f>IF(csv!F317="","",csv!T317)</f>
        <v>Ž45</v>
      </c>
      <c r="C322" s="31" t="str">
        <f>IF(csv!F317="","",csv!AO317)</f>
        <v>Ž45</v>
      </c>
      <c r="D322" s="31" t="str">
        <f>IF(csv!F317="","",csv!AP317&amp;"–"&amp;csv!AQ317&amp;"–"&amp;csv!AR317)</f>
        <v>3.39–110–8</v>
      </c>
      <c r="E322" s="66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40–36–57–51–32–37–62–100–––––––––––––––––––––</v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2" t="str">
        <f>IF(csv!F318="","",csv!T318)</f>
        <v>Ž45</v>
      </c>
      <c r="C323" s="31" t="str">
        <f>IF(csv!F318="","",csv!AO318)</f>
        <v>Ž45</v>
      </c>
      <c r="D323" s="31" t="str">
        <f>IF(csv!F318="","",csv!AP318&amp;"–"&amp;csv!AQ318&amp;"–"&amp;csv!AR318)</f>
        <v>3.39–110–8</v>
      </c>
      <c r="E323" s="66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40–36–57–51–32–37–62–100–––––––––––––––––––––</v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2" t="str">
        <f>IF(csv!F319="","",csv!T319)</f>
        <v>Ž45</v>
      </c>
      <c r="C324" s="31" t="str">
        <f>IF(csv!F319="","",csv!AO319)</f>
        <v>Ž45</v>
      </c>
      <c r="D324" s="31" t="str">
        <f>IF(csv!F319="","",csv!AP319&amp;"–"&amp;csv!AQ319&amp;"–"&amp;csv!AR319)</f>
        <v>3.39–110–8</v>
      </c>
      <c r="E324" s="66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2" t="str">
        <f>IF(csv!F320="","",csv!T320)</f>
        <v>Ž45</v>
      </c>
      <c r="C325" s="31" t="str">
        <f>IF(csv!F320="","",csv!AO320)</f>
        <v>Ž45</v>
      </c>
      <c r="D325" s="31" t="str">
        <f>IF(csv!F320="","",csv!AP320&amp;"–"&amp;csv!AQ320&amp;"–"&amp;csv!AR320)</f>
        <v>3.39–110–8</v>
      </c>
      <c r="E325" s="66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2" t="str">
        <f>IF(csv!F321="","",csv!T321)</f>
        <v>Ž45</v>
      </c>
      <c r="C326" s="31" t="str">
        <f>IF(csv!F321="","",csv!AO321)</f>
        <v>Ž45</v>
      </c>
      <c r="D326" s="31" t="str">
        <f>IF(csv!F321="","",csv!AP321&amp;"–"&amp;csv!AQ321&amp;"–"&amp;csv!AR321)</f>
        <v>3.39–110–8</v>
      </c>
      <c r="E326" s="66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2" t="str">
        <f>IF(csv!F322="","",csv!T322)</f>
        <v>Ž55</v>
      </c>
      <c r="C327" s="31" t="str">
        <f>IF(csv!F322="","",csv!AO322)</f>
        <v>Ž55</v>
      </c>
      <c r="D327" s="31" t="str">
        <f>IF(csv!F322="","",csv!AP322&amp;"–"&amp;csv!AQ322&amp;"–"&amp;csv!AR322)</f>
        <v>2.81–90–7</v>
      </c>
      <c r="E327" s="66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33–68–42–72–57–54–100––––––––––––––––––––––</v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2" t="str">
        <f>IF(csv!F323="","",csv!T323)</f>
        <v>Ž55</v>
      </c>
      <c r="C328" s="31" t="str">
        <f>IF(csv!F323="","",csv!AO323)</f>
        <v>Ž55</v>
      </c>
      <c r="D328" s="31" t="str">
        <f>IF(csv!F323="","",csv!AP323&amp;"–"&amp;csv!AQ323&amp;"–"&amp;csv!AR323)</f>
        <v>2.81–90–7</v>
      </c>
      <c r="E328" s="66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33–68–42–72–57–54–100––––––––––––––––––––––</v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2" t="str">
        <f>IF(csv!F324="","",csv!T324)</f>
        <v>Ž55</v>
      </c>
      <c r="C329" s="31" t="str">
        <f>IF(csv!F324="","",csv!AO324)</f>
        <v>Ž55</v>
      </c>
      <c r="D329" s="31" t="str">
        <f>IF(csv!F324="","",csv!AP324&amp;"–"&amp;csv!AQ324&amp;"–"&amp;csv!AR324)</f>
        <v>2.81–90–7</v>
      </c>
      <c r="E329" s="66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33–68–42–72–57–54–100––––––––––––––––––––––</v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2" t="str">
        <f>IF(csv!F325="","",csv!T325)</f>
        <v>Ž55</v>
      </c>
      <c r="C330" s="31" t="str">
        <f>IF(csv!F325="","",csv!AO325)</f>
        <v>Ž55</v>
      </c>
      <c r="D330" s="31" t="str">
        <f>IF(csv!F325="","",csv!AP325&amp;"–"&amp;csv!AQ325&amp;"–"&amp;csv!AR325)</f>
        <v>2.81–90–7</v>
      </c>
      <c r="E330" s="66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33–68–42–72–57–54–100––––––––––––––––––––––</v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2" t="str">
        <f>IF(csv!F326="","",csv!T326)</f>
        <v>Ž55</v>
      </c>
      <c r="C331" s="31" t="str">
        <f>IF(csv!F326="","",csv!AO326)</f>
        <v>Ž55</v>
      </c>
      <c r="D331" s="31" t="str">
        <f>IF(csv!F326="","",csv!AP326&amp;"–"&amp;csv!AQ326&amp;"–"&amp;csv!AR326)</f>
        <v>2.81–90–7</v>
      </c>
      <c r="E331" s="66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33–68–42–72–57–54–100––––––––––––––––––––––</v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2" t="str">
        <f>IF(csv!F327="","",csv!T327)</f>
        <v>Ž55</v>
      </c>
      <c r="C332" s="31" t="str">
        <f>IF(csv!F327="","",csv!AO327)</f>
        <v>Ž55</v>
      </c>
      <c r="D332" s="31" t="str">
        <f>IF(csv!F327="","",csv!AP327&amp;"–"&amp;csv!AQ327&amp;"–"&amp;csv!AR327)</f>
        <v>2.81–90–7</v>
      </c>
      <c r="E332" s="66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>33–68–42–72–57–54–100––––––––––––––––––––––</v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2" t="str">
        <f>IF(csv!F328="","",csv!T328)</f>
        <v>Ž55</v>
      </c>
      <c r="C333" s="31" t="str">
        <f>IF(csv!F328="","",csv!AO328)</f>
        <v>Ž55</v>
      </c>
      <c r="D333" s="31" t="str">
        <f>IF(csv!F328="","",csv!AP328&amp;"–"&amp;csv!AQ328&amp;"–"&amp;csv!AR328)</f>
        <v>2.81–90–7</v>
      </c>
      <c r="E333" s="66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2" t="str">
        <f>IF(csv!F329="","",csv!T329)</f>
        <v>Ž55</v>
      </c>
      <c r="C334" s="31" t="str">
        <f>IF(csv!F329="","",csv!AO329)</f>
        <v>Ž55</v>
      </c>
      <c r="D334" s="31" t="str">
        <f>IF(csv!F329="","",csv!AP329&amp;"–"&amp;csv!AQ329&amp;"–"&amp;csv!AR329)</f>
        <v>2.81–90–7</v>
      </c>
      <c r="E334" s="66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2" t="str">
        <f>IF(csv!F330="","",csv!T330)</f>
        <v>Ž65</v>
      </c>
      <c r="C335" s="31" t="str">
        <f>IF(csv!F330="","",csv!AO330)</f>
        <v>Ž65</v>
      </c>
      <c r="D335" s="31" t="str">
        <f>IF(csv!F330="","",csv!AP330&amp;"–"&amp;csv!AQ330&amp;"–"&amp;csv!AR330)</f>
        <v>2.33–50–6</v>
      </c>
      <c r="E335" s="66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42–61–57–62–54–100–––––––––––––––––––––––</v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2" t="str">
        <f>IF(csv!F331="","",csv!T331)</f>
        <v>Ž65</v>
      </c>
      <c r="C336" s="31" t="str">
        <f>IF(csv!F331="","",csv!AO331)</f>
        <v>Ž65</v>
      </c>
      <c r="D336" s="31" t="str">
        <f>IF(csv!F331="","",csv!AP331&amp;"–"&amp;csv!AQ331&amp;"–"&amp;csv!AR331)</f>
        <v>2.33–50–6</v>
      </c>
      <c r="E336" s="66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42–61–57–62–54–100–––––––––––––––––––––––</v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2" t="str">
        <f>IF(csv!F332="","",csv!T332)</f>
        <v>Ž65</v>
      </c>
      <c r="C337" s="31" t="str">
        <f>IF(csv!F332="","",csv!AO332)</f>
        <v>Ž65</v>
      </c>
      <c r="D337" s="31" t="str">
        <f>IF(csv!F332="","",csv!AP332&amp;"–"&amp;csv!AQ332&amp;"–"&amp;csv!AR332)</f>
        <v>2.33–50–6</v>
      </c>
      <c r="E337" s="66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>42–61–57–62–54–100–––––––––––––––––––––––</v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2" t="str">
        <f>IF(csv!F333="","",csv!T333)</f>
        <v>Ž65</v>
      </c>
      <c r="C338" s="31" t="str">
        <f>IF(csv!F333="","",csv!AO333)</f>
        <v>Ž65</v>
      </c>
      <c r="D338" s="31" t="str">
        <f>IF(csv!F333="","",csv!AP333&amp;"–"&amp;csv!AQ333&amp;"–"&amp;csv!AR333)</f>
        <v>2.33–50–6</v>
      </c>
      <c r="E338" s="66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2" t="str">
        <f>IF(csv!F334="","",csv!T334)</f>
        <v>Ž65</v>
      </c>
      <c r="C339" s="31" t="str">
        <f>IF(csv!F334="","",csv!AO334)</f>
        <v>Ž65</v>
      </c>
      <c r="D339" s="31" t="str">
        <f>IF(csv!F334="","",csv!AP334&amp;"–"&amp;csv!AQ334&amp;"–"&amp;csv!AR334)</f>
        <v>2.33–50–6</v>
      </c>
      <c r="E339" s="66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2" t="str">
        <f>IF(csv!F335="","",csv!T335)</f>
        <v>Ž70</v>
      </c>
      <c r="C340" s="31" t="str">
        <f>IF(csv!F335="","",csv!AO335)</f>
        <v>Ž70</v>
      </c>
      <c r="D340" s="31" t="str">
        <f>IF(csv!F335="","",csv!AP335&amp;"–"&amp;csv!AQ335&amp;"–"&amp;csv!AR335)</f>
        <v>2.33–50–6</v>
      </c>
      <c r="E340" s="66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2" t="str">
        <f>IF(csv!F336="","",csv!T336)</f>
        <v>Ž70</v>
      </c>
      <c r="C341" s="31" t="str">
        <f>IF(csv!F336="","",csv!AO336)</f>
        <v>Ž70</v>
      </c>
      <c r="D341" s="31" t="str">
        <f>IF(csv!F336="","",csv!AP336&amp;"–"&amp;csv!AQ336&amp;"–"&amp;csv!AR336)</f>
        <v>2.33–50–6</v>
      </c>
      <c r="E341" s="66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2" t="str">
        <f>IF(csv!F337="","",csv!T337)</f>
        <v/>
      </c>
      <c r="C342" s="31" t="str">
        <f>IF(csv!F337="","",csv!AO337)</f>
        <v/>
      </c>
      <c r="D342" s="31" t="str">
        <f>IF(csv!F337="","",csv!AP337&amp;"–"&amp;csv!AQ337&amp;"–"&amp;csv!AR337)</f>
        <v/>
      </c>
      <c r="E342" s="66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2" t="str">
        <f>IF(csv!F338="","",csv!T338)</f>
        <v/>
      </c>
      <c r="C343" s="31" t="str">
        <f>IF(csv!F338="","",csv!AO338)</f>
        <v/>
      </c>
      <c r="D343" s="31" t="str">
        <f>IF(csv!F338="","",csv!AP338&amp;"–"&amp;csv!AQ338&amp;"–"&amp;csv!AR338)</f>
        <v/>
      </c>
      <c r="E343" s="66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2" t="str">
        <f>IF(csv!F339="","",csv!T339)</f>
        <v/>
      </c>
      <c r="C344" s="31" t="str">
        <f>IF(csv!F339="","",csv!AO339)</f>
        <v/>
      </c>
      <c r="D344" s="31" t="str">
        <f>IF(csv!F339="","",csv!AP339&amp;"–"&amp;csv!AQ339&amp;"–"&amp;csv!AR339)</f>
        <v/>
      </c>
      <c r="E344" s="66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2" t="str">
        <f>IF(csv!F340="","",csv!T340)</f>
        <v/>
      </c>
      <c r="C345" s="31" t="str">
        <f>IF(csv!F340="","",csv!AO340)</f>
        <v/>
      </c>
      <c r="D345" s="31" t="str">
        <f>IF(csv!F340="","",csv!AP340&amp;"–"&amp;csv!AQ340&amp;"–"&amp;csv!AR340)</f>
        <v/>
      </c>
      <c r="E345" s="66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2" t="str">
        <f>IF(csv!F341="","",csv!T341)</f>
        <v/>
      </c>
      <c r="C346" s="31" t="str">
        <f>IF(csv!F341="","",csv!AO341)</f>
        <v/>
      </c>
      <c r="D346" s="31" t="str">
        <f>IF(csv!F341="","",csv!AP341&amp;"–"&amp;csv!AQ341&amp;"–"&amp;csv!AR341)</f>
        <v/>
      </c>
      <c r="E346" s="66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2" t="str">
        <f>IF(csv!F342="","",csv!T342)</f>
        <v/>
      </c>
      <c r="C347" s="31" t="str">
        <f>IF(csv!F342="","",csv!AO342)</f>
        <v/>
      </c>
      <c r="D347" s="31" t="str">
        <f>IF(csv!F342="","",csv!AP342&amp;"–"&amp;csv!AQ342&amp;"–"&amp;csv!AR342)</f>
        <v/>
      </c>
      <c r="E347" s="66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2" t="str">
        <f>IF(csv!F343="","",csv!T343)</f>
        <v/>
      </c>
      <c r="C348" s="31" t="str">
        <f>IF(csv!F343="","",csv!AO343)</f>
        <v/>
      </c>
      <c r="D348" s="31" t="str">
        <f>IF(csv!F343="","",csv!AP343&amp;"–"&amp;csv!AQ343&amp;"–"&amp;csv!AR343)</f>
        <v/>
      </c>
      <c r="E348" s="66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2" t="str">
        <f>IF(csv!F344="","",csv!T344)</f>
        <v/>
      </c>
      <c r="C349" s="31" t="str">
        <f>IF(csv!F344="","",csv!AO344)</f>
        <v/>
      </c>
      <c r="D349" s="31" t="str">
        <f>IF(csv!F344="","",csv!AP344&amp;"–"&amp;csv!AQ344&amp;"–"&amp;csv!AR344)</f>
        <v/>
      </c>
      <c r="E349" s="66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2" t="str">
        <f>IF(csv!F345="","",csv!T345)</f>
        <v/>
      </c>
      <c r="C350" s="31" t="str">
        <f>IF(csv!F345="","",csv!AO345)</f>
        <v/>
      </c>
      <c r="D350" s="31" t="str">
        <f>IF(csv!F345="","",csv!AP345&amp;"–"&amp;csv!AQ345&amp;"–"&amp;csv!AR345)</f>
        <v/>
      </c>
      <c r="E350" s="66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2" t="str">
        <f>IF(csv!F346="","",csv!T346)</f>
        <v/>
      </c>
      <c r="C351" s="31" t="str">
        <f>IF(csv!F346="","",csv!AO346)</f>
        <v/>
      </c>
      <c r="D351" s="31" t="str">
        <f>IF(csv!F346="","",csv!AP346&amp;"–"&amp;csv!AQ346&amp;"–"&amp;csv!AR346)</f>
        <v/>
      </c>
      <c r="E351" s="66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2" t="str">
        <f>IF(csv!F347="","",csv!T347)</f>
        <v/>
      </c>
      <c r="C352" s="31" t="str">
        <f>IF(csv!F347="","",csv!AO347)</f>
        <v/>
      </c>
      <c r="D352" s="31" t="str">
        <f>IF(csv!F347="","",csv!AP347&amp;"–"&amp;csv!AQ347&amp;"–"&amp;csv!AR347)</f>
        <v/>
      </c>
      <c r="E352" s="66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2" t="str">
        <f>IF(csv!F348="","",csv!T348)</f>
        <v/>
      </c>
      <c r="C353" s="31" t="str">
        <f>IF(csv!F348="","",csv!AO348)</f>
        <v/>
      </c>
      <c r="D353" s="31" t="str">
        <f>IF(csv!F348="","",csv!AP348&amp;"–"&amp;csv!AQ348&amp;"–"&amp;csv!AR348)</f>
        <v/>
      </c>
      <c r="E353" s="66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2" t="str">
        <f>IF(csv!F349="","",csv!T349)</f>
        <v/>
      </c>
      <c r="C354" s="31" t="str">
        <f>IF(csv!F349="","",csv!AO349)</f>
        <v/>
      </c>
      <c r="D354" s="31" t="str">
        <f>IF(csv!F349="","",csv!AP349&amp;"–"&amp;csv!AQ349&amp;"–"&amp;csv!AR349)</f>
        <v/>
      </c>
      <c r="E354" s="66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2" t="str">
        <f>IF(csv!F350="","",csv!T350)</f>
        <v/>
      </c>
      <c r="C355" s="31" t="str">
        <f>IF(csv!F350="","",csv!AO350)</f>
        <v/>
      </c>
      <c r="D355" s="31" t="str">
        <f>IF(csv!F350="","",csv!AP350&amp;"–"&amp;csv!AQ350&amp;"–"&amp;csv!AR350)</f>
        <v/>
      </c>
      <c r="E355" s="66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2" t="str">
        <f>IF(csv!F351="","",csv!T351)</f>
        <v/>
      </c>
      <c r="C356" s="31" t="str">
        <f>IF(csv!F351="","",csv!AO351)</f>
        <v/>
      </c>
      <c r="D356" s="31" t="str">
        <f>IF(csv!F351="","",csv!AP351&amp;"–"&amp;csv!AQ351&amp;"–"&amp;csv!AR351)</f>
        <v/>
      </c>
      <c r="E356" s="66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2" t="str">
        <f>IF(csv!F352="","",csv!T352)</f>
        <v/>
      </c>
      <c r="C357" s="31" t="str">
        <f>IF(csv!F352="","",csv!AO352)</f>
        <v/>
      </c>
      <c r="D357" s="31" t="str">
        <f>IF(csv!F352="","",csv!AP352&amp;"–"&amp;csv!AQ352&amp;"–"&amp;csv!AR352)</f>
        <v/>
      </c>
      <c r="E357" s="66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2" t="str">
        <f>IF(csv!F353="","",csv!T353)</f>
        <v/>
      </c>
      <c r="C358" s="31" t="str">
        <f>IF(csv!F353="","",csv!AO353)</f>
        <v/>
      </c>
      <c r="D358" s="31" t="str">
        <f>IF(csv!F353="","",csv!AP353&amp;"–"&amp;csv!AQ353&amp;"–"&amp;csv!AR353)</f>
        <v/>
      </c>
      <c r="E358" s="66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2" t="str">
        <f>IF(csv!F354="","",csv!T354)</f>
        <v/>
      </c>
      <c r="C359" s="31" t="str">
        <f>IF(csv!F354="","",csv!AO354)</f>
        <v/>
      </c>
      <c r="D359" s="31" t="str">
        <f>IF(csv!F354="","",csv!AP354&amp;"–"&amp;csv!AQ354&amp;"–"&amp;csv!AR354)</f>
        <v/>
      </c>
      <c r="E359" s="66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2" t="str">
        <f>IF(csv!F355="","",csv!T355)</f>
        <v/>
      </c>
      <c r="C360" s="31" t="str">
        <f>IF(csv!F355="","",csv!AO355)</f>
        <v/>
      </c>
      <c r="D360" s="31" t="str">
        <f>IF(csv!F355="","",csv!AP355&amp;"–"&amp;csv!AQ355&amp;"–"&amp;csv!AR355)</f>
        <v/>
      </c>
      <c r="E360" s="66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2" t="str">
        <f>IF(csv!F356="","",csv!T356)</f>
        <v/>
      </c>
      <c r="C361" s="31" t="str">
        <f>IF(csv!F356="","",csv!AO356)</f>
        <v/>
      </c>
      <c r="D361" s="31" t="str">
        <f>IF(csv!F356="","",csv!AP356&amp;"–"&amp;csv!AQ356&amp;"–"&amp;csv!AR356)</f>
        <v/>
      </c>
      <c r="E361" s="66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2" t="str">
        <f>IF(csv!F357="","",csv!T357)</f>
        <v/>
      </c>
      <c r="C362" s="31" t="str">
        <f>IF(csv!F357="","",csv!AO357)</f>
        <v/>
      </c>
      <c r="D362" s="31" t="str">
        <f>IF(csv!F357="","",csv!AP357&amp;"–"&amp;csv!AQ357&amp;"–"&amp;csv!AR357)</f>
        <v/>
      </c>
      <c r="E362" s="66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2" t="str">
        <f>IF(csv!F358="","",csv!T358)</f>
        <v/>
      </c>
      <c r="C363" s="31" t="str">
        <f>IF(csv!F358="","",csv!AO358)</f>
        <v/>
      </c>
      <c r="D363" s="31" t="str">
        <f>IF(csv!F358="","",csv!AP358&amp;"–"&amp;csv!AQ358&amp;"–"&amp;csv!AR358)</f>
        <v/>
      </c>
      <c r="E363" s="66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2" t="str">
        <f>IF(csv!F359="","",csv!T359)</f>
        <v/>
      </c>
      <c r="C364" s="31" t="str">
        <f>IF(csv!F359="","",csv!AO359)</f>
        <v/>
      </c>
      <c r="D364" s="31" t="str">
        <f>IF(csv!F359="","",csv!AP359&amp;"–"&amp;csv!AQ359&amp;"–"&amp;csv!AR359)</f>
        <v/>
      </c>
      <c r="E364" s="66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2" t="str">
        <f>IF(csv!F360="","",csv!T360)</f>
        <v/>
      </c>
      <c r="C365" s="31" t="str">
        <f>IF(csv!F360="","",csv!AO360)</f>
        <v/>
      </c>
      <c r="D365" s="31" t="str">
        <f>IF(csv!F360="","",csv!AP360&amp;"–"&amp;csv!AQ360&amp;"–"&amp;csv!AR360)</f>
        <v/>
      </c>
      <c r="E365" s="66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2" t="str">
        <f>IF(csv!F361="","",csv!T361)</f>
        <v/>
      </c>
      <c r="C366" s="31" t="str">
        <f>IF(csv!F361="","",csv!AO361)</f>
        <v/>
      </c>
      <c r="D366" s="31" t="str">
        <f>IF(csv!F361="","",csv!AP361&amp;"–"&amp;csv!AQ361&amp;"–"&amp;csv!AR361)</f>
        <v/>
      </c>
      <c r="E366" s="66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2" t="str">
        <f>IF(csv!F362="","",csv!T362)</f>
        <v/>
      </c>
      <c r="C367" s="31" t="str">
        <f>IF(csv!F362="","",csv!AO362)</f>
        <v/>
      </c>
      <c r="D367" s="31" t="str">
        <f>IF(csv!F362="","",csv!AP362&amp;"–"&amp;csv!AQ362&amp;"–"&amp;csv!AR362)</f>
        <v/>
      </c>
      <c r="E367" s="66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2" t="str">
        <f>IF(csv!F363="","",csv!T363)</f>
        <v/>
      </c>
      <c r="C368" s="31" t="str">
        <f>IF(csv!F363="","",csv!AO363)</f>
        <v/>
      </c>
      <c r="D368" s="31" t="str">
        <f>IF(csv!F363="","",csv!AP363&amp;"–"&amp;csv!AQ363&amp;"–"&amp;csv!AR363)</f>
        <v/>
      </c>
      <c r="E368" s="66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2" t="str">
        <f>IF(csv!F364="","",csv!T364)</f>
        <v/>
      </c>
      <c r="C369" s="31" t="str">
        <f>IF(csv!F364="","",csv!AO364)</f>
        <v/>
      </c>
      <c r="D369" s="31" t="str">
        <f>IF(csv!F364="","",csv!AP364&amp;"–"&amp;csv!AQ364&amp;"–"&amp;csv!AR364)</f>
        <v/>
      </c>
      <c r="E369" s="66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2" t="str">
        <f>IF(csv!F365="","",csv!T365)</f>
        <v/>
      </c>
      <c r="C370" s="31" t="str">
        <f>IF(csv!F365="","",csv!AO365)</f>
        <v/>
      </c>
      <c r="D370" s="31" t="str">
        <f>IF(csv!F365="","",csv!AP365&amp;"–"&amp;csv!AQ365&amp;"–"&amp;csv!AR365)</f>
        <v/>
      </c>
      <c r="E370" s="66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2" t="str">
        <f>IF(csv!F366="","",csv!T366)</f>
        <v/>
      </c>
      <c r="C371" s="31" t="str">
        <f>IF(csv!F366="","",csv!AO366)</f>
        <v/>
      </c>
      <c r="D371" s="31" t="str">
        <f>IF(csv!F366="","",csv!AP366&amp;"–"&amp;csv!AQ366&amp;"–"&amp;csv!AR366)</f>
        <v/>
      </c>
      <c r="E371" s="66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2" t="str">
        <f>IF(csv!F367="","",csv!T367)</f>
        <v/>
      </c>
      <c r="C372" s="31" t="str">
        <f>IF(csv!F367="","",csv!AO367)</f>
        <v/>
      </c>
      <c r="D372" s="31" t="str">
        <f>IF(csv!F367="","",csv!AP367&amp;"–"&amp;csv!AQ367&amp;"–"&amp;csv!AR367)</f>
        <v/>
      </c>
      <c r="E372" s="66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2" t="str">
        <f>IF(csv!F368="","",csv!T368)</f>
        <v/>
      </c>
      <c r="C373" s="31" t="str">
        <f>IF(csv!F368="","",csv!AO368)</f>
        <v/>
      </c>
      <c r="D373" s="31" t="str">
        <f>IF(csv!F368="","",csv!AP368&amp;"–"&amp;csv!AQ368&amp;"–"&amp;csv!AR368)</f>
        <v/>
      </c>
      <c r="E373" s="66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2" t="str">
        <f>IF(csv!F369="","",csv!T369)</f>
        <v/>
      </c>
      <c r="C374" s="31" t="str">
        <f>IF(csv!F369="","",csv!AO369)</f>
        <v/>
      </c>
      <c r="D374" s="31" t="str">
        <f>IF(csv!F369="","",csv!AP369&amp;"–"&amp;csv!AQ369&amp;"–"&amp;csv!AR369)</f>
        <v/>
      </c>
      <c r="E374" s="66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2" t="str">
        <f>IF(csv!F370="","",csv!T370)</f>
        <v/>
      </c>
      <c r="C375" s="31" t="str">
        <f>IF(csv!F370="","",csv!AO370)</f>
        <v/>
      </c>
      <c r="D375" s="31" t="str">
        <f>IF(csv!F370="","",csv!AP370&amp;"–"&amp;csv!AQ370&amp;"–"&amp;csv!AR370)</f>
        <v/>
      </c>
      <c r="E375" s="66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2" t="str">
        <f>IF(csv!F371="","",csv!T371)</f>
        <v/>
      </c>
      <c r="C376" s="31" t="str">
        <f>IF(csv!F371="","",csv!AO371)</f>
        <v/>
      </c>
      <c r="D376" s="31" t="str">
        <f>IF(csv!F371="","",csv!AP371&amp;"–"&amp;csv!AQ371&amp;"–"&amp;csv!AR371)</f>
        <v/>
      </c>
      <c r="E376" s="66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2" t="str">
        <f>IF(csv!F372="","",csv!T372)</f>
        <v/>
      </c>
      <c r="C377" s="31" t="str">
        <f>IF(csv!F372="","",csv!AO372)</f>
        <v/>
      </c>
      <c r="D377" s="31" t="str">
        <f>IF(csv!F372="","",csv!AP372&amp;"–"&amp;csv!AQ372&amp;"–"&amp;csv!AR372)</f>
        <v/>
      </c>
      <c r="E377" s="66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2" t="str">
        <f>IF(csv!F373="","",csv!T373)</f>
        <v/>
      </c>
      <c r="C378" s="31" t="str">
        <f>IF(csv!F373="","",csv!AO373)</f>
        <v/>
      </c>
      <c r="D378" s="31" t="str">
        <f>IF(csv!F373="","",csv!AP373&amp;"–"&amp;csv!AQ373&amp;"–"&amp;csv!AR373)</f>
        <v/>
      </c>
      <c r="E378" s="66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2" t="str">
        <f>IF(csv!F374="","",csv!T374)</f>
        <v/>
      </c>
      <c r="C379" s="31" t="str">
        <f>IF(csv!F374="","",csv!AO374)</f>
        <v/>
      </c>
      <c r="D379" s="31" t="str">
        <f>IF(csv!F374="","",csv!AP374&amp;"–"&amp;csv!AQ374&amp;"–"&amp;csv!AR374)</f>
        <v/>
      </c>
      <c r="E379" s="66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2" t="str">
        <f>IF(csv!F375="","",csv!T375)</f>
        <v/>
      </c>
      <c r="C380" s="31" t="str">
        <f>IF(csv!F375="","",csv!AO375)</f>
        <v/>
      </c>
      <c r="D380" s="31" t="str">
        <f>IF(csv!F375="","",csv!AP375&amp;"–"&amp;csv!AQ375&amp;"–"&amp;csv!AR375)</f>
        <v/>
      </c>
      <c r="E380" s="66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2" t="str">
        <f>IF(csv!F376="","",csv!T376)</f>
        <v/>
      </c>
      <c r="C381" s="31" t="str">
        <f>IF(csv!F376="","",csv!AO376)</f>
        <v/>
      </c>
      <c r="D381" s="31" t="str">
        <f>IF(csv!F376="","",csv!AP376&amp;"–"&amp;csv!AQ376&amp;"–"&amp;csv!AR376)</f>
        <v/>
      </c>
      <c r="E381" s="66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2" t="str">
        <f>IF(csv!F377="","",csv!T377)</f>
        <v/>
      </c>
      <c r="C382" s="31" t="str">
        <f>IF(csv!F377="","",csv!AO377)</f>
        <v/>
      </c>
      <c r="D382" s="31" t="str">
        <f>IF(csv!F377="","",csv!AP377&amp;"–"&amp;csv!AQ377&amp;"–"&amp;csv!AR377)</f>
        <v/>
      </c>
      <c r="E382" s="66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2" t="str">
        <f>IF(csv!F378="","",csv!T378)</f>
        <v/>
      </c>
      <c r="C383" s="31" t="str">
        <f>IF(csv!F378="","",csv!AO378)</f>
        <v/>
      </c>
      <c r="D383" s="31" t="str">
        <f>IF(csv!F378="","",csv!AP378&amp;"–"&amp;csv!AQ378&amp;"–"&amp;csv!AR378)</f>
        <v/>
      </c>
      <c r="E383" s="66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2" t="str">
        <f>IF(csv!F379="","",csv!T379)</f>
        <v/>
      </c>
      <c r="C384" s="31" t="str">
        <f>IF(csv!F379="","",csv!AO379)</f>
        <v/>
      </c>
      <c r="D384" s="31" t="str">
        <f>IF(csv!F379="","",csv!AP379&amp;"–"&amp;csv!AQ379&amp;"–"&amp;csv!AR379)</f>
        <v/>
      </c>
      <c r="E384" s="66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2" t="str">
        <f>IF(csv!F380="","",csv!T380)</f>
        <v/>
      </c>
      <c r="C385" s="31" t="str">
        <f>IF(csv!F380="","",csv!AO380)</f>
        <v/>
      </c>
      <c r="D385" s="31" t="str">
        <f>IF(csv!F380="","",csv!AP380&amp;"–"&amp;csv!AQ380&amp;"–"&amp;csv!AR380)</f>
        <v/>
      </c>
      <c r="E385" s="66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2" t="str">
        <f>IF(csv!F381="","",csv!T381)</f>
        <v/>
      </c>
      <c r="C386" s="31" t="str">
        <f>IF(csv!F381="","",csv!AO381)</f>
        <v/>
      </c>
      <c r="D386" s="31" t="str">
        <f>IF(csv!F381="","",csv!AP381&amp;"–"&amp;csv!AQ381&amp;"–"&amp;csv!AR381)</f>
        <v/>
      </c>
      <c r="E386" s="66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2" t="str">
        <f>IF(csv!F382="","",csv!T382)</f>
        <v/>
      </c>
      <c r="C387" s="31" t="str">
        <f>IF(csv!F382="","",csv!AO382)</f>
        <v/>
      </c>
      <c r="D387" s="31" t="str">
        <f>IF(csv!F382="","",csv!AP382&amp;"–"&amp;csv!AQ382&amp;"–"&amp;csv!AR382)</f>
        <v/>
      </c>
      <c r="E387" s="66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2" t="str">
        <f>IF(csv!F383="","",csv!T383)</f>
        <v/>
      </c>
      <c r="C388" s="31" t="str">
        <f>IF(csv!F383="","",csv!AO383)</f>
        <v/>
      </c>
      <c r="D388" s="31" t="str">
        <f>IF(csv!F383="","",csv!AP383&amp;"–"&amp;csv!AQ383&amp;"–"&amp;csv!AR383)</f>
        <v/>
      </c>
      <c r="E388" s="66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2" t="str">
        <f>IF(csv!F384="","",csv!T384)</f>
        <v/>
      </c>
      <c r="C389" s="31" t="str">
        <f>IF(csv!F384="","",csv!AO384)</f>
        <v/>
      </c>
      <c r="D389" s="31" t="str">
        <f>IF(csv!F384="","",csv!AP384&amp;"–"&amp;csv!AQ384&amp;"–"&amp;csv!AR384)</f>
        <v/>
      </c>
      <c r="E389" s="66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2" t="str">
        <f>IF(csv!F385="","",csv!T385)</f>
        <v/>
      </c>
      <c r="C390" s="31" t="str">
        <f>IF(csv!F385="","",csv!AO385)</f>
        <v/>
      </c>
      <c r="D390" s="31" t="str">
        <f>IF(csv!F385="","",csv!AP385&amp;"–"&amp;csv!AQ385&amp;"–"&amp;csv!AR385)</f>
        <v/>
      </c>
      <c r="E390" s="66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2" t="str">
        <f>IF(csv!F386="","",csv!T386)</f>
        <v/>
      </c>
      <c r="C391" s="31" t="str">
        <f>IF(csv!F386="","",csv!AO386)</f>
        <v/>
      </c>
      <c r="D391" s="31" t="str">
        <f>IF(csv!F386="","",csv!AP386&amp;"–"&amp;csv!AQ386&amp;"–"&amp;csv!AR386)</f>
        <v/>
      </c>
      <c r="E391" s="66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2" t="str">
        <f>IF(csv!F387="","",csv!T387)</f>
        <v/>
      </c>
      <c r="C392" s="31" t="str">
        <f>IF(csv!F387="","",csv!AO387)</f>
        <v/>
      </c>
      <c r="D392" s="31" t="str">
        <f>IF(csv!F387="","",csv!AP387&amp;"–"&amp;csv!AQ387&amp;"–"&amp;csv!AR387)</f>
        <v/>
      </c>
      <c r="E392" s="66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2" t="str">
        <f>IF(csv!F388="","",csv!T388)</f>
        <v/>
      </c>
      <c r="C393" s="31" t="str">
        <f>IF(csv!F388="","",csv!AO388)</f>
        <v/>
      </c>
      <c r="D393" s="31" t="str">
        <f>IF(csv!F388="","",csv!AP388&amp;"–"&amp;csv!AQ388&amp;"–"&amp;csv!AR388)</f>
        <v/>
      </c>
      <c r="E393" s="66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2" t="str">
        <f>IF(csv!F389="","",csv!T389)</f>
        <v/>
      </c>
      <c r="C394" s="31" t="str">
        <f>IF(csv!F389="","",csv!AO389)</f>
        <v/>
      </c>
      <c r="D394" s="31" t="str">
        <f>IF(csv!F389="","",csv!AP389&amp;"–"&amp;csv!AQ389&amp;"–"&amp;csv!AR389)</f>
        <v/>
      </c>
      <c r="E394" s="66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2" t="str">
        <f>IF(csv!F390="","",csv!T390)</f>
        <v/>
      </c>
      <c r="C395" s="31" t="str">
        <f>IF(csv!F390="","",csv!AO390)</f>
        <v/>
      </c>
      <c r="D395" s="31" t="str">
        <f>IF(csv!F390="","",csv!AP390&amp;"–"&amp;csv!AQ390&amp;"–"&amp;csv!AR390)</f>
        <v/>
      </c>
      <c r="E395" s="66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2" t="str">
        <f>IF(csv!F391="","",csv!T391)</f>
        <v/>
      </c>
      <c r="C396" s="31" t="str">
        <f>IF(csv!F391="","",csv!AO391)</f>
        <v/>
      </c>
      <c r="D396" s="31" t="str">
        <f>IF(csv!F391="","",csv!AP391&amp;"–"&amp;csv!AQ391&amp;"–"&amp;csv!AR391)</f>
        <v/>
      </c>
      <c r="E396" s="66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2" t="str">
        <f>IF(csv!F392="","",csv!T392)</f>
        <v/>
      </c>
      <c r="C397" s="31" t="str">
        <f>IF(csv!F392="","",csv!AO392)</f>
        <v/>
      </c>
      <c r="D397" s="31" t="str">
        <f>IF(csv!F392="","",csv!AP392&amp;"–"&amp;csv!AQ392&amp;"–"&amp;csv!AR392)</f>
        <v/>
      </c>
      <c r="E397" s="66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2" t="str">
        <f>IF(csv!F393="","",csv!T393)</f>
        <v/>
      </c>
      <c r="C398" s="31" t="str">
        <f>IF(csv!F393="","",csv!AO393)</f>
        <v/>
      </c>
      <c r="D398" s="31" t="str">
        <f>IF(csv!F393="","",csv!AP393&amp;"–"&amp;csv!AQ393&amp;"–"&amp;csv!AR393)</f>
        <v/>
      </c>
      <c r="E398" s="66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2" t="str">
        <f>IF(csv!F394="","",csv!T394)</f>
        <v/>
      </c>
      <c r="C399" s="31" t="str">
        <f>IF(csv!F394="","",csv!AO394)</f>
        <v/>
      </c>
      <c r="D399" s="31" t="str">
        <f>IF(csv!F394="","",csv!AP394&amp;"–"&amp;csv!AQ394&amp;"–"&amp;csv!AR394)</f>
        <v/>
      </c>
      <c r="E399" s="66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2" t="str">
        <f>IF(csv!F395="","",csv!T395)</f>
        <v/>
      </c>
      <c r="C400" s="31" t="str">
        <f>IF(csv!F395="","",csv!AO395)</f>
        <v/>
      </c>
      <c r="D400" s="31" t="str">
        <f>IF(csv!F395="","",csv!AP395&amp;"–"&amp;csv!AQ395&amp;"–"&amp;csv!AR395)</f>
        <v/>
      </c>
      <c r="E400" s="66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2" t="str">
        <f>IF(csv!F396="","",csv!T396)</f>
        <v/>
      </c>
      <c r="C401" s="31" t="str">
        <f>IF(csv!F396="","",csv!AO396)</f>
        <v/>
      </c>
      <c r="D401" s="31" t="str">
        <f>IF(csv!F396="","",csv!AP396&amp;"–"&amp;csv!AQ396&amp;"–"&amp;csv!AR396)</f>
        <v/>
      </c>
      <c r="E401" s="66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2" t="str">
        <f>IF(csv!F397="","",csv!T397)</f>
        <v/>
      </c>
      <c r="C402" s="31" t="str">
        <f>IF(csv!F397="","",csv!AO397)</f>
        <v/>
      </c>
      <c r="D402" s="31" t="str">
        <f>IF(csv!F397="","",csv!AP397&amp;"–"&amp;csv!AQ397&amp;"–"&amp;csv!AR397)</f>
        <v/>
      </c>
      <c r="E402" s="66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2" t="str">
        <f>IF(csv!F398="","",csv!T398)</f>
        <v/>
      </c>
      <c r="C403" s="31" t="str">
        <f>IF(csv!F398="","",csv!AO398)</f>
        <v/>
      </c>
      <c r="D403" s="31" t="str">
        <f>IF(csv!F398="","",csv!AP398&amp;"–"&amp;csv!AQ398&amp;"–"&amp;csv!AR398)</f>
        <v/>
      </c>
      <c r="E403" s="66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2" t="str">
        <f>IF(csv!F399="","",csv!T399)</f>
        <v/>
      </c>
      <c r="C404" s="31" t="str">
        <f>IF(csv!F399="","",csv!AO399)</f>
        <v/>
      </c>
      <c r="D404" s="31" t="str">
        <f>IF(csv!F399="","",csv!AP399&amp;"–"&amp;csv!AQ399&amp;"–"&amp;csv!AR399)</f>
        <v/>
      </c>
      <c r="E404" s="66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2" t="str">
        <f>IF(csv!F400="","",csv!T400)</f>
        <v/>
      </c>
      <c r="C405" s="31" t="str">
        <f>IF(csv!F400="","",csv!AO400)</f>
        <v/>
      </c>
      <c r="D405" s="31" t="str">
        <f>IF(csv!F400="","",csv!AP400&amp;"–"&amp;csv!AQ400&amp;"–"&amp;csv!AR400)</f>
        <v/>
      </c>
      <c r="E405" s="66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2" t="str">
        <f>IF(csv!F401="","",csv!T401)</f>
        <v/>
      </c>
      <c r="C406" s="31" t="str">
        <f>IF(csv!F401="","",csv!AO401)</f>
        <v/>
      </c>
      <c r="D406" s="31" t="str">
        <f>IF(csv!F401="","",csv!AP401&amp;"–"&amp;csv!AQ401&amp;"–"&amp;csv!AR401)</f>
        <v/>
      </c>
      <c r="E406" s="66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4" t="str">
        <f>IF(csv!F402="","",csv!T402)</f>
        <v/>
      </c>
      <c r="C407" s="34" t="str">
        <f>IF(csv!F402="","",csv!AO402)</f>
        <v/>
      </c>
      <c r="D407" s="34" t="str">
        <f>IF(csv!F402="","",csv!AP402&amp;"–"&amp;csv!AQ402&amp;"–"&amp;csv!AR402)</f>
        <v/>
      </c>
      <c r="E407" s="67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X58"/>
  <sheetViews>
    <sheetView workbookViewId="0">
      <selection activeCell="D11" sqref="D11"/>
    </sheetView>
  </sheetViews>
  <sheetFormatPr defaultRowHeight="15" x14ac:dyDescent="0.25"/>
  <cols>
    <col min="1" max="1" width="2.85546875" style="147" customWidth="1"/>
    <col min="2" max="2" width="11.42578125" style="147" hidden="1" customWidth="1"/>
    <col min="3" max="3" width="11.42578125" style="147" customWidth="1"/>
    <col min="4" max="4" width="17.140625" style="147" customWidth="1"/>
    <col min="5" max="5" width="11.42578125" style="190" customWidth="1"/>
    <col min="6" max="6" width="19.42578125" style="190" customWidth="1"/>
    <col min="7" max="7" width="11.42578125" style="190" customWidth="1"/>
    <col min="8" max="8" width="2.85546875" style="147" customWidth="1"/>
    <col min="9" max="9" width="28.42578125" style="147" bestFit="1" customWidth="1"/>
    <col min="10" max="10" width="2.85546875" style="147" customWidth="1"/>
    <col min="11" max="11" width="13.7109375" style="190" customWidth="1"/>
    <col min="12" max="12" width="17.140625" style="190" customWidth="1"/>
    <col min="13" max="13" width="2.85546875" style="147" customWidth="1"/>
    <col min="14" max="14" width="6.5703125" style="148" customWidth="1"/>
    <col min="15" max="15" width="2.85546875" style="147" customWidth="1"/>
    <col min="16" max="16" width="13.7109375" style="190" customWidth="1"/>
    <col min="17" max="17" width="11.42578125" style="190" customWidth="1"/>
    <col min="18" max="18" width="13.7109375" style="190" customWidth="1"/>
    <col min="19" max="19" width="9.140625" style="190" customWidth="1"/>
    <col min="20" max="20" width="2.85546875" style="147" customWidth="1"/>
    <col min="21" max="21" width="28.5703125" style="147" customWidth="1"/>
    <col min="22" max="22" width="2.85546875" style="147" customWidth="1"/>
    <col min="23" max="23" width="28.5703125" style="147" customWidth="1"/>
    <col min="24" max="24" width="2.85546875" style="147" customWidth="1"/>
    <col min="25" max="16384" width="9.140625" style="147"/>
  </cols>
  <sheetData>
    <row r="1" spans="1:24" ht="15.75" thickBot="1" x14ac:dyDescent="0.3"/>
    <row r="2" spans="1:24" ht="32.25" thickBot="1" x14ac:dyDescent="0.55000000000000004">
      <c r="C2" s="320" t="s">
        <v>139</v>
      </c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2"/>
    </row>
    <row r="3" spans="1:24" ht="15.75" thickBot="1" x14ac:dyDescent="0.3"/>
    <row r="4" spans="1:24" ht="21.75" thickBot="1" x14ac:dyDescent="0.4">
      <c r="C4" s="323"/>
      <c r="D4" s="324"/>
      <c r="E4" s="324"/>
      <c r="F4" s="324"/>
      <c r="G4" s="325"/>
      <c r="I4" s="191"/>
      <c r="K4" s="323"/>
      <c r="L4" s="324"/>
      <c r="M4" s="324"/>
      <c r="N4" s="325"/>
      <c r="P4" s="323"/>
      <c r="Q4" s="324"/>
      <c r="R4" s="324"/>
      <c r="S4" s="325"/>
      <c r="U4" s="323"/>
      <c r="V4" s="324"/>
      <c r="W4" s="325"/>
    </row>
    <row r="6" spans="1:24" x14ac:dyDescent="0.25">
      <c r="A6" s="192" t="s">
        <v>0</v>
      </c>
      <c r="B6" s="193" t="s">
        <v>132</v>
      </c>
      <c r="C6" s="194" t="s">
        <v>132</v>
      </c>
      <c r="D6" s="150" t="s">
        <v>4</v>
      </c>
      <c r="E6" s="195" t="s">
        <v>133</v>
      </c>
      <c r="F6" s="195" t="s">
        <v>134</v>
      </c>
      <c r="G6" s="195" t="s">
        <v>133</v>
      </c>
      <c r="H6" s="192" t="s">
        <v>0</v>
      </c>
      <c r="I6" s="196" t="s">
        <v>149</v>
      </c>
      <c r="J6" s="192" t="s">
        <v>0</v>
      </c>
      <c r="K6" s="197" t="s">
        <v>135</v>
      </c>
      <c r="L6" s="197" t="s">
        <v>136</v>
      </c>
      <c r="M6" s="192" t="s">
        <v>0</v>
      </c>
      <c r="N6" s="151" t="s">
        <v>137</v>
      </c>
      <c r="O6" s="192" t="s">
        <v>0</v>
      </c>
      <c r="P6" s="197" t="s">
        <v>138</v>
      </c>
      <c r="Q6" s="197" t="s">
        <v>35</v>
      </c>
      <c r="R6" s="197" t="s">
        <v>133</v>
      </c>
      <c r="S6" s="197" t="s">
        <v>16</v>
      </c>
      <c r="T6" s="192" t="s">
        <v>0</v>
      </c>
      <c r="U6" s="151" t="s">
        <v>51</v>
      </c>
      <c r="V6" s="192" t="s">
        <v>0</v>
      </c>
      <c r="W6" s="151" t="s">
        <v>219</v>
      </c>
      <c r="X6" s="192" t="s">
        <v>0</v>
      </c>
    </row>
    <row r="7" spans="1:24" ht="7.5" customHeight="1" thickBot="1" x14ac:dyDescent="0.3">
      <c r="A7" s="192" t="s">
        <v>0</v>
      </c>
      <c r="D7" s="148"/>
      <c r="H7" s="192" t="s">
        <v>0</v>
      </c>
      <c r="I7" s="148"/>
      <c r="J7" s="192" t="s">
        <v>0</v>
      </c>
      <c r="K7" s="198">
        <f>data_max_kategorijaAlias_id</f>
        <v>1</v>
      </c>
      <c r="M7" s="192" t="s">
        <v>0</v>
      </c>
      <c r="O7" s="192" t="s">
        <v>0</v>
      </c>
      <c r="P7" s="198">
        <f>data_max_stazaKategorija_id</f>
        <v>22</v>
      </c>
      <c r="T7" s="192" t="s">
        <v>0</v>
      </c>
      <c r="U7" s="148"/>
      <c r="V7" s="192" t="s">
        <v>0</v>
      </c>
      <c r="W7" s="148"/>
      <c r="X7" s="192" t="s">
        <v>0</v>
      </c>
    </row>
    <row r="8" spans="1:24" ht="16.5" thickTop="1" thickBot="1" x14ac:dyDescent="0.3">
      <c r="A8" s="192" t="s">
        <v>0</v>
      </c>
      <c r="B8" s="199">
        <v>1</v>
      </c>
      <c r="C8" s="200">
        <f>IF(D8="","",B8)</f>
        <v>1</v>
      </c>
      <c r="D8" s="152" t="str">
        <f t="shared" ref="D8:D39" si="0">IFERROR(INDEX(nat_kategorija,MATCH(B8,nat_katnatid,0)),"")</f>
        <v>M12</v>
      </c>
      <c r="E8" s="201">
        <f t="shared" ref="E8:E39" si="1">IF(D8="","",IFERROR(INDEX(regKategorija_id,MATCH(D8,regKategorija_oznaka,0)),"NEMA"))</f>
        <v>112</v>
      </c>
      <c r="F8" s="201" t="str">
        <f t="shared" ref="F8:F39" si="2">IF(E8&lt;&gt;"NEMA","",IFERROR(INDEX(regKategorija_alias_id,MATCH(D8,regKategorija_alias_oznaka,0)),"NEMA"))</f>
        <v/>
      </c>
      <c r="G8" s="202">
        <f>IF(E8="NEMA",F8,E8)</f>
        <v>112</v>
      </c>
      <c r="H8" s="192" t="s">
        <v>0</v>
      </c>
      <c r="I8" s="124"/>
      <c r="J8" s="192" t="s">
        <v>0</v>
      </c>
      <c r="K8" s="203" t="str">
        <f>IF(I8="","",MAX(K$7:K7)+1)</f>
        <v/>
      </c>
      <c r="L8" s="202" t="str">
        <f t="shared" ref="L8:L39" si="3">IF(I8="","",IFERROR(INDEX(regKategorija_id,MATCH(I8,regKategorija_oznaka,0)),"NEMA"))</f>
        <v/>
      </c>
      <c r="M8" s="192" t="s">
        <v>0</v>
      </c>
      <c r="N8" s="204" t="str">
        <f>IF(K8="","","INSERT INTO kategorija_alias(id,alias,kategorija_id) VALUES ("&amp;K8&amp;",'"&amp;D8&amp;"',"&amp;L8&amp;");")</f>
        <v/>
      </c>
      <c r="O8" s="192" t="s">
        <v>0</v>
      </c>
      <c r="P8" s="203">
        <f>IF(G8="","",MAX(P$7:P7)+1)</f>
        <v>23</v>
      </c>
      <c r="Q8" s="201" t="str">
        <f t="shared" ref="Q8:Q39" si="4">IF(G8="","",IFERROR(INDEX(natjecanjeStaze_stazaId,MATCH(D8,natStaza_kategorija,0)),"NEMA"))</f>
        <v>NEMA</v>
      </c>
      <c r="R8" s="201">
        <f>IF(G8="","",IF(G8&lt;&gt;"NEMA",G8,L8))</f>
        <v>112</v>
      </c>
      <c r="S8" s="202">
        <f t="shared" ref="S8:S39" si="5">IF(G8="","",INDEX(regKategorija_rbr,MATCH(R8,regKategorija_id,0)))</f>
        <v>12</v>
      </c>
      <c r="T8" s="192" t="s">
        <v>0</v>
      </c>
      <c r="U8" s="153" t="str">
        <f>IF(D8="","",IF(Q8="NEMA","","INSERT INTO staza_kategorija(id, staza_id,kategorija_id,rbr) VALUES ("&amp;P8&amp;","&amp;Q8&amp;","&amp;R8&amp;","&amp;S8&amp;");"))</f>
        <v/>
      </c>
      <c r="V8" s="192" t="s">
        <v>0</v>
      </c>
      <c r="W8" s="182" t="str">
        <f t="shared" ref="W8:W56" si="6">N8&amp;IF(OR(N8="",U8=""),"","
")&amp;U8&amp;IF(W9="","","
"&amp;W9)</f>
        <v/>
      </c>
      <c r="X8" s="192" t="s">
        <v>0</v>
      </c>
    </row>
    <row r="9" spans="1:24" ht="15.75" thickTop="1" x14ac:dyDescent="0.25">
      <c r="A9" s="192" t="s">
        <v>0</v>
      </c>
      <c r="B9" s="205">
        <f>B8+1</f>
        <v>2</v>
      </c>
      <c r="C9" s="206">
        <f t="shared" ref="C9:C57" si="7">IF(D9="","",B9)</f>
        <v>2</v>
      </c>
      <c r="D9" s="154" t="str">
        <f t="shared" si="0"/>
        <v>M14</v>
      </c>
      <c r="E9" s="207">
        <f t="shared" si="1"/>
        <v>111</v>
      </c>
      <c r="F9" s="207" t="str">
        <f t="shared" si="2"/>
        <v/>
      </c>
      <c r="G9" s="208">
        <f t="shared" ref="G9:G57" si="8">IF(E9="NEMA",F9,E9)</f>
        <v>111</v>
      </c>
      <c r="H9" s="192" t="s">
        <v>0</v>
      </c>
      <c r="I9" s="125"/>
      <c r="J9" s="192" t="s">
        <v>0</v>
      </c>
      <c r="K9" s="209" t="str">
        <f>IF(I9="","",MAX(K$7:K8)+1)</f>
        <v/>
      </c>
      <c r="L9" s="208" t="str">
        <f t="shared" si="3"/>
        <v/>
      </c>
      <c r="M9" s="192" t="s">
        <v>0</v>
      </c>
      <c r="N9" s="210" t="str">
        <f t="shared" ref="N9:N57" si="9">IF(K9="","","INSERT INTO kategorija_alias(id,alias,kategorija_id) VALUES ("&amp;K9&amp;",'"&amp;D9&amp;"',"&amp;L9&amp;");")</f>
        <v/>
      </c>
      <c r="O9" s="192" t="s">
        <v>0</v>
      </c>
      <c r="P9" s="209">
        <f>IF(G9="","",MAX(P$7:P8)+1)</f>
        <v>24</v>
      </c>
      <c r="Q9" s="207" t="str">
        <f t="shared" si="4"/>
        <v>NEMA</v>
      </c>
      <c r="R9" s="207">
        <f t="shared" ref="R9:R57" si="10">IF(G9="","",IF(G9&lt;&gt;"NEMA",G9,L9))</f>
        <v>111</v>
      </c>
      <c r="S9" s="208">
        <f t="shared" si="5"/>
        <v>11</v>
      </c>
      <c r="T9" s="192" t="s">
        <v>0</v>
      </c>
      <c r="U9" s="155" t="str">
        <f t="shared" ref="U9:U57" si="11">IF(D9="","",IF(Q9="NEMA","","INSERT INTO staza_kategorija(id, staza_id,kategorija_id,rbr) VALUES ("&amp;P9&amp;","&amp;Q9&amp;","&amp;R9&amp;","&amp;S9&amp;");"))</f>
        <v/>
      </c>
      <c r="V9" s="192" t="s">
        <v>0</v>
      </c>
      <c r="W9" s="155" t="str">
        <f t="shared" si="6"/>
        <v/>
      </c>
      <c r="X9" s="192" t="s">
        <v>0</v>
      </c>
    </row>
    <row r="10" spans="1:24" x14ac:dyDescent="0.25">
      <c r="A10" s="192" t="s">
        <v>0</v>
      </c>
      <c r="B10" s="205">
        <f t="shared" ref="B10:B57" si="12">B9+1</f>
        <v>3</v>
      </c>
      <c r="C10" s="206">
        <f t="shared" si="7"/>
        <v>3</v>
      </c>
      <c r="D10" s="154" t="str">
        <f t="shared" si="0"/>
        <v>M16</v>
      </c>
      <c r="E10" s="207">
        <f t="shared" si="1"/>
        <v>110</v>
      </c>
      <c r="F10" s="207" t="str">
        <f t="shared" si="2"/>
        <v/>
      </c>
      <c r="G10" s="208">
        <f t="shared" si="8"/>
        <v>110</v>
      </c>
      <c r="H10" s="192" t="s">
        <v>0</v>
      </c>
      <c r="I10" s="125"/>
      <c r="J10" s="192" t="s">
        <v>0</v>
      </c>
      <c r="K10" s="209" t="str">
        <f>IF(I10="","",MAX(K$7:K9)+1)</f>
        <v/>
      </c>
      <c r="L10" s="208" t="str">
        <f t="shared" si="3"/>
        <v/>
      </c>
      <c r="M10" s="192" t="s">
        <v>0</v>
      </c>
      <c r="N10" s="210" t="str">
        <f t="shared" si="9"/>
        <v/>
      </c>
      <c r="O10" s="192" t="s">
        <v>0</v>
      </c>
      <c r="P10" s="209">
        <f>IF(G10="","",MAX(P$7:P9)+1)</f>
        <v>25</v>
      </c>
      <c r="Q10" s="207" t="str">
        <f t="shared" si="4"/>
        <v>NEMA</v>
      </c>
      <c r="R10" s="207">
        <f t="shared" si="10"/>
        <v>110</v>
      </c>
      <c r="S10" s="208">
        <f t="shared" si="5"/>
        <v>10</v>
      </c>
      <c r="T10" s="192" t="s">
        <v>0</v>
      </c>
      <c r="U10" s="155" t="str">
        <f t="shared" si="11"/>
        <v/>
      </c>
      <c r="V10" s="192" t="s">
        <v>0</v>
      </c>
      <c r="W10" s="155" t="str">
        <f t="shared" si="6"/>
        <v/>
      </c>
      <c r="X10" s="192" t="s">
        <v>0</v>
      </c>
    </row>
    <row r="11" spans="1:24" x14ac:dyDescent="0.25">
      <c r="A11" s="192" t="s">
        <v>0</v>
      </c>
      <c r="B11" s="205">
        <f t="shared" si="12"/>
        <v>4</v>
      </c>
      <c r="C11" s="206">
        <f t="shared" si="7"/>
        <v>4</v>
      </c>
      <c r="D11" s="154" t="str">
        <f t="shared" si="0"/>
        <v>M20</v>
      </c>
      <c r="E11" s="207">
        <f t="shared" si="1"/>
        <v>109</v>
      </c>
      <c r="F11" s="207" t="str">
        <f t="shared" si="2"/>
        <v/>
      </c>
      <c r="G11" s="208">
        <f t="shared" si="8"/>
        <v>109</v>
      </c>
      <c r="H11" s="192" t="s">
        <v>0</v>
      </c>
      <c r="I11" s="125"/>
      <c r="J11" s="192" t="s">
        <v>0</v>
      </c>
      <c r="K11" s="209" t="str">
        <f>IF(I11="","",MAX(K$7:K10)+1)</f>
        <v/>
      </c>
      <c r="L11" s="208" t="str">
        <f t="shared" si="3"/>
        <v/>
      </c>
      <c r="M11" s="192" t="s">
        <v>0</v>
      </c>
      <c r="N11" s="210" t="str">
        <f t="shared" si="9"/>
        <v/>
      </c>
      <c r="O11" s="192" t="s">
        <v>0</v>
      </c>
      <c r="P11" s="209">
        <f>IF(G11="","",MAX(P$7:P10)+1)</f>
        <v>26</v>
      </c>
      <c r="Q11" s="207" t="str">
        <f t="shared" si="4"/>
        <v>NEMA</v>
      </c>
      <c r="R11" s="207">
        <f t="shared" si="10"/>
        <v>109</v>
      </c>
      <c r="S11" s="208">
        <f t="shared" si="5"/>
        <v>9</v>
      </c>
      <c r="T11" s="192" t="s">
        <v>0</v>
      </c>
      <c r="U11" s="155" t="str">
        <f t="shared" si="11"/>
        <v/>
      </c>
      <c r="V11" s="192" t="s">
        <v>0</v>
      </c>
      <c r="W11" s="155" t="str">
        <f t="shared" si="6"/>
        <v/>
      </c>
      <c r="X11" s="192" t="s">
        <v>0</v>
      </c>
    </row>
    <row r="12" spans="1:24" x14ac:dyDescent="0.25">
      <c r="A12" s="192" t="s">
        <v>0</v>
      </c>
      <c r="B12" s="205">
        <f t="shared" si="12"/>
        <v>5</v>
      </c>
      <c r="C12" s="206">
        <f t="shared" si="7"/>
        <v>5</v>
      </c>
      <c r="D12" s="154" t="str">
        <f t="shared" si="0"/>
        <v>M21A</v>
      </c>
      <c r="E12" s="207">
        <f t="shared" si="1"/>
        <v>101</v>
      </c>
      <c r="F12" s="207" t="str">
        <f t="shared" si="2"/>
        <v/>
      </c>
      <c r="G12" s="208">
        <f t="shared" si="8"/>
        <v>101</v>
      </c>
      <c r="H12" s="192" t="s">
        <v>0</v>
      </c>
      <c r="I12" s="125"/>
      <c r="J12" s="192" t="s">
        <v>0</v>
      </c>
      <c r="K12" s="209" t="str">
        <f>IF(I12="","",MAX(K$7:K11)+1)</f>
        <v/>
      </c>
      <c r="L12" s="208" t="str">
        <f t="shared" si="3"/>
        <v/>
      </c>
      <c r="M12" s="192" t="s">
        <v>0</v>
      </c>
      <c r="N12" s="210" t="str">
        <f t="shared" si="9"/>
        <v/>
      </c>
      <c r="O12" s="192" t="s">
        <v>0</v>
      </c>
      <c r="P12" s="209">
        <f>IF(G12="","",MAX(P$7:P11)+1)</f>
        <v>27</v>
      </c>
      <c r="Q12" s="207" t="str">
        <f t="shared" si="4"/>
        <v>NEMA</v>
      </c>
      <c r="R12" s="207">
        <f t="shared" si="10"/>
        <v>101</v>
      </c>
      <c r="S12" s="208">
        <f t="shared" si="5"/>
        <v>1</v>
      </c>
      <c r="T12" s="192" t="s">
        <v>0</v>
      </c>
      <c r="U12" s="155" t="str">
        <f t="shared" si="11"/>
        <v/>
      </c>
      <c r="V12" s="192" t="s">
        <v>0</v>
      </c>
      <c r="W12" s="155" t="str">
        <f t="shared" si="6"/>
        <v/>
      </c>
      <c r="X12" s="192" t="s">
        <v>0</v>
      </c>
    </row>
    <row r="13" spans="1:24" x14ac:dyDescent="0.25">
      <c r="A13" s="192" t="s">
        <v>0</v>
      </c>
      <c r="B13" s="205">
        <f t="shared" si="12"/>
        <v>6</v>
      </c>
      <c r="C13" s="206">
        <f t="shared" si="7"/>
        <v>6</v>
      </c>
      <c r="D13" s="154" t="str">
        <f t="shared" si="0"/>
        <v>M21B</v>
      </c>
      <c r="E13" s="207">
        <f t="shared" si="1"/>
        <v>108</v>
      </c>
      <c r="F13" s="207" t="str">
        <f t="shared" si="2"/>
        <v/>
      </c>
      <c r="G13" s="208">
        <f t="shared" si="8"/>
        <v>108</v>
      </c>
      <c r="H13" s="192" t="s">
        <v>0</v>
      </c>
      <c r="I13" s="125"/>
      <c r="J13" s="192" t="s">
        <v>0</v>
      </c>
      <c r="K13" s="209" t="str">
        <f>IF(I13="","",MAX(K$7:K12)+1)</f>
        <v/>
      </c>
      <c r="L13" s="208" t="str">
        <f t="shared" si="3"/>
        <v/>
      </c>
      <c r="M13" s="192" t="s">
        <v>0</v>
      </c>
      <c r="N13" s="210" t="str">
        <f t="shared" si="9"/>
        <v/>
      </c>
      <c r="O13" s="192" t="s">
        <v>0</v>
      </c>
      <c r="P13" s="209">
        <f>IF(G13="","",MAX(P$7:P12)+1)</f>
        <v>28</v>
      </c>
      <c r="Q13" s="207" t="str">
        <f t="shared" si="4"/>
        <v>NEMA</v>
      </c>
      <c r="R13" s="207">
        <f t="shared" si="10"/>
        <v>108</v>
      </c>
      <c r="S13" s="208">
        <f t="shared" si="5"/>
        <v>8</v>
      </c>
      <c r="T13" s="192" t="s">
        <v>0</v>
      </c>
      <c r="U13" s="155" t="str">
        <f t="shared" si="11"/>
        <v/>
      </c>
      <c r="V13" s="192" t="s">
        <v>0</v>
      </c>
      <c r="W13" s="155" t="str">
        <f t="shared" si="6"/>
        <v/>
      </c>
      <c r="X13" s="192" t="s">
        <v>0</v>
      </c>
    </row>
    <row r="14" spans="1:24" x14ac:dyDescent="0.25">
      <c r="A14" s="192" t="s">
        <v>0</v>
      </c>
      <c r="B14" s="205">
        <f t="shared" si="12"/>
        <v>7</v>
      </c>
      <c r="C14" s="206">
        <f t="shared" si="7"/>
        <v>7</v>
      </c>
      <c r="D14" s="154" t="str">
        <f t="shared" si="0"/>
        <v>M35</v>
      </c>
      <c r="E14" s="207">
        <f t="shared" si="1"/>
        <v>107</v>
      </c>
      <c r="F14" s="207" t="str">
        <f t="shared" si="2"/>
        <v/>
      </c>
      <c r="G14" s="208">
        <f t="shared" si="8"/>
        <v>107</v>
      </c>
      <c r="H14" s="192" t="s">
        <v>0</v>
      </c>
      <c r="I14" s="125"/>
      <c r="J14" s="192" t="s">
        <v>0</v>
      </c>
      <c r="K14" s="209" t="str">
        <f>IF(I14="","",MAX(K$7:K13)+1)</f>
        <v/>
      </c>
      <c r="L14" s="208" t="str">
        <f t="shared" si="3"/>
        <v/>
      </c>
      <c r="M14" s="192" t="s">
        <v>0</v>
      </c>
      <c r="N14" s="210" t="str">
        <f t="shared" si="9"/>
        <v/>
      </c>
      <c r="O14" s="192" t="s">
        <v>0</v>
      </c>
      <c r="P14" s="209">
        <f>IF(G14="","",MAX(P$7:P13)+1)</f>
        <v>29</v>
      </c>
      <c r="Q14" s="207" t="str">
        <f t="shared" si="4"/>
        <v>NEMA</v>
      </c>
      <c r="R14" s="207">
        <f t="shared" si="10"/>
        <v>107</v>
      </c>
      <c r="S14" s="208">
        <f t="shared" si="5"/>
        <v>7</v>
      </c>
      <c r="T14" s="192" t="s">
        <v>0</v>
      </c>
      <c r="U14" s="155" t="str">
        <f t="shared" si="11"/>
        <v/>
      </c>
      <c r="V14" s="192" t="s">
        <v>0</v>
      </c>
      <c r="W14" s="155" t="str">
        <f t="shared" si="6"/>
        <v/>
      </c>
      <c r="X14" s="192" t="s">
        <v>0</v>
      </c>
    </row>
    <row r="15" spans="1:24" x14ac:dyDescent="0.25">
      <c r="A15" s="192" t="s">
        <v>0</v>
      </c>
      <c r="B15" s="205">
        <f t="shared" si="12"/>
        <v>8</v>
      </c>
      <c r="C15" s="206">
        <f t="shared" si="7"/>
        <v>8</v>
      </c>
      <c r="D15" s="154" t="str">
        <f t="shared" si="0"/>
        <v>M45</v>
      </c>
      <c r="E15" s="207">
        <f t="shared" si="1"/>
        <v>106</v>
      </c>
      <c r="F15" s="207" t="str">
        <f t="shared" si="2"/>
        <v/>
      </c>
      <c r="G15" s="208">
        <f t="shared" si="8"/>
        <v>106</v>
      </c>
      <c r="H15" s="192" t="s">
        <v>0</v>
      </c>
      <c r="I15" s="125"/>
      <c r="J15" s="192" t="s">
        <v>0</v>
      </c>
      <c r="K15" s="209" t="str">
        <f>IF(I15="","",MAX(K$7:K14)+1)</f>
        <v/>
      </c>
      <c r="L15" s="208" t="str">
        <f t="shared" si="3"/>
        <v/>
      </c>
      <c r="M15" s="192" t="s">
        <v>0</v>
      </c>
      <c r="N15" s="210" t="str">
        <f t="shared" si="9"/>
        <v/>
      </c>
      <c r="O15" s="192" t="s">
        <v>0</v>
      </c>
      <c r="P15" s="209">
        <f>IF(G15="","",MAX(P$7:P14)+1)</f>
        <v>30</v>
      </c>
      <c r="Q15" s="207" t="str">
        <f t="shared" si="4"/>
        <v>NEMA</v>
      </c>
      <c r="R15" s="207">
        <f t="shared" si="10"/>
        <v>106</v>
      </c>
      <c r="S15" s="208">
        <f t="shared" si="5"/>
        <v>6</v>
      </c>
      <c r="T15" s="192" t="s">
        <v>0</v>
      </c>
      <c r="U15" s="155" t="str">
        <f t="shared" si="11"/>
        <v/>
      </c>
      <c r="V15" s="192" t="s">
        <v>0</v>
      </c>
      <c r="W15" s="155" t="str">
        <f t="shared" si="6"/>
        <v/>
      </c>
      <c r="X15" s="192" t="s">
        <v>0</v>
      </c>
    </row>
    <row r="16" spans="1:24" x14ac:dyDescent="0.25">
      <c r="A16" s="192" t="s">
        <v>0</v>
      </c>
      <c r="B16" s="205">
        <f t="shared" si="12"/>
        <v>9</v>
      </c>
      <c r="C16" s="206">
        <f t="shared" si="7"/>
        <v>9</v>
      </c>
      <c r="D16" s="154" t="str">
        <f t="shared" si="0"/>
        <v>M55</v>
      </c>
      <c r="E16" s="207">
        <f t="shared" si="1"/>
        <v>105</v>
      </c>
      <c r="F16" s="207" t="str">
        <f t="shared" si="2"/>
        <v/>
      </c>
      <c r="G16" s="208">
        <f t="shared" si="8"/>
        <v>105</v>
      </c>
      <c r="H16" s="192" t="s">
        <v>0</v>
      </c>
      <c r="I16" s="125"/>
      <c r="J16" s="192" t="s">
        <v>0</v>
      </c>
      <c r="K16" s="209" t="str">
        <f>IF(I16="","",MAX(K$7:K15)+1)</f>
        <v/>
      </c>
      <c r="L16" s="208" t="str">
        <f t="shared" si="3"/>
        <v/>
      </c>
      <c r="M16" s="192" t="s">
        <v>0</v>
      </c>
      <c r="N16" s="210" t="str">
        <f t="shared" si="9"/>
        <v/>
      </c>
      <c r="O16" s="192" t="s">
        <v>0</v>
      </c>
      <c r="P16" s="209">
        <f>IF(G16="","",MAX(P$7:P15)+1)</f>
        <v>31</v>
      </c>
      <c r="Q16" s="207" t="str">
        <f t="shared" si="4"/>
        <v>NEMA</v>
      </c>
      <c r="R16" s="207">
        <f t="shared" si="10"/>
        <v>105</v>
      </c>
      <c r="S16" s="208">
        <f t="shared" si="5"/>
        <v>5</v>
      </c>
      <c r="T16" s="192" t="s">
        <v>0</v>
      </c>
      <c r="U16" s="155" t="str">
        <f t="shared" si="11"/>
        <v/>
      </c>
      <c r="V16" s="192" t="s">
        <v>0</v>
      </c>
      <c r="W16" s="155" t="str">
        <f t="shared" si="6"/>
        <v/>
      </c>
      <c r="X16" s="192" t="s">
        <v>0</v>
      </c>
    </row>
    <row r="17" spans="1:24" x14ac:dyDescent="0.25">
      <c r="A17" s="192" t="s">
        <v>0</v>
      </c>
      <c r="B17" s="205">
        <f t="shared" si="12"/>
        <v>10</v>
      </c>
      <c r="C17" s="206">
        <f t="shared" si="7"/>
        <v>10</v>
      </c>
      <c r="D17" s="154" t="str">
        <f t="shared" si="0"/>
        <v>M65</v>
      </c>
      <c r="E17" s="207">
        <f t="shared" si="1"/>
        <v>104</v>
      </c>
      <c r="F17" s="207" t="str">
        <f t="shared" si="2"/>
        <v/>
      </c>
      <c r="G17" s="208">
        <f t="shared" si="8"/>
        <v>104</v>
      </c>
      <c r="H17" s="192" t="s">
        <v>0</v>
      </c>
      <c r="I17" s="125"/>
      <c r="J17" s="192" t="s">
        <v>0</v>
      </c>
      <c r="K17" s="209" t="str">
        <f>IF(I17="","",MAX(K$7:K16)+1)</f>
        <v/>
      </c>
      <c r="L17" s="208" t="str">
        <f t="shared" si="3"/>
        <v/>
      </c>
      <c r="M17" s="192" t="s">
        <v>0</v>
      </c>
      <c r="N17" s="210" t="str">
        <f t="shared" si="9"/>
        <v/>
      </c>
      <c r="O17" s="192" t="s">
        <v>0</v>
      </c>
      <c r="P17" s="209">
        <f>IF(G17="","",MAX(P$7:P16)+1)</f>
        <v>32</v>
      </c>
      <c r="Q17" s="207" t="str">
        <f t="shared" si="4"/>
        <v>NEMA</v>
      </c>
      <c r="R17" s="207">
        <f t="shared" si="10"/>
        <v>104</v>
      </c>
      <c r="S17" s="208">
        <f t="shared" si="5"/>
        <v>4</v>
      </c>
      <c r="T17" s="192" t="s">
        <v>0</v>
      </c>
      <c r="U17" s="155" t="str">
        <f t="shared" si="11"/>
        <v/>
      </c>
      <c r="V17" s="192" t="s">
        <v>0</v>
      </c>
      <c r="W17" s="155" t="str">
        <f t="shared" si="6"/>
        <v/>
      </c>
      <c r="X17" s="192" t="s">
        <v>0</v>
      </c>
    </row>
    <row r="18" spans="1:24" x14ac:dyDescent="0.25">
      <c r="A18" s="192" t="s">
        <v>0</v>
      </c>
      <c r="B18" s="205">
        <f t="shared" si="12"/>
        <v>11</v>
      </c>
      <c r="C18" s="206">
        <f t="shared" si="7"/>
        <v>11</v>
      </c>
      <c r="D18" s="154" t="str">
        <f t="shared" si="0"/>
        <v>M70</v>
      </c>
      <c r="E18" s="207">
        <f t="shared" si="1"/>
        <v>103</v>
      </c>
      <c r="F18" s="207" t="str">
        <f t="shared" si="2"/>
        <v/>
      </c>
      <c r="G18" s="208">
        <f t="shared" si="8"/>
        <v>103</v>
      </c>
      <c r="H18" s="192" t="s">
        <v>0</v>
      </c>
      <c r="I18" s="125"/>
      <c r="J18" s="192" t="s">
        <v>0</v>
      </c>
      <c r="K18" s="209" t="str">
        <f>IF(I18="","",MAX(K$7:K17)+1)</f>
        <v/>
      </c>
      <c r="L18" s="208" t="str">
        <f t="shared" si="3"/>
        <v/>
      </c>
      <c r="M18" s="192" t="s">
        <v>0</v>
      </c>
      <c r="N18" s="210" t="str">
        <f t="shared" si="9"/>
        <v/>
      </c>
      <c r="O18" s="192" t="s">
        <v>0</v>
      </c>
      <c r="P18" s="209">
        <f>IF(G18="","",MAX(P$7:P17)+1)</f>
        <v>33</v>
      </c>
      <c r="Q18" s="207" t="str">
        <f t="shared" si="4"/>
        <v>NEMA</v>
      </c>
      <c r="R18" s="207">
        <f t="shared" si="10"/>
        <v>103</v>
      </c>
      <c r="S18" s="208">
        <f t="shared" si="5"/>
        <v>3</v>
      </c>
      <c r="T18" s="192" t="s">
        <v>0</v>
      </c>
      <c r="U18" s="155" t="str">
        <f t="shared" si="11"/>
        <v/>
      </c>
      <c r="V18" s="192" t="s">
        <v>0</v>
      </c>
      <c r="W18" s="155" t="str">
        <f t="shared" si="6"/>
        <v/>
      </c>
      <c r="X18" s="192" t="s">
        <v>0</v>
      </c>
    </row>
    <row r="19" spans="1:24" x14ac:dyDescent="0.25">
      <c r="A19" s="192" t="s">
        <v>0</v>
      </c>
      <c r="B19" s="205">
        <f t="shared" si="12"/>
        <v>12</v>
      </c>
      <c r="C19" s="206">
        <f t="shared" si="7"/>
        <v>12</v>
      </c>
      <c r="D19" s="154" t="str">
        <f t="shared" si="0"/>
        <v>OPEN</v>
      </c>
      <c r="E19" s="207" t="str">
        <f t="shared" si="1"/>
        <v>NEMA</v>
      </c>
      <c r="F19" s="207">
        <f t="shared" si="2"/>
        <v>291</v>
      </c>
      <c r="G19" s="208">
        <f t="shared" si="8"/>
        <v>291</v>
      </c>
      <c r="H19" s="192" t="s">
        <v>0</v>
      </c>
      <c r="I19" s="125"/>
      <c r="J19" s="192" t="s">
        <v>0</v>
      </c>
      <c r="K19" s="209" t="str">
        <f>IF(I19="","",MAX(K$7:K18)+1)</f>
        <v/>
      </c>
      <c r="L19" s="208" t="str">
        <f t="shared" si="3"/>
        <v/>
      </c>
      <c r="M19" s="192" t="s">
        <v>0</v>
      </c>
      <c r="N19" s="210" t="str">
        <f t="shared" si="9"/>
        <v/>
      </c>
      <c r="O19" s="192" t="s">
        <v>0</v>
      </c>
      <c r="P19" s="209">
        <f>IF(G19="","",MAX(P$7:P18)+1)</f>
        <v>34</v>
      </c>
      <c r="Q19" s="207" t="str">
        <f t="shared" si="4"/>
        <v>NEMA</v>
      </c>
      <c r="R19" s="207">
        <f t="shared" si="10"/>
        <v>291</v>
      </c>
      <c r="S19" s="208">
        <f t="shared" si="5"/>
        <v>23</v>
      </c>
      <c r="T19" s="192" t="s">
        <v>0</v>
      </c>
      <c r="U19" s="155" t="str">
        <f t="shared" si="11"/>
        <v/>
      </c>
      <c r="V19" s="192" t="s">
        <v>0</v>
      </c>
      <c r="W19" s="155" t="str">
        <f t="shared" si="6"/>
        <v/>
      </c>
      <c r="X19" s="192" t="s">
        <v>0</v>
      </c>
    </row>
    <row r="20" spans="1:24" x14ac:dyDescent="0.25">
      <c r="A20" s="192" t="s">
        <v>0</v>
      </c>
      <c r="B20" s="205">
        <f t="shared" si="12"/>
        <v>13</v>
      </c>
      <c r="C20" s="206">
        <f t="shared" si="7"/>
        <v>13</v>
      </c>
      <c r="D20" s="154" t="str">
        <f t="shared" si="0"/>
        <v>Ž12</v>
      </c>
      <c r="E20" s="207">
        <f t="shared" si="1"/>
        <v>122</v>
      </c>
      <c r="F20" s="207" t="str">
        <f t="shared" si="2"/>
        <v/>
      </c>
      <c r="G20" s="208">
        <f t="shared" si="8"/>
        <v>122</v>
      </c>
      <c r="H20" s="192" t="s">
        <v>0</v>
      </c>
      <c r="I20" s="125"/>
      <c r="J20" s="192" t="s">
        <v>0</v>
      </c>
      <c r="K20" s="209" t="str">
        <f>IF(I20="","",MAX(K$7:K19)+1)</f>
        <v/>
      </c>
      <c r="L20" s="208" t="str">
        <f t="shared" si="3"/>
        <v/>
      </c>
      <c r="M20" s="192" t="s">
        <v>0</v>
      </c>
      <c r="N20" s="210" t="str">
        <f t="shared" si="9"/>
        <v/>
      </c>
      <c r="O20" s="192" t="s">
        <v>0</v>
      </c>
      <c r="P20" s="209">
        <f>IF(G20="","",MAX(P$7:P19)+1)</f>
        <v>35</v>
      </c>
      <c r="Q20" s="207" t="str">
        <f t="shared" si="4"/>
        <v>NEMA</v>
      </c>
      <c r="R20" s="207">
        <f t="shared" si="10"/>
        <v>122</v>
      </c>
      <c r="S20" s="208">
        <f t="shared" si="5"/>
        <v>22</v>
      </c>
      <c r="T20" s="192" t="s">
        <v>0</v>
      </c>
      <c r="U20" s="155" t="str">
        <f t="shared" si="11"/>
        <v/>
      </c>
      <c r="V20" s="192" t="s">
        <v>0</v>
      </c>
      <c r="W20" s="155" t="str">
        <f t="shared" si="6"/>
        <v/>
      </c>
      <c r="X20" s="192" t="s">
        <v>0</v>
      </c>
    </row>
    <row r="21" spans="1:24" x14ac:dyDescent="0.25">
      <c r="A21" s="192" t="s">
        <v>0</v>
      </c>
      <c r="B21" s="205">
        <f t="shared" si="12"/>
        <v>14</v>
      </c>
      <c r="C21" s="206">
        <f t="shared" si="7"/>
        <v>14</v>
      </c>
      <c r="D21" s="154" t="str">
        <f t="shared" si="0"/>
        <v>Ž14</v>
      </c>
      <c r="E21" s="207">
        <f t="shared" si="1"/>
        <v>121</v>
      </c>
      <c r="F21" s="207" t="str">
        <f t="shared" si="2"/>
        <v/>
      </c>
      <c r="G21" s="208">
        <f t="shared" si="8"/>
        <v>121</v>
      </c>
      <c r="H21" s="192" t="s">
        <v>0</v>
      </c>
      <c r="I21" s="125"/>
      <c r="J21" s="192" t="s">
        <v>0</v>
      </c>
      <c r="K21" s="209" t="str">
        <f>IF(I21="","",MAX(K$7:K20)+1)</f>
        <v/>
      </c>
      <c r="L21" s="208" t="str">
        <f t="shared" si="3"/>
        <v/>
      </c>
      <c r="M21" s="192" t="s">
        <v>0</v>
      </c>
      <c r="N21" s="210" t="str">
        <f t="shared" si="9"/>
        <v/>
      </c>
      <c r="O21" s="192" t="s">
        <v>0</v>
      </c>
      <c r="P21" s="209">
        <f>IF(G21="","",MAX(P$7:P20)+1)</f>
        <v>36</v>
      </c>
      <c r="Q21" s="207" t="str">
        <f t="shared" si="4"/>
        <v>NEMA</v>
      </c>
      <c r="R21" s="207">
        <f t="shared" si="10"/>
        <v>121</v>
      </c>
      <c r="S21" s="208">
        <f t="shared" si="5"/>
        <v>21</v>
      </c>
      <c r="T21" s="192" t="s">
        <v>0</v>
      </c>
      <c r="U21" s="155" t="str">
        <f t="shared" si="11"/>
        <v/>
      </c>
      <c r="V21" s="192" t="s">
        <v>0</v>
      </c>
      <c r="W21" s="155" t="str">
        <f t="shared" si="6"/>
        <v/>
      </c>
      <c r="X21" s="192" t="s">
        <v>0</v>
      </c>
    </row>
    <row r="22" spans="1:24" x14ac:dyDescent="0.25">
      <c r="A22" s="192" t="s">
        <v>0</v>
      </c>
      <c r="B22" s="205">
        <f t="shared" si="12"/>
        <v>15</v>
      </c>
      <c r="C22" s="206">
        <f t="shared" si="7"/>
        <v>15</v>
      </c>
      <c r="D22" s="154" t="str">
        <f t="shared" si="0"/>
        <v>Ž16</v>
      </c>
      <c r="E22" s="207">
        <f t="shared" si="1"/>
        <v>120</v>
      </c>
      <c r="F22" s="207" t="str">
        <f t="shared" si="2"/>
        <v/>
      </c>
      <c r="G22" s="208">
        <f t="shared" si="8"/>
        <v>120</v>
      </c>
      <c r="H22" s="192" t="s">
        <v>0</v>
      </c>
      <c r="I22" s="125"/>
      <c r="J22" s="192" t="s">
        <v>0</v>
      </c>
      <c r="K22" s="209" t="str">
        <f>IF(I22="","",MAX(K$7:K21)+1)</f>
        <v/>
      </c>
      <c r="L22" s="208" t="str">
        <f t="shared" si="3"/>
        <v/>
      </c>
      <c r="M22" s="192" t="s">
        <v>0</v>
      </c>
      <c r="N22" s="210" t="str">
        <f t="shared" si="9"/>
        <v/>
      </c>
      <c r="O22" s="192" t="s">
        <v>0</v>
      </c>
      <c r="P22" s="209">
        <f>IF(G22="","",MAX(P$7:P21)+1)</f>
        <v>37</v>
      </c>
      <c r="Q22" s="207" t="str">
        <f t="shared" si="4"/>
        <v>NEMA</v>
      </c>
      <c r="R22" s="207">
        <f t="shared" si="10"/>
        <v>120</v>
      </c>
      <c r="S22" s="208">
        <f t="shared" si="5"/>
        <v>20</v>
      </c>
      <c r="T22" s="192" t="s">
        <v>0</v>
      </c>
      <c r="U22" s="155" t="str">
        <f t="shared" si="11"/>
        <v/>
      </c>
      <c r="V22" s="192" t="s">
        <v>0</v>
      </c>
      <c r="W22" s="155" t="str">
        <f t="shared" si="6"/>
        <v/>
      </c>
      <c r="X22" s="192" t="s">
        <v>0</v>
      </c>
    </row>
    <row r="23" spans="1:24" x14ac:dyDescent="0.25">
      <c r="A23" s="192" t="s">
        <v>0</v>
      </c>
      <c r="B23" s="205">
        <f t="shared" si="12"/>
        <v>16</v>
      </c>
      <c r="C23" s="206">
        <f t="shared" si="7"/>
        <v>16</v>
      </c>
      <c r="D23" s="154" t="str">
        <f t="shared" si="0"/>
        <v>Ž20</v>
      </c>
      <c r="E23" s="207">
        <f t="shared" si="1"/>
        <v>119</v>
      </c>
      <c r="F23" s="207" t="str">
        <f t="shared" si="2"/>
        <v/>
      </c>
      <c r="G23" s="208">
        <f t="shared" si="8"/>
        <v>119</v>
      </c>
      <c r="H23" s="192" t="s">
        <v>0</v>
      </c>
      <c r="I23" s="125"/>
      <c r="J23" s="192" t="s">
        <v>0</v>
      </c>
      <c r="K23" s="209" t="str">
        <f>IF(I23="","",MAX(K$7:K22)+1)</f>
        <v/>
      </c>
      <c r="L23" s="208" t="str">
        <f t="shared" si="3"/>
        <v/>
      </c>
      <c r="M23" s="192" t="s">
        <v>0</v>
      </c>
      <c r="N23" s="210" t="str">
        <f t="shared" si="9"/>
        <v/>
      </c>
      <c r="O23" s="192" t="s">
        <v>0</v>
      </c>
      <c r="P23" s="209">
        <f>IF(G23="","",MAX(P$7:P22)+1)</f>
        <v>38</v>
      </c>
      <c r="Q23" s="207" t="str">
        <f t="shared" si="4"/>
        <v>NEMA</v>
      </c>
      <c r="R23" s="207">
        <f t="shared" si="10"/>
        <v>119</v>
      </c>
      <c r="S23" s="208">
        <f t="shared" si="5"/>
        <v>19</v>
      </c>
      <c r="T23" s="192" t="s">
        <v>0</v>
      </c>
      <c r="U23" s="155" t="str">
        <f t="shared" si="11"/>
        <v/>
      </c>
      <c r="V23" s="192" t="s">
        <v>0</v>
      </c>
      <c r="W23" s="155" t="str">
        <f t="shared" si="6"/>
        <v/>
      </c>
      <c r="X23" s="192" t="s">
        <v>0</v>
      </c>
    </row>
    <row r="24" spans="1:24" x14ac:dyDescent="0.25">
      <c r="A24" s="192" t="s">
        <v>0</v>
      </c>
      <c r="B24" s="205">
        <f t="shared" si="12"/>
        <v>17</v>
      </c>
      <c r="C24" s="206">
        <f t="shared" si="7"/>
        <v>17</v>
      </c>
      <c r="D24" s="154" t="str">
        <f t="shared" si="0"/>
        <v>Ž21A</v>
      </c>
      <c r="E24" s="207">
        <f t="shared" si="1"/>
        <v>102</v>
      </c>
      <c r="F24" s="207" t="str">
        <f t="shared" si="2"/>
        <v/>
      </c>
      <c r="G24" s="208">
        <f t="shared" si="8"/>
        <v>102</v>
      </c>
      <c r="H24" s="192" t="s">
        <v>0</v>
      </c>
      <c r="I24" s="125"/>
      <c r="J24" s="192" t="s">
        <v>0</v>
      </c>
      <c r="K24" s="209" t="str">
        <f>IF(I24="","",MAX(K$7:K23)+1)</f>
        <v/>
      </c>
      <c r="L24" s="208" t="str">
        <f t="shared" si="3"/>
        <v/>
      </c>
      <c r="M24" s="192" t="s">
        <v>0</v>
      </c>
      <c r="N24" s="210" t="str">
        <f t="shared" si="9"/>
        <v/>
      </c>
      <c r="O24" s="192" t="s">
        <v>0</v>
      </c>
      <c r="P24" s="209">
        <f>IF(G24="","",MAX(P$7:P23)+1)</f>
        <v>39</v>
      </c>
      <c r="Q24" s="207" t="str">
        <f t="shared" si="4"/>
        <v>NEMA</v>
      </c>
      <c r="R24" s="207">
        <f t="shared" si="10"/>
        <v>102</v>
      </c>
      <c r="S24" s="208">
        <f t="shared" si="5"/>
        <v>2</v>
      </c>
      <c r="T24" s="192" t="s">
        <v>0</v>
      </c>
      <c r="U24" s="155" t="str">
        <f t="shared" si="11"/>
        <v/>
      </c>
      <c r="V24" s="192" t="s">
        <v>0</v>
      </c>
      <c r="W24" s="155" t="str">
        <f t="shared" si="6"/>
        <v/>
      </c>
      <c r="X24" s="192" t="s">
        <v>0</v>
      </c>
    </row>
    <row r="25" spans="1:24" x14ac:dyDescent="0.25">
      <c r="A25" s="192" t="s">
        <v>0</v>
      </c>
      <c r="B25" s="205">
        <f t="shared" si="12"/>
        <v>18</v>
      </c>
      <c r="C25" s="206">
        <f t="shared" si="7"/>
        <v>18</v>
      </c>
      <c r="D25" s="154" t="str">
        <f t="shared" si="0"/>
        <v>Ž21B</v>
      </c>
      <c r="E25" s="207">
        <f t="shared" si="1"/>
        <v>118</v>
      </c>
      <c r="F25" s="207" t="str">
        <f t="shared" si="2"/>
        <v/>
      </c>
      <c r="G25" s="208">
        <f t="shared" si="8"/>
        <v>118</v>
      </c>
      <c r="H25" s="192" t="s">
        <v>0</v>
      </c>
      <c r="I25" s="125"/>
      <c r="J25" s="192" t="s">
        <v>0</v>
      </c>
      <c r="K25" s="209" t="str">
        <f>IF(I25="","",MAX(K$7:K24)+1)</f>
        <v/>
      </c>
      <c r="L25" s="208" t="str">
        <f t="shared" si="3"/>
        <v/>
      </c>
      <c r="M25" s="192" t="s">
        <v>0</v>
      </c>
      <c r="N25" s="210" t="str">
        <f t="shared" si="9"/>
        <v/>
      </c>
      <c r="O25" s="192" t="s">
        <v>0</v>
      </c>
      <c r="P25" s="209">
        <f>IF(G25="","",MAX(P$7:P24)+1)</f>
        <v>40</v>
      </c>
      <c r="Q25" s="207" t="str">
        <f t="shared" si="4"/>
        <v>NEMA</v>
      </c>
      <c r="R25" s="207">
        <f t="shared" si="10"/>
        <v>118</v>
      </c>
      <c r="S25" s="208">
        <f t="shared" si="5"/>
        <v>18</v>
      </c>
      <c r="T25" s="192" t="s">
        <v>0</v>
      </c>
      <c r="U25" s="155" t="str">
        <f t="shared" si="11"/>
        <v/>
      </c>
      <c r="V25" s="192" t="s">
        <v>0</v>
      </c>
      <c r="W25" s="155" t="str">
        <f t="shared" si="6"/>
        <v/>
      </c>
      <c r="X25" s="192" t="s">
        <v>0</v>
      </c>
    </row>
    <row r="26" spans="1:24" x14ac:dyDescent="0.25">
      <c r="A26" s="192" t="s">
        <v>0</v>
      </c>
      <c r="B26" s="205">
        <f t="shared" si="12"/>
        <v>19</v>
      </c>
      <c r="C26" s="206">
        <f t="shared" si="7"/>
        <v>19</v>
      </c>
      <c r="D26" s="154" t="str">
        <f t="shared" si="0"/>
        <v>Ž35</v>
      </c>
      <c r="E26" s="207">
        <f t="shared" si="1"/>
        <v>117</v>
      </c>
      <c r="F26" s="207" t="str">
        <f t="shared" si="2"/>
        <v/>
      </c>
      <c r="G26" s="208">
        <f t="shared" si="8"/>
        <v>117</v>
      </c>
      <c r="H26" s="192" t="s">
        <v>0</v>
      </c>
      <c r="I26" s="125"/>
      <c r="J26" s="192" t="s">
        <v>0</v>
      </c>
      <c r="K26" s="209" t="str">
        <f>IF(I26="","",MAX(K$7:K25)+1)</f>
        <v/>
      </c>
      <c r="L26" s="208" t="str">
        <f t="shared" si="3"/>
        <v/>
      </c>
      <c r="M26" s="192" t="s">
        <v>0</v>
      </c>
      <c r="N26" s="210" t="str">
        <f t="shared" si="9"/>
        <v/>
      </c>
      <c r="O26" s="192" t="s">
        <v>0</v>
      </c>
      <c r="P26" s="209">
        <f>IF(G26="","",MAX(P$7:P25)+1)</f>
        <v>41</v>
      </c>
      <c r="Q26" s="207" t="str">
        <f t="shared" si="4"/>
        <v>NEMA</v>
      </c>
      <c r="R26" s="207">
        <f t="shared" si="10"/>
        <v>117</v>
      </c>
      <c r="S26" s="208">
        <f t="shared" si="5"/>
        <v>17</v>
      </c>
      <c r="T26" s="192" t="s">
        <v>0</v>
      </c>
      <c r="U26" s="155" t="str">
        <f t="shared" si="11"/>
        <v/>
      </c>
      <c r="V26" s="192" t="s">
        <v>0</v>
      </c>
      <c r="W26" s="155" t="str">
        <f t="shared" si="6"/>
        <v/>
      </c>
      <c r="X26" s="192" t="s">
        <v>0</v>
      </c>
    </row>
    <row r="27" spans="1:24" x14ac:dyDescent="0.25">
      <c r="A27" s="192" t="s">
        <v>0</v>
      </c>
      <c r="B27" s="205">
        <f t="shared" si="12"/>
        <v>20</v>
      </c>
      <c r="C27" s="206">
        <f t="shared" si="7"/>
        <v>20</v>
      </c>
      <c r="D27" s="154" t="str">
        <f t="shared" si="0"/>
        <v>Ž45</v>
      </c>
      <c r="E27" s="207">
        <f t="shared" si="1"/>
        <v>116</v>
      </c>
      <c r="F27" s="207" t="str">
        <f t="shared" si="2"/>
        <v/>
      </c>
      <c r="G27" s="208">
        <f t="shared" si="8"/>
        <v>116</v>
      </c>
      <c r="H27" s="192" t="s">
        <v>0</v>
      </c>
      <c r="I27" s="125"/>
      <c r="J27" s="192" t="s">
        <v>0</v>
      </c>
      <c r="K27" s="209" t="str">
        <f>IF(I27="","",MAX(K$7:K26)+1)</f>
        <v/>
      </c>
      <c r="L27" s="208" t="str">
        <f t="shared" si="3"/>
        <v/>
      </c>
      <c r="M27" s="192" t="s">
        <v>0</v>
      </c>
      <c r="N27" s="210" t="str">
        <f t="shared" si="9"/>
        <v/>
      </c>
      <c r="O27" s="192" t="s">
        <v>0</v>
      </c>
      <c r="P27" s="209">
        <f>IF(G27="","",MAX(P$7:P26)+1)</f>
        <v>42</v>
      </c>
      <c r="Q27" s="207" t="str">
        <f t="shared" si="4"/>
        <v>NEMA</v>
      </c>
      <c r="R27" s="207">
        <f t="shared" si="10"/>
        <v>116</v>
      </c>
      <c r="S27" s="208">
        <f t="shared" si="5"/>
        <v>16</v>
      </c>
      <c r="T27" s="192" t="s">
        <v>0</v>
      </c>
      <c r="U27" s="155" t="str">
        <f t="shared" si="11"/>
        <v/>
      </c>
      <c r="V27" s="192" t="s">
        <v>0</v>
      </c>
      <c r="W27" s="155" t="str">
        <f t="shared" si="6"/>
        <v/>
      </c>
      <c r="X27" s="192" t="s">
        <v>0</v>
      </c>
    </row>
    <row r="28" spans="1:24" x14ac:dyDescent="0.25">
      <c r="A28" s="192" t="s">
        <v>0</v>
      </c>
      <c r="B28" s="205">
        <f t="shared" si="12"/>
        <v>21</v>
      </c>
      <c r="C28" s="206">
        <f t="shared" si="7"/>
        <v>21</v>
      </c>
      <c r="D28" s="154" t="str">
        <f t="shared" si="0"/>
        <v>Ž55</v>
      </c>
      <c r="E28" s="207">
        <f t="shared" si="1"/>
        <v>115</v>
      </c>
      <c r="F28" s="207" t="str">
        <f t="shared" si="2"/>
        <v/>
      </c>
      <c r="G28" s="208">
        <f t="shared" si="8"/>
        <v>115</v>
      </c>
      <c r="H28" s="192" t="s">
        <v>0</v>
      </c>
      <c r="I28" s="125"/>
      <c r="J28" s="192" t="s">
        <v>0</v>
      </c>
      <c r="K28" s="209" t="str">
        <f>IF(I28="","",MAX(K$7:K27)+1)</f>
        <v/>
      </c>
      <c r="L28" s="208" t="str">
        <f t="shared" si="3"/>
        <v/>
      </c>
      <c r="M28" s="192" t="s">
        <v>0</v>
      </c>
      <c r="N28" s="210" t="str">
        <f t="shared" si="9"/>
        <v/>
      </c>
      <c r="O28" s="192" t="s">
        <v>0</v>
      </c>
      <c r="P28" s="209">
        <f>IF(G28="","",MAX(P$7:P27)+1)</f>
        <v>43</v>
      </c>
      <c r="Q28" s="207" t="str">
        <f t="shared" si="4"/>
        <v>NEMA</v>
      </c>
      <c r="R28" s="207">
        <f t="shared" si="10"/>
        <v>115</v>
      </c>
      <c r="S28" s="208">
        <f t="shared" si="5"/>
        <v>15</v>
      </c>
      <c r="T28" s="192" t="s">
        <v>0</v>
      </c>
      <c r="U28" s="155" t="str">
        <f t="shared" si="11"/>
        <v/>
      </c>
      <c r="V28" s="192" t="s">
        <v>0</v>
      </c>
      <c r="W28" s="155" t="str">
        <f t="shared" si="6"/>
        <v/>
      </c>
      <c r="X28" s="192" t="s">
        <v>0</v>
      </c>
    </row>
    <row r="29" spans="1:24" x14ac:dyDescent="0.25">
      <c r="A29" s="192" t="s">
        <v>0</v>
      </c>
      <c r="B29" s="205">
        <f t="shared" si="12"/>
        <v>22</v>
      </c>
      <c r="C29" s="206">
        <f t="shared" si="7"/>
        <v>22</v>
      </c>
      <c r="D29" s="154" t="str">
        <f t="shared" si="0"/>
        <v>Ž65</v>
      </c>
      <c r="E29" s="207">
        <f t="shared" si="1"/>
        <v>114</v>
      </c>
      <c r="F29" s="207" t="str">
        <f t="shared" si="2"/>
        <v/>
      </c>
      <c r="G29" s="208">
        <f t="shared" si="8"/>
        <v>114</v>
      </c>
      <c r="H29" s="192" t="s">
        <v>0</v>
      </c>
      <c r="I29" s="125"/>
      <c r="J29" s="192" t="s">
        <v>0</v>
      </c>
      <c r="K29" s="209" t="str">
        <f>IF(I29="","",MAX(K$7:K28)+1)</f>
        <v/>
      </c>
      <c r="L29" s="208" t="str">
        <f t="shared" si="3"/>
        <v/>
      </c>
      <c r="M29" s="192" t="s">
        <v>0</v>
      </c>
      <c r="N29" s="210" t="str">
        <f t="shared" si="9"/>
        <v/>
      </c>
      <c r="O29" s="192" t="s">
        <v>0</v>
      </c>
      <c r="P29" s="209">
        <f>IF(G29="","",MAX(P$7:P28)+1)</f>
        <v>44</v>
      </c>
      <c r="Q29" s="207" t="str">
        <f t="shared" si="4"/>
        <v>NEMA</v>
      </c>
      <c r="R29" s="207">
        <f t="shared" si="10"/>
        <v>114</v>
      </c>
      <c r="S29" s="208">
        <f t="shared" si="5"/>
        <v>14</v>
      </c>
      <c r="T29" s="192" t="s">
        <v>0</v>
      </c>
      <c r="U29" s="155" t="str">
        <f t="shared" si="11"/>
        <v/>
      </c>
      <c r="V29" s="192" t="s">
        <v>0</v>
      </c>
      <c r="W29" s="155" t="str">
        <f t="shared" si="6"/>
        <v/>
      </c>
      <c r="X29" s="192" t="s">
        <v>0</v>
      </c>
    </row>
    <row r="30" spans="1:24" x14ac:dyDescent="0.25">
      <c r="A30" s="192" t="s">
        <v>0</v>
      </c>
      <c r="B30" s="205">
        <f t="shared" si="12"/>
        <v>23</v>
      </c>
      <c r="C30" s="206">
        <f t="shared" si="7"/>
        <v>23</v>
      </c>
      <c r="D30" s="154" t="str">
        <f t="shared" si="0"/>
        <v>Ž70</v>
      </c>
      <c r="E30" s="207">
        <f t="shared" si="1"/>
        <v>113</v>
      </c>
      <c r="F30" s="207" t="str">
        <f t="shared" si="2"/>
        <v/>
      </c>
      <c r="G30" s="208">
        <f t="shared" si="8"/>
        <v>113</v>
      </c>
      <c r="H30" s="192" t="s">
        <v>0</v>
      </c>
      <c r="I30" s="125"/>
      <c r="J30" s="192" t="s">
        <v>0</v>
      </c>
      <c r="K30" s="209" t="str">
        <f>IF(I30="","",MAX(K$7:K29)+1)</f>
        <v/>
      </c>
      <c r="L30" s="208" t="str">
        <f t="shared" si="3"/>
        <v/>
      </c>
      <c r="M30" s="192" t="s">
        <v>0</v>
      </c>
      <c r="N30" s="210" t="str">
        <f t="shared" si="9"/>
        <v/>
      </c>
      <c r="O30" s="192" t="s">
        <v>0</v>
      </c>
      <c r="P30" s="209">
        <f>IF(G30="","",MAX(P$7:P29)+1)</f>
        <v>45</v>
      </c>
      <c r="Q30" s="207" t="str">
        <f t="shared" si="4"/>
        <v>NEMA</v>
      </c>
      <c r="R30" s="207">
        <f t="shared" si="10"/>
        <v>113</v>
      </c>
      <c r="S30" s="208">
        <f t="shared" si="5"/>
        <v>13</v>
      </c>
      <c r="T30" s="192" t="s">
        <v>0</v>
      </c>
      <c r="U30" s="155" t="str">
        <f t="shared" si="11"/>
        <v/>
      </c>
      <c r="V30" s="192" t="s">
        <v>0</v>
      </c>
      <c r="W30" s="155" t="str">
        <f t="shared" si="6"/>
        <v/>
      </c>
      <c r="X30" s="192" t="s">
        <v>0</v>
      </c>
    </row>
    <row r="31" spans="1:24" x14ac:dyDescent="0.25">
      <c r="A31" s="192" t="s">
        <v>0</v>
      </c>
      <c r="B31" s="205">
        <f t="shared" si="12"/>
        <v>24</v>
      </c>
      <c r="C31" s="206" t="str">
        <f t="shared" si="7"/>
        <v/>
      </c>
      <c r="D31" s="154" t="str">
        <f t="shared" si="0"/>
        <v/>
      </c>
      <c r="E31" s="207" t="str">
        <f t="shared" si="1"/>
        <v/>
      </c>
      <c r="F31" s="207" t="str">
        <f t="shared" si="2"/>
        <v/>
      </c>
      <c r="G31" s="208" t="str">
        <f t="shared" si="8"/>
        <v/>
      </c>
      <c r="H31" s="192" t="s">
        <v>0</v>
      </c>
      <c r="I31" s="125"/>
      <c r="J31" s="192" t="s">
        <v>0</v>
      </c>
      <c r="K31" s="209" t="str">
        <f>IF(I31="","",MAX(K$7:K30)+1)</f>
        <v/>
      </c>
      <c r="L31" s="208" t="str">
        <f t="shared" si="3"/>
        <v/>
      </c>
      <c r="M31" s="192" t="s">
        <v>0</v>
      </c>
      <c r="N31" s="210" t="str">
        <f t="shared" si="9"/>
        <v/>
      </c>
      <c r="O31" s="192" t="s">
        <v>0</v>
      </c>
      <c r="P31" s="209" t="str">
        <f>IF(G31="","",MAX(P$7:P30)+1)</f>
        <v/>
      </c>
      <c r="Q31" s="207" t="str">
        <f t="shared" si="4"/>
        <v/>
      </c>
      <c r="R31" s="207" t="str">
        <f t="shared" si="10"/>
        <v/>
      </c>
      <c r="S31" s="208" t="str">
        <f t="shared" si="5"/>
        <v/>
      </c>
      <c r="T31" s="192" t="s">
        <v>0</v>
      </c>
      <c r="U31" s="155" t="str">
        <f t="shared" si="11"/>
        <v/>
      </c>
      <c r="V31" s="192" t="s">
        <v>0</v>
      </c>
      <c r="W31" s="155" t="str">
        <f t="shared" si="6"/>
        <v/>
      </c>
      <c r="X31" s="192" t="s">
        <v>0</v>
      </c>
    </row>
    <row r="32" spans="1:24" x14ac:dyDescent="0.25">
      <c r="A32" s="192" t="s">
        <v>0</v>
      </c>
      <c r="B32" s="205">
        <f t="shared" si="12"/>
        <v>25</v>
      </c>
      <c r="C32" s="206" t="str">
        <f t="shared" si="7"/>
        <v/>
      </c>
      <c r="D32" s="154" t="str">
        <f t="shared" si="0"/>
        <v/>
      </c>
      <c r="E32" s="207" t="str">
        <f t="shared" si="1"/>
        <v/>
      </c>
      <c r="F32" s="207" t="str">
        <f t="shared" si="2"/>
        <v/>
      </c>
      <c r="G32" s="208" t="str">
        <f t="shared" si="8"/>
        <v/>
      </c>
      <c r="H32" s="192" t="s">
        <v>0</v>
      </c>
      <c r="I32" s="125"/>
      <c r="J32" s="192" t="s">
        <v>0</v>
      </c>
      <c r="K32" s="209" t="str">
        <f>IF(I32="","",MAX(K$7:K31)+1)</f>
        <v/>
      </c>
      <c r="L32" s="208" t="str">
        <f t="shared" si="3"/>
        <v/>
      </c>
      <c r="M32" s="192" t="s">
        <v>0</v>
      </c>
      <c r="N32" s="210" t="str">
        <f t="shared" si="9"/>
        <v/>
      </c>
      <c r="O32" s="192" t="s">
        <v>0</v>
      </c>
      <c r="P32" s="209" t="str">
        <f>IF(G32="","",MAX(P$7:P31)+1)</f>
        <v/>
      </c>
      <c r="Q32" s="207" t="str">
        <f t="shared" si="4"/>
        <v/>
      </c>
      <c r="R32" s="207" t="str">
        <f t="shared" si="10"/>
        <v/>
      </c>
      <c r="S32" s="208" t="str">
        <f t="shared" si="5"/>
        <v/>
      </c>
      <c r="T32" s="192" t="s">
        <v>0</v>
      </c>
      <c r="U32" s="155" t="str">
        <f t="shared" si="11"/>
        <v/>
      </c>
      <c r="V32" s="192" t="s">
        <v>0</v>
      </c>
      <c r="W32" s="155" t="str">
        <f t="shared" si="6"/>
        <v/>
      </c>
      <c r="X32" s="192" t="s">
        <v>0</v>
      </c>
    </row>
    <row r="33" spans="1:24" x14ac:dyDescent="0.25">
      <c r="A33" s="192" t="s">
        <v>0</v>
      </c>
      <c r="B33" s="205">
        <f t="shared" si="12"/>
        <v>26</v>
      </c>
      <c r="C33" s="206" t="str">
        <f t="shared" si="7"/>
        <v/>
      </c>
      <c r="D33" s="154" t="str">
        <f t="shared" si="0"/>
        <v/>
      </c>
      <c r="E33" s="207" t="str">
        <f t="shared" si="1"/>
        <v/>
      </c>
      <c r="F33" s="207" t="str">
        <f t="shared" si="2"/>
        <v/>
      </c>
      <c r="G33" s="208" t="str">
        <f t="shared" si="8"/>
        <v/>
      </c>
      <c r="H33" s="192" t="s">
        <v>0</v>
      </c>
      <c r="I33" s="125"/>
      <c r="J33" s="192" t="s">
        <v>0</v>
      </c>
      <c r="K33" s="209" t="str">
        <f>IF(I33="","",MAX(K$7:K32)+1)</f>
        <v/>
      </c>
      <c r="L33" s="208" t="str">
        <f t="shared" si="3"/>
        <v/>
      </c>
      <c r="M33" s="192" t="s">
        <v>0</v>
      </c>
      <c r="N33" s="210" t="str">
        <f t="shared" si="9"/>
        <v/>
      </c>
      <c r="O33" s="192" t="s">
        <v>0</v>
      </c>
      <c r="P33" s="209" t="str">
        <f>IF(G33="","",MAX(P$7:P32)+1)</f>
        <v/>
      </c>
      <c r="Q33" s="207" t="str">
        <f t="shared" si="4"/>
        <v/>
      </c>
      <c r="R33" s="207" t="str">
        <f t="shared" si="10"/>
        <v/>
      </c>
      <c r="S33" s="208" t="str">
        <f t="shared" si="5"/>
        <v/>
      </c>
      <c r="T33" s="192" t="s">
        <v>0</v>
      </c>
      <c r="U33" s="155" t="str">
        <f t="shared" si="11"/>
        <v/>
      </c>
      <c r="V33" s="192" t="s">
        <v>0</v>
      </c>
      <c r="W33" s="155" t="str">
        <f t="shared" si="6"/>
        <v/>
      </c>
      <c r="X33" s="192" t="s">
        <v>0</v>
      </c>
    </row>
    <row r="34" spans="1:24" x14ac:dyDescent="0.25">
      <c r="A34" s="192" t="s">
        <v>0</v>
      </c>
      <c r="B34" s="205">
        <f t="shared" si="12"/>
        <v>27</v>
      </c>
      <c r="C34" s="206" t="str">
        <f t="shared" si="7"/>
        <v/>
      </c>
      <c r="D34" s="154" t="str">
        <f t="shared" si="0"/>
        <v/>
      </c>
      <c r="E34" s="207" t="str">
        <f t="shared" si="1"/>
        <v/>
      </c>
      <c r="F34" s="207" t="str">
        <f t="shared" si="2"/>
        <v/>
      </c>
      <c r="G34" s="208" t="str">
        <f t="shared" si="8"/>
        <v/>
      </c>
      <c r="H34" s="192" t="s">
        <v>0</v>
      </c>
      <c r="I34" s="125"/>
      <c r="J34" s="192" t="s">
        <v>0</v>
      </c>
      <c r="K34" s="209" t="str">
        <f>IF(I34="","",MAX(K$7:K33)+1)</f>
        <v/>
      </c>
      <c r="L34" s="208" t="str">
        <f t="shared" si="3"/>
        <v/>
      </c>
      <c r="M34" s="192" t="s">
        <v>0</v>
      </c>
      <c r="N34" s="210" t="str">
        <f t="shared" si="9"/>
        <v/>
      </c>
      <c r="O34" s="192" t="s">
        <v>0</v>
      </c>
      <c r="P34" s="209" t="str">
        <f>IF(G34="","",MAX(P$7:P33)+1)</f>
        <v/>
      </c>
      <c r="Q34" s="207" t="str">
        <f t="shared" si="4"/>
        <v/>
      </c>
      <c r="R34" s="207" t="str">
        <f t="shared" si="10"/>
        <v/>
      </c>
      <c r="S34" s="208" t="str">
        <f t="shared" si="5"/>
        <v/>
      </c>
      <c r="T34" s="192" t="s">
        <v>0</v>
      </c>
      <c r="U34" s="155" t="str">
        <f t="shared" si="11"/>
        <v/>
      </c>
      <c r="V34" s="192" t="s">
        <v>0</v>
      </c>
      <c r="W34" s="155" t="str">
        <f t="shared" si="6"/>
        <v/>
      </c>
      <c r="X34" s="192" t="s">
        <v>0</v>
      </c>
    </row>
    <row r="35" spans="1:24" x14ac:dyDescent="0.25">
      <c r="A35" s="192" t="s">
        <v>0</v>
      </c>
      <c r="B35" s="205">
        <f t="shared" si="12"/>
        <v>28</v>
      </c>
      <c r="C35" s="206" t="str">
        <f t="shared" si="7"/>
        <v/>
      </c>
      <c r="D35" s="154" t="str">
        <f t="shared" si="0"/>
        <v/>
      </c>
      <c r="E35" s="207" t="str">
        <f t="shared" si="1"/>
        <v/>
      </c>
      <c r="F35" s="207" t="str">
        <f t="shared" si="2"/>
        <v/>
      </c>
      <c r="G35" s="208" t="str">
        <f t="shared" si="8"/>
        <v/>
      </c>
      <c r="H35" s="192" t="s">
        <v>0</v>
      </c>
      <c r="I35" s="125"/>
      <c r="J35" s="192" t="s">
        <v>0</v>
      </c>
      <c r="K35" s="209" t="str">
        <f>IF(I35="","",MAX(K$7:K34)+1)</f>
        <v/>
      </c>
      <c r="L35" s="208" t="str">
        <f t="shared" si="3"/>
        <v/>
      </c>
      <c r="M35" s="192" t="s">
        <v>0</v>
      </c>
      <c r="N35" s="210" t="str">
        <f t="shared" si="9"/>
        <v/>
      </c>
      <c r="O35" s="192" t="s">
        <v>0</v>
      </c>
      <c r="P35" s="209" t="str">
        <f>IF(G35="","",MAX(P$7:P34)+1)</f>
        <v/>
      </c>
      <c r="Q35" s="207" t="str">
        <f t="shared" si="4"/>
        <v/>
      </c>
      <c r="R35" s="207" t="str">
        <f t="shared" si="10"/>
        <v/>
      </c>
      <c r="S35" s="208" t="str">
        <f t="shared" si="5"/>
        <v/>
      </c>
      <c r="T35" s="192" t="s">
        <v>0</v>
      </c>
      <c r="U35" s="155" t="str">
        <f t="shared" si="11"/>
        <v/>
      </c>
      <c r="V35" s="192" t="s">
        <v>0</v>
      </c>
      <c r="W35" s="155" t="str">
        <f t="shared" si="6"/>
        <v/>
      </c>
      <c r="X35" s="192" t="s">
        <v>0</v>
      </c>
    </row>
    <row r="36" spans="1:24" x14ac:dyDescent="0.25">
      <c r="A36" s="192" t="s">
        <v>0</v>
      </c>
      <c r="B36" s="205">
        <f t="shared" si="12"/>
        <v>29</v>
      </c>
      <c r="C36" s="206" t="str">
        <f t="shared" si="7"/>
        <v/>
      </c>
      <c r="D36" s="154" t="str">
        <f t="shared" si="0"/>
        <v/>
      </c>
      <c r="E36" s="207" t="str">
        <f t="shared" si="1"/>
        <v/>
      </c>
      <c r="F36" s="207" t="str">
        <f t="shared" si="2"/>
        <v/>
      </c>
      <c r="G36" s="208" t="str">
        <f t="shared" si="8"/>
        <v/>
      </c>
      <c r="H36" s="192" t="s">
        <v>0</v>
      </c>
      <c r="I36" s="125"/>
      <c r="J36" s="192" t="s">
        <v>0</v>
      </c>
      <c r="K36" s="209" t="str">
        <f>IF(I36="","",MAX(K$7:K35)+1)</f>
        <v/>
      </c>
      <c r="L36" s="208" t="str">
        <f t="shared" si="3"/>
        <v/>
      </c>
      <c r="M36" s="192" t="s">
        <v>0</v>
      </c>
      <c r="N36" s="210" t="str">
        <f t="shared" si="9"/>
        <v/>
      </c>
      <c r="O36" s="192" t="s">
        <v>0</v>
      </c>
      <c r="P36" s="209" t="str">
        <f>IF(G36="","",MAX(P$7:P35)+1)</f>
        <v/>
      </c>
      <c r="Q36" s="207" t="str">
        <f t="shared" si="4"/>
        <v/>
      </c>
      <c r="R36" s="207" t="str">
        <f t="shared" si="10"/>
        <v/>
      </c>
      <c r="S36" s="208" t="str">
        <f t="shared" si="5"/>
        <v/>
      </c>
      <c r="T36" s="192" t="s">
        <v>0</v>
      </c>
      <c r="U36" s="155" t="str">
        <f t="shared" si="11"/>
        <v/>
      </c>
      <c r="V36" s="192" t="s">
        <v>0</v>
      </c>
      <c r="W36" s="155" t="str">
        <f t="shared" si="6"/>
        <v/>
      </c>
      <c r="X36" s="192" t="s">
        <v>0</v>
      </c>
    </row>
    <row r="37" spans="1:24" x14ac:dyDescent="0.25">
      <c r="A37" s="192" t="s">
        <v>0</v>
      </c>
      <c r="B37" s="205">
        <f t="shared" si="12"/>
        <v>30</v>
      </c>
      <c r="C37" s="206" t="str">
        <f t="shared" si="7"/>
        <v/>
      </c>
      <c r="D37" s="154" t="str">
        <f t="shared" si="0"/>
        <v/>
      </c>
      <c r="E37" s="207" t="str">
        <f t="shared" si="1"/>
        <v/>
      </c>
      <c r="F37" s="207" t="str">
        <f t="shared" si="2"/>
        <v/>
      </c>
      <c r="G37" s="208" t="str">
        <f t="shared" si="8"/>
        <v/>
      </c>
      <c r="H37" s="192" t="s">
        <v>0</v>
      </c>
      <c r="I37" s="125"/>
      <c r="J37" s="192" t="s">
        <v>0</v>
      </c>
      <c r="K37" s="209" t="str">
        <f>IF(I37="","",MAX(K$7:K36)+1)</f>
        <v/>
      </c>
      <c r="L37" s="208" t="str">
        <f t="shared" si="3"/>
        <v/>
      </c>
      <c r="M37" s="192" t="s">
        <v>0</v>
      </c>
      <c r="N37" s="210" t="str">
        <f t="shared" si="9"/>
        <v/>
      </c>
      <c r="O37" s="192" t="s">
        <v>0</v>
      </c>
      <c r="P37" s="209" t="str">
        <f>IF(G37="","",MAX(P$7:P36)+1)</f>
        <v/>
      </c>
      <c r="Q37" s="207" t="str">
        <f t="shared" si="4"/>
        <v/>
      </c>
      <c r="R37" s="207" t="str">
        <f t="shared" si="10"/>
        <v/>
      </c>
      <c r="S37" s="208" t="str">
        <f t="shared" si="5"/>
        <v/>
      </c>
      <c r="T37" s="192" t="s">
        <v>0</v>
      </c>
      <c r="U37" s="155" t="str">
        <f t="shared" si="11"/>
        <v/>
      </c>
      <c r="V37" s="192" t="s">
        <v>0</v>
      </c>
      <c r="W37" s="155" t="str">
        <f t="shared" si="6"/>
        <v/>
      </c>
      <c r="X37" s="192" t="s">
        <v>0</v>
      </c>
    </row>
    <row r="38" spans="1:24" x14ac:dyDescent="0.25">
      <c r="A38" s="192" t="s">
        <v>0</v>
      </c>
      <c r="B38" s="205">
        <f t="shared" si="12"/>
        <v>31</v>
      </c>
      <c r="C38" s="206" t="str">
        <f t="shared" si="7"/>
        <v/>
      </c>
      <c r="D38" s="154" t="str">
        <f t="shared" si="0"/>
        <v/>
      </c>
      <c r="E38" s="207" t="str">
        <f t="shared" si="1"/>
        <v/>
      </c>
      <c r="F38" s="207" t="str">
        <f t="shared" si="2"/>
        <v/>
      </c>
      <c r="G38" s="208" t="str">
        <f t="shared" si="8"/>
        <v/>
      </c>
      <c r="H38" s="192" t="s">
        <v>0</v>
      </c>
      <c r="I38" s="125"/>
      <c r="J38" s="192" t="s">
        <v>0</v>
      </c>
      <c r="K38" s="209" t="str">
        <f>IF(I38="","",MAX(K$7:K37)+1)</f>
        <v/>
      </c>
      <c r="L38" s="208" t="str">
        <f t="shared" si="3"/>
        <v/>
      </c>
      <c r="M38" s="192" t="s">
        <v>0</v>
      </c>
      <c r="N38" s="210" t="str">
        <f t="shared" si="9"/>
        <v/>
      </c>
      <c r="O38" s="192" t="s">
        <v>0</v>
      </c>
      <c r="P38" s="209" t="str">
        <f>IF(G38="","",MAX(P$7:P37)+1)</f>
        <v/>
      </c>
      <c r="Q38" s="207" t="str">
        <f t="shared" si="4"/>
        <v/>
      </c>
      <c r="R38" s="207" t="str">
        <f t="shared" si="10"/>
        <v/>
      </c>
      <c r="S38" s="208" t="str">
        <f t="shared" si="5"/>
        <v/>
      </c>
      <c r="T38" s="192" t="s">
        <v>0</v>
      </c>
      <c r="U38" s="155" t="str">
        <f t="shared" si="11"/>
        <v/>
      </c>
      <c r="V38" s="192" t="s">
        <v>0</v>
      </c>
      <c r="W38" s="155" t="str">
        <f t="shared" si="6"/>
        <v/>
      </c>
      <c r="X38" s="192" t="s">
        <v>0</v>
      </c>
    </row>
    <row r="39" spans="1:24" x14ac:dyDescent="0.25">
      <c r="A39" s="192" t="s">
        <v>0</v>
      </c>
      <c r="B39" s="205">
        <f t="shared" si="12"/>
        <v>32</v>
      </c>
      <c r="C39" s="206" t="str">
        <f t="shared" si="7"/>
        <v/>
      </c>
      <c r="D39" s="154" t="str">
        <f t="shared" si="0"/>
        <v/>
      </c>
      <c r="E39" s="207" t="str">
        <f t="shared" si="1"/>
        <v/>
      </c>
      <c r="F39" s="207" t="str">
        <f t="shared" si="2"/>
        <v/>
      </c>
      <c r="G39" s="208" t="str">
        <f t="shared" si="8"/>
        <v/>
      </c>
      <c r="H39" s="192" t="s">
        <v>0</v>
      </c>
      <c r="I39" s="125"/>
      <c r="J39" s="192" t="s">
        <v>0</v>
      </c>
      <c r="K39" s="209" t="str">
        <f>IF(I39="","",MAX(K$7:K38)+1)</f>
        <v/>
      </c>
      <c r="L39" s="208" t="str">
        <f t="shared" si="3"/>
        <v/>
      </c>
      <c r="M39" s="192" t="s">
        <v>0</v>
      </c>
      <c r="N39" s="210" t="str">
        <f t="shared" si="9"/>
        <v/>
      </c>
      <c r="O39" s="192" t="s">
        <v>0</v>
      </c>
      <c r="P39" s="209" t="str">
        <f>IF(G39="","",MAX(P$7:P38)+1)</f>
        <v/>
      </c>
      <c r="Q39" s="207" t="str">
        <f t="shared" si="4"/>
        <v/>
      </c>
      <c r="R39" s="207" t="str">
        <f t="shared" si="10"/>
        <v/>
      </c>
      <c r="S39" s="208" t="str">
        <f t="shared" si="5"/>
        <v/>
      </c>
      <c r="T39" s="192" t="s">
        <v>0</v>
      </c>
      <c r="U39" s="155" t="str">
        <f t="shared" si="11"/>
        <v/>
      </c>
      <c r="V39" s="192" t="s">
        <v>0</v>
      </c>
      <c r="W39" s="155" t="str">
        <f t="shared" si="6"/>
        <v/>
      </c>
      <c r="X39" s="192" t="s">
        <v>0</v>
      </c>
    </row>
    <row r="40" spans="1:24" x14ac:dyDescent="0.25">
      <c r="A40" s="192" t="s">
        <v>0</v>
      </c>
      <c r="B40" s="205">
        <f t="shared" si="12"/>
        <v>33</v>
      </c>
      <c r="C40" s="206" t="str">
        <f t="shared" si="7"/>
        <v/>
      </c>
      <c r="D40" s="154" t="str">
        <f t="shared" ref="D40:D57" si="13">IFERROR(INDEX(nat_kategorija,MATCH(B40,nat_katnatid,0)),"")</f>
        <v/>
      </c>
      <c r="E40" s="207" t="str">
        <f t="shared" ref="E40:E57" si="14">IF(D40="","",IFERROR(INDEX(regKategorija_id,MATCH(D40,regKategorija_oznaka,0)),"NEMA"))</f>
        <v/>
      </c>
      <c r="F40" s="207" t="str">
        <f t="shared" ref="F40:F57" si="15">IF(E40&lt;&gt;"NEMA","",IFERROR(INDEX(regKategorija_alias_id,MATCH(D40,regKategorija_alias_oznaka,0)),"NEMA"))</f>
        <v/>
      </c>
      <c r="G40" s="208" t="str">
        <f t="shared" si="8"/>
        <v/>
      </c>
      <c r="H40" s="192" t="s">
        <v>0</v>
      </c>
      <c r="I40" s="125"/>
      <c r="J40" s="192" t="s">
        <v>0</v>
      </c>
      <c r="K40" s="209" t="str">
        <f>IF(I40="","",MAX(K$7:K39)+1)</f>
        <v/>
      </c>
      <c r="L40" s="208" t="str">
        <f t="shared" ref="L40:L57" si="16">IF(I40="","",IFERROR(INDEX(regKategorija_id,MATCH(I40,regKategorija_oznaka,0)),"NEMA"))</f>
        <v/>
      </c>
      <c r="M40" s="192" t="s">
        <v>0</v>
      </c>
      <c r="N40" s="210" t="str">
        <f t="shared" si="9"/>
        <v/>
      </c>
      <c r="O40" s="192" t="s">
        <v>0</v>
      </c>
      <c r="P40" s="209" t="str">
        <f>IF(G40="","",MAX(P$7:P39)+1)</f>
        <v/>
      </c>
      <c r="Q40" s="207" t="str">
        <f t="shared" ref="Q40:Q57" si="17">IF(G40="","",IFERROR(INDEX(natjecanjeStaze_stazaId,MATCH(D40,natStaza_kategorija,0)),"NEMA"))</f>
        <v/>
      </c>
      <c r="R40" s="207" t="str">
        <f t="shared" si="10"/>
        <v/>
      </c>
      <c r="S40" s="208" t="str">
        <f t="shared" ref="S40:S57" si="18">IF(G40="","",INDEX(regKategorija_rbr,MATCH(R40,regKategorija_id,0)))</f>
        <v/>
      </c>
      <c r="T40" s="192" t="s">
        <v>0</v>
      </c>
      <c r="U40" s="155" t="str">
        <f t="shared" si="11"/>
        <v/>
      </c>
      <c r="V40" s="192" t="s">
        <v>0</v>
      </c>
      <c r="W40" s="155" t="str">
        <f t="shared" si="6"/>
        <v/>
      </c>
      <c r="X40" s="192" t="s">
        <v>0</v>
      </c>
    </row>
    <row r="41" spans="1:24" x14ac:dyDescent="0.25">
      <c r="A41" s="192" t="s">
        <v>0</v>
      </c>
      <c r="B41" s="205">
        <f t="shared" si="12"/>
        <v>34</v>
      </c>
      <c r="C41" s="206" t="str">
        <f t="shared" si="7"/>
        <v/>
      </c>
      <c r="D41" s="154" t="str">
        <f t="shared" si="13"/>
        <v/>
      </c>
      <c r="E41" s="207" t="str">
        <f t="shared" si="14"/>
        <v/>
      </c>
      <c r="F41" s="207" t="str">
        <f t="shared" si="15"/>
        <v/>
      </c>
      <c r="G41" s="208" t="str">
        <f t="shared" si="8"/>
        <v/>
      </c>
      <c r="H41" s="192" t="s">
        <v>0</v>
      </c>
      <c r="I41" s="125"/>
      <c r="J41" s="192" t="s">
        <v>0</v>
      </c>
      <c r="K41" s="209" t="str">
        <f>IF(I41="","",MAX(K$7:K40)+1)</f>
        <v/>
      </c>
      <c r="L41" s="208" t="str">
        <f t="shared" si="16"/>
        <v/>
      </c>
      <c r="M41" s="192" t="s">
        <v>0</v>
      </c>
      <c r="N41" s="210" t="str">
        <f t="shared" si="9"/>
        <v/>
      </c>
      <c r="O41" s="192" t="s">
        <v>0</v>
      </c>
      <c r="P41" s="209" t="str">
        <f>IF(G41="","",MAX(P$7:P40)+1)</f>
        <v/>
      </c>
      <c r="Q41" s="207" t="str">
        <f t="shared" si="17"/>
        <v/>
      </c>
      <c r="R41" s="207" t="str">
        <f t="shared" si="10"/>
        <v/>
      </c>
      <c r="S41" s="208" t="str">
        <f t="shared" si="18"/>
        <v/>
      </c>
      <c r="T41" s="192" t="s">
        <v>0</v>
      </c>
      <c r="U41" s="155" t="str">
        <f t="shared" si="11"/>
        <v/>
      </c>
      <c r="V41" s="192" t="s">
        <v>0</v>
      </c>
      <c r="W41" s="155" t="str">
        <f t="shared" si="6"/>
        <v/>
      </c>
      <c r="X41" s="192" t="s">
        <v>0</v>
      </c>
    </row>
    <row r="42" spans="1:24" x14ac:dyDescent="0.25">
      <c r="A42" s="192" t="s">
        <v>0</v>
      </c>
      <c r="B42" s="205">
        <f t="shared" si="12"/>
        <v>35</v>
      </c>
      <c r="C42" s="206" t="str">
        <f t="shared" si="7"/>
        <v/>
      </c>
      <c r="D42" s="154" t="str">
        <f t="shared" si="13"/>
        <v/>
      </c>
      <c r="E42" s="207" t="str">
        <f t="shared" si="14"/>
        <v/>
      </c>
      <c r="F42" s="207" t="str">
        <f t="shared" si="15"/>
        <v/>
      </c>
      <c r="G42" s="208" t="str">
        <f t="shared" si="8"/>
        <v/>
      </c>
      <c r="H42" s="192" t="s">
        <v>0</v>
      </c>
      <c r="I42" s="125"/>
      <c r="J42" s="192" t="s">
        <v>0</v>
      </c>
      <c r="K42" s="209" t="str">
        <f>IF(I42="","",MAX(K$7:K41)+1)</f>
        <v/>
      </c>
      <c r="L42" s="208" t="str">
        <f t="shared" si="16"/>
        <v/>
      </c>
      <c r="M42" s="192" t="s">
        <v>0</v>
      </c>
      <c r="N42" s="210" t="str">
        <f t="shared" si="9"/>
        <v/>
      </c>
      <c r="O42" s="192" t="s">
        <v>0</v>
      </c>
      <c r="P42" s="209" t="str">
        <f>IF(G42="","",MAX(P$7:P41)+1)</f>
        <v/>
      </c>
      <c r="Q42" s="207" t="str">
        <f t="shared" si="17"/>
        <v/>
      </c>
      <c r="R42" s="207" t="str">
        <f t="shared" si="10"/>
        <v/>
      </c>
      <c r="S42" s="208" t="str">
        <f t="shared" si="18"/>
        <v/>
      </c>
      <c r="T42" s="192" t="s">
        <v>0</v>
      </c>
      <c r="U42" s="155" t="str">
        <f t="shared" si="11"/>
        <v/>
      </c>
      <c r="V42" s="192" t="s">
        <v>0</v>
      </c>
      <c r="W42" s="155" t="str">
        <f t="shared" si="6"/>
        <v/>
      </c>
      <c r="X42" s="192" t="s">
        <v>0</v>
      </c>
    </row>
    <row r="43" spans="1:24" x14ac:dyDescent="0.25">
      <c r="A43" s="192" t="s">
        <v>0</v>
      </c>
      <c r="B43" s="205">
        <f t="shared" si="12"/>
        <v>36</v>
      </c>
      <c r="C43" s="206" t="str">
        <f t="shared" si="7"/>
        <v/>
      </c>
      <c r="D43" s="154" t="str">
        <f t="shared" si="13"/>
        <v/>
      </c>
      <c r="E43" s="207" t="str">
        <f t="shared" si="14"/>
        <v/>
      </c>
      <c r="F43" s="207" t="str">
        <f t="shared" si="15"/>
        <v/>
      </c>
      <c r="G43" s="208" t="str">
        <f t="shared" si="8"/>
        <v/>
      </c>
      <c r="H43" s="192" t="s">
        <v>0</v>
      </c>
      <c r="I43" s="125"/>
      <c r="J43" s="192" t="s">
        <v>0</v>
      </c>
      <c r="K43" s="209" t="str">
        <f>IF(I43="","",MAX(K$7:K42)+1)</f>
        <v/>
      </c>
      <c r="L43" s="208" t="str">
        <f t="shared" si="16"/>
        <v/>
      </c>
      <c r="M43" s="192" t="s">
        <v>0</v>
      </c>
      <c r="N43" s="210" t="str">
        <f t="shared" si="9"/>
        <v/>
      </c>
      <c r="O43" s="192" t="s">
        <v>0</v>
      </c>
      <c r="P43" s="209" t="str">
        <f>IF(G43="","",MAX(P$7:P42)+1)</f>
        <v/>
      </c>
      <c r="Q43" s="207" t="str">
        <f t="shared" si="17"/>
        <v/>
      </c>
      <c r="R43" s="207" t="str">
        <f t="shared" si="10"/>
        <v/>
      </c>
      <c r="S43" s="208" t="str">
        <f t="shared" si="18"/>
        <v/>
      </c>
      <c r="T43" s="192" t="s">
        <v>0</v>
      </c>
      <c r="U43" s="155" t="str">
        <f t="shared" si="11"/>
        <v/>
      </c>
      <c r="V43" s="192" t="s">
        <v>0</v>
      </c>
      <c r="W43" s="155" t="str">
        <f t="shared" si="6"/>
        <v/>
      </c>
      <c r="X43" s="192" t="s">
        <v>0</v>
      </c>
    </row>
    <row r="44" spans="1:24" x14ac:dyDescent="0.25">
      <c r="A44" s="192" t="s">
        <v>0</v>
      </c>
      <c r="B44" s="205">
        <f t="shared" si="12"/>
        <v>37</v>
      </c>
      <c r="C44" s="206" t="str">
        <f t="shared" si="7"/>
        <v/>
      </c>
      <c r="D44" s="154" t="str">
        <f t="shared" si="13"/>
        <v/>
      </c>
      <c r="E44" s="207" t="str">
        <f t="shared" si="14"/>
        <v/>
      </c>
      <c r="F44" s="207" t="str">
        <f t="shared" si="15"/>
        <v/>
      </c>
      <c r="G44" s="208" t="str">
        <f t="shared" si="8"/>
        <v/>
      </c>
      <c r="H44" s="192" t="s">
        <v>0</v>
      </c>
      <c r="I44" s="125"/>
      <c r="J44" s="192" t="s">
        <v>0</v>
      </c>
      <c r="K44" s="209" t="str">
        <f>IF(I44="","",MAX(K$7:K43)+1)</f>
        <v/>
      </c>
      <c r="L44" s="208" t="str">
        <f t="shared" si="16"/>
        <v/>
      </c>
      <c r="M44" s="192" t="s">
        <v>0</v>
      </c>
      <c r="N44" s="210" t="str">
        <f t="shared" si="9"/>
        <v/>
      </c>
      <c r="O44" s="192" t="s">
        <v>0</v>
      </c>
      <c r="P44" s="209" t="str">
        <f>IF(G44="","",MAX(P$7:P43)+1)</f>
        <v/>
      </c>
      <c r="Q44" s="207" t="str">
        <f t="shared" si="17"/>
        <v/>
      </c>
      <c r="R44" s="207" t="str">
        <f t="shared" si="10"/>
        <v/>
      </c>
      <c r="S44" s="208" t="str">
        <f t="shared" si="18"/>
        <v/>
      </c>
      <c r="T44" s="192" t="s">
        <v>0</v>
      </c>
      <c r="U44" s="155" t="str">
        <f t="shared" si="11"/>
        <v/>
      </c>
      <c r="V44" s="192" t="s">
        <v>0</v>
      </c>
      <c r="W44" s="155" t="str">
        <f t="shared" si="6"/>
        <v/>
      </c>
      <c r="X44" s="192" t="s">
        <v>0</v>
      </c>
    </row>
    <row r="45" spans="1:24" x14ac:dyDescent="0.25">
      <c r="A45" s="192" t="s">
        <v>0</v>
      </c>
      <c r="B45" s="205">
        <f t="shared" si="12"/>
        <v>38</v>
      </c>
      <c r="C45" s="206" t="str">
        <f t="shared" si="7"/>
        <v/>
      </c>
      <c r="D45" s="154" t="str">
        <f t="shared" si="13"/>
        <v/>
      </c>
      <c r="E45" s="207" t="str">
        <f t="shared" si="14"/>
        <v/>
      </c>
      <c r="F45" s="207" t="str">
        <f t="shared" si="15"/>
        <v/>
      </c>
      <c r="G45" s="208" t="str">
        <f t="shared" si="8"/>
        <v/>
      </c>
      <c r="H45" s="192" t="s">
        <v>0</v>
      </c>
      <c r="I45" s="125"/>
      <c r="J45" s="192" t="s">
        <v>0</v>
      </c>
      <c r="K45" s="209" t="str">
        <f>IF(I45="","",MAX(K$7:K44)+1)</f>
        <v/>
      </c>
      <c r="L45" s="208" t="str">
        <f t="shared" si="16"/>
        <v/>
      </c>
      <c r="M45" s="192" t="s">
        <v>0</v>
      </c>
      <c r="N45" s="210" t="str">
        <f t="shared" si="9"/>
        <v/>
      </c>
      <c r="O45" s="192" t="s">
        <v>0</v>
      </c>
      <c r="P45" s="209" t="str">
        <f>IF(G45="","",MAX(P$7:P44)+1)</f>
        <v/>
      </c>
      <c r="Q45" s="207" t="str">
        <f t="shared" si="17"/>
        <v/>
      </c>
      <c r="R45" s="207" t="str">
        <f t="shared" si="10"/>
        <v/>
      </c>
      <c r="S45" s="208" t="str">
        <f t="shared" si="18"/>
        <v/>
      </c>
      <c r="T45" s="192" t="s">
        <v>0</v>
      </c>
      <c r="U45" s="155" t="str">
        <f t="shared" si="11"/>
        <v/>
      </c>
      <c r="V45" s="192" t="s">
        <v>0</v>
      </c>
      <c r="W45" s="155" t="str">
        <f t="shared" si="6"/>
        <v/>
      </c>
      <c r="X45" s="192" t="s">
        <v>0</v>
      </c>
    </row>
    <row r="46" spans="1:24" x14ac:dyDescent="0.25">
      <c r="A46" s="192" t="s">
        <v>0</v>
      </c>
      <c r="B46" s="205">
        <f t="shared" si="12"/>
        <v>39</v>
      </c>
      <c r="C46" s="206" t="str">
        <f t="shared" si="7"/>
        <v/>
      </c>
      <c r="D46" s="154" t="str">
        <f t="shared" si="13"/>
        <v/>
      </c>
      <c r="E46" s="207" t="str">
        <f t="shared" si="14"/>
        <v/>
      </c>
      <c r="F46" s="207" t="str">
        <f t="shared" si="15"/>
        <v/>
      </c>
      <c r="G46" s="208" t="str">
        <f t="shared" si="8"/>
        <v/>
      </c>
      <c r="H46" s="192" t="s">
        <v>0</v>
      </c>
      <c r="I46" s="125"/>
      <c r="J46" s="192" t="s">
        <v>0</v>
      </c>
      <c r="K46" s="209" t="str">
        <f>IF(I46="","",MAX(K$7:K45)+1)</f>
        <v/>
      </c>
      <c r="L46" s="208" t="str">
        <f t="shared" si="16"/>
        <v/>
      </c>
      <c r="M46" s="192" t="s">
        <v>0</v>
      </c>
      <c r="N46" s="210" t="str">
        <f t="shared" si="9"/>
        <v/>
      </c>
      <c r="O46" s="192" t="s">
        <v>0</v>
      </c>
      <c r="P46" s="209" t="str">
        <f>IF(G46="","",MAX(P$7:P45)+1)</f>
        <v/>
      </c>
      <c r="Q46" s="207" t="str">
        <f t="shared" si="17"/>
        <v/>
      </c>
      <c r="R46" s="207" t="str">
        <f t="shared" si="10"/>
        <v/>
      </c>
      <c r="S46" s="208" t="str">
        <f t="shared" si="18"/>
        <v/>
      </c>
      <c r="T46" s="192" t="s">
        <v>0</v>
      </c>
      <c r="U46" s="155" t="str">
        <f t="shared" si="11"/>
        <v/>
      </c>
      <c r="V46" s="192" t="s">
        <v>0</v>
      </c>
      <c r="W46" s="155" t="str">
        <f t="shared" si="6"/>
        <v/>
      </c>
      <c r="X46" s="192" t="s">
        <v>0</v>
      </c>
    </row>
    <row r="47" spans="1:24" x14ac:dyDescent="0.25">
      <c r="A47" s="192" t="s">
        <v>0</v>
      </c>
      <c r="B47" s="205">
        <f t="shared" si="12"/>
        <v>40</v>
      </c>
      <c r="C47" s="206" t="str">
        <f t="shared" si="7"/>
        <v/>
      </c>
      <c r="D47" s="154" t="str">
        <f t="shared" si="13"/>
        <v/>
      </c>
      <c r="E47" s="207" t="str">
        <f t="shared" si="14"/>
        <v/>
      </c>
      <c r="F47" s="207" t="str">
        <f t="shared" si="15"/>
        <v/>
      </c>
      <c r="G47" s="208" t="str">
        <f t="shared" si="8"/>
        <v/>
      </c>
      <c r="H47" s="192" t="s">
        <v>0</v>
      </c>
      <c r="I47" s="125"/>
      <c r="J47" s="192" t="s">
        <v>0</v>
      </c>
      <c r="K47" s="209" t="str">
        <f>IF(I47="","",MAX(K$7:K46)+1)</f>
        <v/>
      </c>
      <c r="L47" s="208" t="str">
        <f t="shared" si="16"/>
        <v/>
      </c>
      <c r="M47" s="192" t="s">
        <v>0</v>
      </c>
      <c r="N47" s="210" t="str">
        <f t="shared" si="9"/>
        <v/>
      </c>
      <c r="O47" s="192" t="s">
        <v>0</v>
      </c>
      <c r="P47" s="209" t="str">
        <f>IF(G47="","",MAX(P$7:P46)+1)</f>
        <v/>
      </c>
      <c r="Q47" s="207" t="str">
        <f t="shared" si="17"/>
        <v/>
      </c>
      <c r="R47" s="207" t="str">
        <f t="shared" si="10"/>
        <v/>
      </c>
      <c r="S47" s="208" t="str">
        <f t="shared" si="18"/>
        <v/>
      </c>
      <c r="T47" s="192" t="s">
        <v>0</v>
      </c>
      <c r="U47" s="155" t="str">
        <f t="shared" si="11"/>
        <v/>
      </c>
      <c r="V47" s="192" t="s">
        <v>0</v>
      </c>
      <c r="W47" s="155" t="str">
        <f t="shared" si="6"/>
        <v/>
      </c>
      <c r="X47" s="192" t="s">
        <v>0</v>
      </c>
    </row>
    <row r="48" spans="1:24" x14ac:dyDescent="0.25">
      <c r="A48" s="192" t="s">
        <v>0</v>
      </c>
      <c r="B48" s="205">
        <f t="shared" si="12"/>
        <v>41</v>
      </c>
      <c r="C48" s="206" t="str">
        <f t="shared" si="7"/>
        <v/>
      </c>
      <c r="D48" s="154" t="str">
        <f t="shared" si="13"/>
        <v/>
      </c>
      <c r="E48" s="207" t="str">
        <f t="shared" si="14"/>
        <v/>
      </c>
      <c r="F48" s="207" t="str">
        <f t="shared" si="15"/>
        <v/>
      </c>
      <c r="G48" s="208" t="str">
        <f t="shared" si="8"/>
        <v/>
      </c>
      <c r="H48" s="192" t="s">
        <v>0</v>
      </c>
      <c r="I48" s="125"/>
      <c r="J48" s="192" t="s">
        <v>0</v>
      </c>
      <c r="K48" s="209" t="str">
        <f>IF(I48="","",MAX(K$7:K47)+1)</f>
        <v/>
      </c>
      <c r="L48" s="208" t="str">
        <f t="shared" si="16"/>
        <v/>
      </c>
      <c r="M48" s="192" t="s">
        <v>0</v>
      </c>
      <c r="N48" s="210" t="str">
        <f t="shared" si="9"/>
        <v/>
      </c>
      <c r="O48" s="192" t="s">
        <v>0</v>
      </c>
      <c r="P48" s="209" t="str">
        <f>IF(G48="","",MAX(P$7:P47)+1)</f>
        <v/>
      </c>
      <c r="Q48" s="207" t="str">
        <f t="shared" si="17"/>
        <v/>
      </c>
      <c r="R48" s="207" t="str">
        <f t="shared" si="10"/>
        <v/>
      </c>
      <c r="S48" s="208" t="str">
        <f t="shared" si="18"/>
        <v/>
      </c>
      <c r="T48" s="192" t="s">
        <v>0</v>
      </c>
      <c r="U48" s="155" t="str">
        <f t="shared" si="11"/>
        <v/>
      </c>
      <c r="V48" s="192" t="s">
        <v>0</v>
      </c>
      <c r="W48" s="155" t="str">
        <f t="shared" si="6"/>
        <v/>
      </c>
      <c r="X48" s="192" t="s">
        <v>0</v>
      </c>
    </row>
    <row r="49" spans="1:24" x14ac:dyDescent="0.25">
      <c r="A49" s="192" t="s">
        <v>0</v>
      </c>
      <c r="B49" s="205">
        <f t="shared" si="12"/>
        <v>42</v>
      </c>
      <c r="C49" s="206" t="str">
        <f t="shared" si="7"/>
        <v/>
      </c>
      <c r="D49" s="154" t="str">
        <f t="shared" si="13"/>
        <v/>
      </c>
      <c r="E49" s="207" t="str">
        <f t="shared" si="14"/>
        <v/>
      </c>
      <c r="F49" s="207" t="str">
        <f t="shared" si="15"/>
        <v/>
      </c>
      <c r="G49" s="208" t="str">
        <f t="shared" si="8"/>
        <v/>
      </c>
      <c r="H49" s="192" t="s">
        <v>0</v>
      </c>
      <c r="I49" s="125"/>
      <c r="J49" s="192" t="s">
        <v>0</v>
      </c>
      <c r="K49" s="209" t="str">
        <f>IF(I49="","",MAX(K$7:K48)+1)</f>
        <v/>
      </c>
      <c r="L49" s="208" t="str">
        <f t="shared" si="16"/>
        <v/>
      </c>
      <c r="M49" s="192" t="s">
        <v>0</v>
      </c>
      <c r="N49" s="210" t="str">
        <f t="shared" si="9"/>
        <v/>
      </c>
      <c r="O49" s="192" t="s">
        <v>0</v>
      </c>
      <c r="P49" s="209" t="str">
        <f>IF(G49="","",MAX(P$7:P48)+1)</f>
        <v/>
      </c>
      <c r="Q49" s="207" t="str">
        <f t="shared" si="17"/>
        <v/>
      </c>
      <c r="R49" s="207" t="str">
        <f t="shared" si="10"/>
        <v/>
      </c>
      <c r="S49" s="208" t="str">
        <f t="shared" si="18"/>
        <v/>
      </c>
      <c r="T49" s="192" t="s">
        <v>0</v>
      </c>
      <c r="U49" s="155" t="str">
        <f t="shared" si="11"/>
        <v/>
      </c>
      <c r="V49" s="192" t="s">
        <v>0</v>
      </c>
      <c r="W49" s="155" t="str">
        <f t="shared" si="6"/>
        <v/>
      </c>
      <c r="X49" s="192" t="s">
        <v>0</v>
      </c>
    </row>
    <row r="50" spans="1:24" x14ac:dyDescent="0.25">
      <c r="A50" s="192" t="s">
        <v>0</v>
      </c>
      <c r="B50" s="205">
        <f t="shared" si="12"/>
        <v>43</v>
      </c>
      <c r="C50" s="206" t="str">
        <f t="shared" si="7"/>
        <v/>
      </c>
      <c r="D50" s="154" t="str">
        <f t="shared" si="13"/>
        <v/>
      </c>
      <c r="E50" s="207" t="str">
        <f t="shared" si="14"/>
        <v/>
      </c>
      <c r="F50" s="207" t="str">
        <f t="shared" si="15"/>
        <v/>
      </c>
      <c r="G50" s="208" t="str">
        <f t="shared" si="8"/>
        <v/>
      </c>
      <c r="H50" s="192" t="s">
        <v>0</v>
      </c>
      <c r="I50" s="125"/>
      <c r="J50" s="192" t="s">
        <v>0</v>
      </c>
      <c r="K50" s="209" t="str">
        <f>IF(I50="","",MAX(K$7:K49)+1)</f>
        <v/>
      </c>
      <c r="L50" s="208" t="str">
        <f t="shared" si="16"/>
        <v/>
      </c>
      <c r="M50" s="192" t="s">
        <v>0</v>
      </c>
      <c r="N50" s="210" t="str">
        <f t="shared" si="9"/>
        <v/>
      </c>
      <c r="O50" s="192" t="s">
        <v>0</v>
      </c>
      <c r="P50" s="209" t="str">
        <f>IF(G50="","",MAX(P$7:P49)+1)</f>
        <v/>
      </c>
      <c r="Q50" s="207" t="str">
        <f t="shared" si="17"/>
        <v/>
      </c>
      <c r="R50" s="207" t="str">
        <f t="shared" si="10"/>
        <v/>
      </c>
      <c r="S50" s="208" t="str">
        <f t="shared" si="18"/>
        <v/>
      </c>
      <c r="T50" s="192" t="s">
        <v>0</v>
      </c>
      <c r="U50" s="155" t="str">
        <f t="shared" si="11"/>
        <v/>
      </c>
      <c r="V50" s="192" t="s">
        <v>0</v>
      </c>
      <c r="W50" s="155" t="str">
        <f t="shared" si="6"/>
        <v/>
      </c>
      <c r="X50" s="192" t="s">
        <v>0</v>
      </c>
    </row>
    <row r="51" spans="1:24" x14ac:dyDescent="0.25">
      <c r="A51" s="192" t="s">
        <v>0</v>
      </c>
      <c r="B51" s="205">
        <f t="shared" si="12"/>
        <v>44</v>
      </c>
      <c r="C51" s="206" t="str">
        <f t="shared" si="7"/>
        <v/>
      </c>
      <c r="D51" s="154" t="str">
        <f t="shared" si="13"/>
        <v/>
      </c>
      <c r="E51" s="207" t="str">
        <f t="shared" si="14"/>
        <v/>
      </c>
      <c r="F51" s="207" t="str">
        <f t="shared" si="15"/>
        <v/>
      </c>
      <c r="G51" s="208" t="str">
        <f t="shared" si="8"/>
        <v/>
      </c>
      <c r="H51" s="192" t="s">
        <v>0</v>
      </c>
      <c r="I51" s="125"/>
      <c r="J51" s="192" t="s">
        <v>0</v>
      </c>
      <c r="K51" s="209" t="str">
        <f>IF(I51="","",MAX(K$7:K50)+1)</f>
        <v/>
      </c>
      <c r="L51" s="208" t="str">
        <f t="shared" si="16"/>
        <v/>
      </c>
      <c r="M51" s="192" t="s">
        <v>0</v>
      </c>
      <c r="N51" s="210" t="str">
        <f t="shared" si="9"/>
        <v/>
      </c>
      <c r="O51" s="192" t="s">
        <v>0</v>
      </c>
      <c r="P51" s="209" t="str">
        <f>IF(G51="","",MAX(P$7:P50)+1)</f>
        <v/>
      </c>
      <c r="Q51" s="207" t="str">
        <f t="shared" si="17"/>
        <v/>
      </c>
      <c r="R51" s="207" t="str">
        <f t="shared" si="10"/>
        <v/>
      </c>
      <c r="S51" s="208" t="str">
        <f t="shared" si="18"/>
        <v/>
      </c>
      <c r="T51" s="192" t="s">
        <v>0</v>
      </c>
      <c r="U51" s="155" t="str">
        <f t="shared" si="11"/>
        <v/>
      </c>
      <c r="V51" s="192" t="s">
        <v>0</v>
      </c>
      <c r="W51" s="155" t="str">
        <f t="shared" si="6"/>
        <v/>
      </c>
      <c r="X51" s="192" t="s">
        <v>0</v>
      </c>
    </row>
    <row r="52" spans="1:24" x14ac:dyDescent="0.25">
      <c r="A52" s="192" t="s">
        <v>0</v>
      </c>
      <c r="B52" s="205">
        <f t="shared" si="12"/>
        <v>45</v>
      </c>
      <c r="C52" s="206" t="str">
        <f t="shared" si="7"/>
        <v/>
      </c>
      <c r="D52" s="154" t="str">
        <f t="shared" si="13"/>
        <v/>
      </c>
      <c r="E52" s="207" t="str">
        <f t="shared" si="14"/>
        <v/>
      </c>
      <c r="F52" s="207" t="str">
        <f t="shared" si="15"/>
        <v/>
      </c>
      <c r="G52" s="208" t="str">
        <f t="shared" si="8"/>
        <v/>
      </c>
      <c r="H52" s="192" t="s">
        <v>0</v>
      </c>
      <c r="I52" s="125"/>
      <c r="J52" s="192" t="s">
        <v>0</v>
      </c>
      <c r="K52" s="209" t="str">
        <f>IF(I52="","",MAX(K$7:K51)+1)</f>
        <v/>
      </c>
      <c r="L52" s="208" t="str">
        <f t="shared" si="16"/>
        <v/>
      </c>
      <c r="M52" s="192" t="s">
        <v>0</v>
      </c>
      <c r="N52" s="210" t="str">
        <f t="shared" si="9"/>
        <v/>
      </c>
      <c r="O52" s="192" t="s">
        <v>0</v>
      </c>
      <c r="P52" s="209" t="str">
        <f>IF(G52="","",MAX(P$7:P51)+1)</f>
        <v/>
      </c>
      <c r="Q52" s="207" t="str">
        <f t="shared" si="17"/>
        <v/>
      </c>
      <c r="R52" s="207" t="str">
        <f t="shared" si="10"/>
        <v/>
      </c>
      <c r="S52" s="208" t="str">
        <f t="shared" si="18"/>
        <v/>
      </c>
      <c r="T52" s="192" t="s">
        <v>0</v>
      </c>
      <c r="U52" s="155" t="str">
        <f t="shared" si="11"/>
        <v/>
      </c>
      <c r="V52" s="192" t="s">
        <v>0</v>
      </c>
      <c r="W52" s="155" t="str">
        <f t="shared" si="6"/>
        <v/>
      </c>
      <c r="X52" s="192" t="s">
        <v>0</v>
      </c>
    </row>
    <row r="53" spans="1:24" x14ac:dyDescent="0.25">
      <c r="A53" s="192" t="s">
        <v>0</v>
      </c>
      <c r="B53" s="205">
        <f t="shared" si="12"/>
        <v>46</v>
      </c>
      <c r="C53" s="206" t="str">
        <f t="shared" si="7"/>
        <v/>
      </c>
      <c r="D53" s="154" t="str">
        <f t="shared" si="13"/>
        <v/>
      </c>
      <c r="E53" s="207" t="str">
        <f t="shared" si="14"/>
        <v/>
      </c>
      <c r="F53" s="207" t="str">
        <f t="shared" si="15"/>
        <v/>
      </c>
      <c r="G53" s="208" t="str">
        <f t="shared" si="8"/>
        <v/>
      </c>
      <c r="H53" s="192" t="s">
        <v>0</v>
      </c>
      <c r="I53" s="125"/>
      <c r="J53" s="192" t="s">
        <v>0</v>
      </c>
      <c r="K53" s="209" t="str">
        <f>IF(I53="","",MAX(K$7:K52)+1)</f>
        <v/>
      </c>
      <c r="L53" s="208" t="str">
        <f t="shared" si="16"/>
        <v/>
      </c>
      <c r="M53" s="192" t="s">
        <v>0</v>
      </c>
      <c r="N53" s="210" t="str">
        <f t="shared" si="9"/>
        <v/>
      </c>
      <c r="O53" s="192" t="s">
        <v>0</v>
      </c>
      <c r="P53" s="209" t="str">
        <f>IF(G53="","",MAX(P$7:P52)+1)</f>
        <v/>
      </c>
      <c r="Q53" s="207" t="str">
        <f t="shared" si="17"/>
        <v/>
      </c>
      <c r="R53" s="207" t="str">
        <f t="shared" si="10"/>
        <v/>
      </c>
      <c r="S53" s="208" t="str">
        <f t="shared" si="18"/>
        <v/>
      </c>
      <c r="T53" s="192" t="s">
        <v>0</v>
      </c>
      <c r="U53" s="155" t="str">
        <f t="shared" si="11"/>
        <v/>
      </c>
      <c r="V53" s="192" t="s">
        <v>0</v>
      </c>
      <c r="W53" s="155" t="str">
        <f t="shared" si="6"/>
        <v/>
      </c>
      <c r="X53" s="192" t="s">
        <v>0</v>
      </c>
    </row>
    <row r="54" spans="1:24" x14ac:dyDescent="0.25">
      <c r="A54" s="192" t="s">
        <v>0</v>
      </c>
      <c r="B54" s="205">
        <f t="shared" si="12"/>
        <v>47</v>
      </c>
      <c r="C54" s="206" t="str">
        <f t="shared" si="7"/>
        <v/>
      </c>
      <c r="D54" s="154" t="str">
        <f t="shared" si="13"/>
        <v/>
      </c>
      <c r="E54" s="207" t="str">
        <f t="shared" si="14"/>
        <v/>
      </c>
      <c r="F54" s="207" t="str">
        <f t="shared" si="15"/>
        <v/>
      </c>
      <c r="G54" s="208" t="str">
        <f t="shared" si="8"/>
        <v/>
      </c>
      <c r="H54" s="192" t="s">
        <v>0</v>
      </c>
      <c r="I54" s="125"/>
      <c r="J54" s="192" t="s">
        <v>0</v>
      </c>
      <c r="K54" s="209" t="str">
        <f>IF(I54="","",MAX(K$7:K53)+1)</f>
        <v/>
      </c>
      <c r="L54" s="208" t="str">
        <f t="shared" si="16"/>
        <v/>
      </c>
      <c r="M54" s="192" t="s">
        <v>0</v>
      </c>
      <c r="N54" s="210" t="str">
        <f t="shared" si="9"/>
        <v/>
      </c>
      <c r="O54" s="192" t="s">
        <v>0</v>
      </c>
      <c r="P54" s="209" t="str">
        <f>IF(G54="","",MAX(P$7:P53)+1)</f>
        <v/>
      </c>
      <c r="Q54" s="207" t="str">
        <f t="shared" si="17"/>
        <v/>
      </c>
      <c r="R54" s="207" t="str">
        <f t="shared" si="10"/>
        <v/>
      </c>
      <c r="S54" s="208" t="str">
        <f t="shared" si="18"/>
        <v/>
      </c>
      <c r="T54" s="192" t="s">
        <v>0</v>
      </c>
      <c r="U54" s="155" t="str">
        <f t="shared" si="11"/>
        <v/>
      </c>
      <c r="V54" s="192" t="s">
        <v>0</v>
      </c>
      <c r="W54" s="155" t="str">
        <f t="shared" si="6"/>
        <v/>
      </c>
      <c r="X54" s="192" t="s">
        <v>0</v>
      </c>
    </row>
    <row r="55" spans="1:24" x14ac:dyDescent="0.25">
      <c r="A55" s="192" t="s">
        <v>0</v>
      </c>
      <c r="B55" s="205">
        <f t="shared" si="12"/>
        <v>48</v>
      </c>
      <c r="C55" s="206" t="str">
        <f t="shared" si="7"/>
        <v/>
      </c>
      <c r="D55" s="154" t="str">
        <f t="shared" si="13"/>
        <v/>
      </c>
      <c r="E55" s="207" t="str">
        <f t="shared" si="14"/>
        <v/>
      </c>
      <c r="F55" s="207" t="str">
        <f t="shared" si="15"/>
        <v/>
      </c>
      <c r="G55" s="208" t="str">
        <f t="shared" si="8"/>
        <v/>
      </c>
      <c r="H55" s="192" t="s">
        <v>0</v>
      </c>
      <c r="I55" s="125"/>
      <c r="J55" s="192" t="s">
        <v>0</v>
      </c>
      <c r="K55" s="209" t="str">
        <f>IF(I55="","",MAX(K$7:K54)+1)</f>
        <v/>
      </c>
      <c r="L55" s="208" t="str">
        <f t="shared" si="16"/>
        <v/>
      </c>
      <c r="M55" s="192" t="s">
        <v>0</v>
      </c>
      <c r="N55" s="210" t="str">
        <f t="shared" si="9"/>
        <v/>
      </c>
      <c r="O55" s="192" t="s">
        <v>0</v>
      </c>
      <c r="P55" s="209" t="str">
        <f>IF(G55="","",MAX(P$7:P54)+1)</f>
        <v/>
      </c>
      <c r="Q55" s="207" t="str">
        <f t="shared" si="17"/>
        <v/>
      </c>
      <c r="R55" s="207" t="str">
        <f t="shared" si="10"/>
        <v/>
      </c>
      <c r="S55" s="208" t="str">
        <f t="shared" si="18"/>
        <v/>
      </c>
      <c r="T55" s="192" t="s">
        <v>0</v>
      </c>
      <c r="U55" s="155" t="str">
        <f t="shared" si="11"/>
        <v/>
      </c>
      <c r="V55" s="192" t="s">
        <v>0</v>
      </c>
      <c r="W55" s="155" t="str">
        <f t="shared" si="6"/>
        <v/>
      </c>
      <c r="X55" s="192" t="s">
        <v>0</v>
      </c>
    </row>
    <row r="56" spans="1:24" x14ac:dyDescent="0.25">
      <c r="A56" s="192" t="s">
        <v>0</v>
      </c>
      <c r="B56" s="205">
        <f t="shared" si="12"/>
        <v>49</v>
      </c>
      <c r="C56" s="206" t="str">
        <f t="shared" si="7"/>
        <v/>
      </c>
      <c r="D56" s="154" t="str">
        <f t="shared" si="13"/>
        <v/>
      </c>
      <c r="E56" s="207" t="str">
        <f t="shared" si="14"/>
        <v/>
      </c>
      <c r="F56" s="207" t="str">
        <f t="shared" si="15"/>
        <v/>
      </c>
      <c r="G56" s="208" t="str">
        <f t="shared" si="8"/>
        <v/>
      </c>
      <c r="H56" s="192" t="s">
        <v>0</v>
      </c>
      <c r="I56" s="125"/>
      <c r="J56" s="192" t="s">
        <v>0</v>
      </c>
      <c r="K56" s="209" t="str">
        <f>IF(I56="","",MAX(K$7:K55)+1)</f>
        <v/>
      </c>
      <c r="L56" s="208" t="str">
        <f t="shared" si="16"/>
        <v/>
      </c>
      <c r="M56" s="192" t="s">
        <v>0</v>
      </c>
      <c r="N56" s="210" t="str">
        <f t="shared" si="9"/>
        <v/>
      </c>
      <c r="O56" s="192" t="s">
        <v>0</v>
      </c>
      <c r="P56" s="209" t="str">
        <f>IF(G56="","",MAX(P$7:P55)+1)</f>
        <v/>
      </c>
      <c r="Q56" s="207" t="str">
        <f t="shared" si="17"/>
        <v/>
      </c>
      <c r="R56" s="207" t="str">
        <f t="shared" si="10"/>
        <v/>
      </c>
      <c r="S56" s="208" t="str">
        <f t="shared" si="18"/>
        <v/>
      </c>
      <c r="T56" s="192" t="s">
        <v>0</v>
      </c>
      <c r="U56" s="155" t="str">
        <f t="shared" si="11"/>
        <v/>
      </c>
      <c r="V56" s="192" t="s">
        <v>0</v>
      </c>
      <c r="W56" s="155" t="str">
        <f t="shared" si="6"/>
        <v/>
      </c>
      <c r="X56" s="192" t="s">
        <v>0</v>
      </c>
    </row>
    <row r="57" spans="1:24" ht="15.75" thickBot="1" x14ac:dyDescent="0.3">
      <c r="A57" s="192" t="s">
        <v>0</v>
      </c>
      <c r="B57" s="211">
        <f t="shared" si="12"/>
        <v>50</v>
      </c>
      <c r="C57" s="212" t="str">
        <f t="shared" si="7"/>
        <v/>
      </c>
      <c r="D57" s="156" t="str">
        <f t="shared" si="13"/>
        <v/>
      </c>
      <c r="E57" s="213" t="str">
        <f t="shared" si="14"/>
        <v/>
      </c>
      <c r="F57" s="213" t="str">
        <f t="shared" si="15"/>
        <v/>
      </c>
      <c r="G57" s="214" t="str">
        <f t="shared" si="8"/>
        <v/>
      </c>
      <c r="H57" s="192" t="s">
        <v>0</v>
      </c>
      <c r="I57" s="126"/>
      <c r="J57" s="192" t="s">
        <v>0</v>
      </c>
      <c r="K57" s="215" t="str">
        <f>IF(I57="","",MAX(K$7:K56)+1)</f>
        <v/>
      </c>
      <c r="L57" s="214" t="str">
        <f t="shared" si="16"/>
        <v/>
      </c>
      <c r="M57" s="192" t="s">
        <v>0</v>
      </c>
      <c r="N57" s="216" t="str">
        <f t="shared" si="9"/>
        <v/>
      </c>
      <c r="O57" s="192" t="s">
        <v>0</v>
      </c>
      <c r="P57" s="215" t="str">
        <f>IF(G57="","",MAX(P$7:P56)+1)</f>
        <v/>
      </c>
      <c r="Q57" s="213" t="str">
        <f t="shared" si="17"/>
        <v/>
      </c>
      <c r="R57" s="213" t="str">
        <f t="shared" si="10"/>
        <v/>
      </c>
      <c r="S57" s="214" t="str">
        <f t="shared" si="18"/>
        <v/>
      </c>
      <c r="T57" s="192" t="s">
        <v>0</v>
      </c>
      <c r="U57" s="157" t="str">
        <f t="shared" si="11"/>
        <v/>
      </c>
      <c r="V57" s="192" t="s">
        <v>0</v>
      </c>
      <c r="W57" s="157" t="str">
        <f>N57&amp;IF(OR(N57="",U57=""),"","
")&amp;U57&amp;IF(W58="","","
"&amp;W58)</f>
        <v/>
      </c>
      <c r="X57" s="192" t="s">
        <v>0</v>
      </c>
    </row>
    <row r="58" spans="1:24" x14ac:dyDescent="0.25">
      <c r="B58" s="149"/>
      <c r="C58" s="149"/>
    </row>
  </sheetData>
  <mergeCells count="5">
    <mergeCell ref="C2:W2"/>
    <mergeCell ref="C4:G4"/>
    <mergeCell ref="P4:S4"/>
    <mergeCell ref="U4:W4"/>
    <mergeCell ref="K4:N4"/>
  </mergeCells>
  <conditionalFormatting sqref="E8:E57">
    <cfRule type="cellIs" dxfId="8" priority="10" operator="equal">
      <formula>"NEMA"</formula>
    </cfRule>
  </conditionalFormatting>
  <conditionalFormatting sqref="L8:L57">
    <cfRule type="cellIs" dxfId="7" priority="6" operator="equal">
      <formula>"NEMA"</formula>
    </cfRule>
  </conditionalFormatting>
  <conditionalFormatting sqref="F8:F57">
    <cfRule type="cellIs" dxfId="6" priority="9" operator="equal">
      <formula>"NEMA"</formula>
    </cfRule>
  </conditionalFormatting>
  <conditionalFormatting sqref="G8:G57">
    <cfRule type="cellIs" dxfId="5" priority="8" operator="equal">
      <formula>"NEMA"</formula>
    </cfRule>
  </conditionalFormatting>
  <conditionalFormatting sqref="K8:K57">
    <cfRule type="cellIs" dxfId="4" priority="7" operator="equal">
      <formula>"NEMA"</formula>
    </cfRule>
  </conditionalFormatting>
  <conditionalFormatting sqref="R8:R57">
    <cfRule type="cellIs" dxfId="3" priority="4" operator="equal">
      <formula>"NEMA"</formula>
    </cfRule>
  </conditionalFormatting>
  <conditionalFormatting sqref="S8:S57">
    <cfRule type="cellIs" dxfId="2" priority="3" operator="equal">
      <formula>"NEMA"</formula>
    </cfRule>
  </conditionalFormatting>
  <conditionalFormatting sqref="Q8:Q57">
    <cfRule type="cellIs" dxfId="1" priority="2" operator="equal">
      <formula>"NEMA"</formula>
    </cfRule>
  </conditionalFormatting>
  <conditionalFormatting sqref="P8:P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P10" sqref="P10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9" t="s">
        <v>52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19"/>
      <c r="J4"/>
      <c r="L4"/>
      <c r="N4" s="318" t="s">
        <v>49</v>
      </c>
      <c r="O4" s="329"/>
      <c r="P4" s="319"/>
    </row>
    <row r="5" spans="2:16" ht="15.75" thickBot="1" x14ac:dyDescent="0.3"/>
    <row r="6" spans="2:16" ht="123.75" customHeight="1" thickBot="1" x14ac:dyDescent="0.3">
      <c r="B6" s="326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'2021-04-18' THEN ''
		ELSE IfNull (registarkup_kategorija,'')
	END AS kategorija
FROM
	v_natjecatelj_export</v>
      </c>
      <c r="C6" s="327"/>
      <c r="D6" s="327"/>
      <c r="E6" s="327"/>
      <c r="F6" s="328"/>
      <c r="N6" s="326" t="s">
        <v>129</v>
      </c>
      <c r="O6" s="327"/>
      <c r="P6" s="328"/>
    </row>
    <row r="7" spans="2:16" x14ac:dyDescent="0.25">
      <c r="H7" s="6"/>
    </row>
    <row r="8" spans="2:16" x14ac:dyDescent="0.25">
      <c r="B8" s="41" t="s">
        <v>126</v>
      </c>
      <c r="C8" s="23" t="s">
        <v>1</v>
      </c>
      <c r="D8" s="23" t="s">
        <v>2</v>
      </c>
      <c r="E8" s="23" t="s">
        <v>3</v>
      </c>
      <c r="F8" s="24" t="s">
        <v>4</v>
      </c>
      <c r="H8" s="43" t="s">
        <v>6</v>
      </c>
      <c r="J8" s="43" t="s">
        <v>5</v>
      </c>
      <c r="L8" s="43" t="s">
        <v>7</v>
      </c>
      <c r="N8" s="41" t="s">
        <v>4405</v>
      </c>
      <c r="O8" s="23" t="s">
        <v>4406</v>
      </c>
      <c r="P8" s="24" t="s">
        <v>4407</v>
      </c>
    </row>
    <row r="9" spans="2:16" ht="7.5" customHeight="1" thickBot="1" x14ac:dyDescent="0.3">
      <c r="N9" s="3"/>
      <c r="O9" s="3"/>
      <c r="P9" s="3"/>
    </row>
    <row r="10" spans="2:16" x14ac:dyDescent="0.25">
      <c r="B10" s="100">
        <v>1958</v>
      </c>
      <c r="C10" s="101" t="s">
        <v>1029</v>
      </c>
      <c r="D10" s="101" t="s">
        <v>3735</v>
      </c>
      <c r="E10" s="101"/>
      <c r="F10" s="102"/>
      <c r="H10" s="44" t="str">
        <f>IF(C10="","",C10) &amp; IF(D10="",""," – " &amp; D10) &amp; IF(E10="",""," – " &amp; E10) &amp; IF(F10="",""," – " &amp; F10)</f>
        <v>Tomislav – Filipcic</v>
      </c>
      <c r="J10" s="44" t="str">
        <f>IF(C10="","",C10) &amp; IF(D10="",""," – " &amp; D10) &amp; IF(E10="",""," – " &amp; E10)</f>
        <v>Tomislav – Filipcic</v>
      </c>
      <c r="L10" s="44" t="str">
        <f>IF(C10="","",C10) &amp; IF(D10="",""," – " &amp; D10)</f>
        <v>Tomislav – Filipcic</v>
      </c>
      <c r="N10" s="100">
        <v>1</v>
      </c>
      <c r="O10" s="101" t="s">
        <v>4408</v>
      </c>
      <c r="P10" s="102"/>
    </row>
    <row r="11" spans="2:16" x14ac:dyDescent="0.25">
      <c r="B11" s="103">
        <v>1952</v>
      </c>
      <c r="C11" s="104" t="s">
        <v>2021</v>
      </c>
      <c r="D11" s="104" t="s">
        <v>2325</v>
      </c>
      <c r="E11" s="104"/>
      <c r="F11" s="105"/>
      <c r="H11" s="45" t="str">
        <f t="shared" ref="H11:H74" si="0">IF(C11="","",C11) &amp; IF(D11="",""," – " &amp; D11) &amp; IF(E11="",""," – " &amp; E11) &amp; IF(F11="",""," – " &amp; F11)</f>
        <v>Ivo – Lukačić</v>
      </c>
      <c r="J11" s="45" t="str">
        <f t="shared" ref="J11:J74" si="1">IF(C11="","",C11) &amp; IF(D11="",""," – " &amp; D11) &amp; IF(E11="",""," – " &amp; E11)</f>
        <v>Ivo – Lukačić</v>
      </c>
      <c r="L11" s="45" t="str">
        <f t="shared" ref="L11:L74" si="2">IF(C11="","",C11) &amp; IF(D11="",""," – " &amp; D11)</f>
        <v>Ivo – Lukačić</v>
      </c>
      <c r="N11" s="103"/>
      <c r="O11" s="104"/>
      <c r="P11" s="105"/>
    </row>
    <row r="12" spans="2:16" x14ac:dyDescent="0.25">
      <c r="B12" s="103">
        <v>1957</v>
      </c>
      <c r="C12" s="104" t="s">
        <v>3736</v>
      </c>
      <c r="D12" s="104" t="s">
        <v>3737</v>
      </c>
      <c r="E12" s="104"/>
      <c r="F12" s="105"/>
      <c r="H12" s="45" t="str">
        <f t="shared" si="0"/>
        <v>Slavko – Sopina</v>
      </c>
      <c r="J12" s="45" t="str">
        <f t="shared" si="1"/>
        <v>Slavko – Sopina</v>
      </c>
      <c r="L12" s="45" t="str">
        <f t="shared" si="2"/>
        <v>Slavko – Sopina</v>
      </c>
      <c r="N12" s="103"/>
      <c r="O12" s="104"/>
      <c r="P12" s="105"/>
    </row>
    <row r="13" spans="2:16" x14ac:dyDescent="0.25">
      <c r="B13" s="103">
        <v>1208</v>
      </c>
      <c r="C13" s="104" t="s">
        <v>1321</v>
      </c>
      <c r="D13" s="104" t="s">
        <v>3738</v>
      </c>
      <c r="E13" s="104" t="s">
        <v>1632</v>
      </c>
      <c r="F13" s="105"/>
      <c r="H13" s="45" t="str">
        <f t="shared" si="0"/>
        <v>Željko – Belaj – OK Bjelovar</v>
      </c>
      <c r="J13" s="45" t="str">
        <f t="shared" si="1"/>
        <v>Željko – Belaj – OK Bjelovar</v>
      </c>
      <c r="L13" s="45" t="str">
        <f t="shared" si="2"/>
        <v>Željko – Belaj</v>
      </c>
      <c r="N13" s="103"/>
      <c r="O13" s="104"/>
      <c r="P13" s="105"/>
    </row>
    <row r="14" spans="2:16" x14ac:dyDescent="0.25">
      <c r="B14" s="103">
        <v>1537</v>
      </c>
      <c r="C14" s="104" t="s">
        <v>1074</v>
      </c>
      <c r="D14" s="104" t="s">
        <v>1627</v>
      </c>
      <c r="E14" s="104" t="s">
        <v>1632</v>
      </c>
      <c r="F14" s="105" t="s">
        <v>1575</v>
      </c>
      <c r="H14" s="45" t="str">
        <f t="shared" si="0"/>
        <v>Vedran – Bijelić – OK Bjelovar – M35</v>
      </c>
      <c r="J14" s="45" t="str">
        <f t="shared" si="1"/>
        <v>Vedran – Bijelić – OK Bjelovar</v>
      </c>
      <c r="L14" s="45" t="str">
        <f t="shared" si="2"/>
        <v>Vedran – Bijelić</v>
      </c>
      <c r="N14" s="103"/>
      <c r="O14" s="104"/>
      <c r="P14" s="105"/>
    </row>
    <row r="15" spans="2:16" x14ac:dyDescent="0.25">
      <c r="B15" s="103">
        <v>1793</v>
      </c>
      <c r="C15" s="104" t="s">
        <v>1306</v>
      </c>
      <c r="D15" s="104" t="s">
        <v>3739</v>
      </c>
      <c r="E15" s="104" t="s">
        <v>1632</v>
      </c>
      <c r="F15" s="105"/>
      <c r="H15" s="45" t="str">
        <f t="shared" si="0"/>
        <v>Tihomir – Despetović – OK Bjelovar</v>
      </c>
      <c r="J15" s="45" t="str">
        <f t="shared" si="1"/>
        <v>Tihomir – Despetović – OK Bjelovar</v>
      </c>
      <c r="L15" s="45" t="str">
        <f t="shared" si="2"/>
        <v>Tihomir – Despetović</v>
      </c>
      <c r="N15" s="103"/>
      <c r="O15" s="104"/>
      <c r="P15" s="105"/>
    </row>
    <row r="16" spans="2:16" x14ac:dyDescent="0.25">
      <c r="B16" s="103">
        <v>1284</v>
      </c>
      <c r="C16" s="104" t="s">
        <v>3740</v>
      </c>
      <c r="D16" s="104" t="s">
        <v>3741</v>
      </c>
      <c r="E16" s="104" t="s">
        <v>1632</v>
      </c>
      <c r="F16" s="105"/>
      <c r="H16" s="45" t="str">
        <f t="shared" si="0"/>
        <v>Bože – Đipalo – OK Bjelovar</v>
      </c>
      <c r="J16" s="45" t="str">
        <f t="shared" si="1"/>
        <v>Bože – Đipalo – OK Bjelovar</v>
      </c>
      <c r="L16" s="45" t="str">
        <f t="shared" si="2"/>
        <v>Bože – Đipalo</v>
      </c>
      <c r="N16" s="103"/>
      <c r="O16" s="104"/>
      <c r="P16" s="105"/>
    </row>
    <row r="17" spans="2:16" x14ac:dyDescent="0.25">
      <c r="B17" s="103">
        <v>1610</v>
      </c>
      <c r="C17" s="104" t="s">
        <v>438</v>
      </c>
      <c r="D17" s="104" t="s">
        <v>3742</v>
      </c>
      <c r="E17" s="104" t="s">
        <v>1632</v>
      </c>
      <c r="F17" s="105"/>
      <c r="H17" s="45" t="str">
        <f t="shared" si="0"/>
        <v>Ivan – Draušnik – OK Bjelovar</v>
      </c>
      <c r="J17" s="45" t="str">
        <f t="shared" si="1"/>
        <v>Ivan – Draušnik – OK Bjelovar</v>
      </c>
      <c r="L17" s="45" t="str">
        <f t="shared" si="2"/>
        <v>Ivan – Draušnik</v>
      </c>
      <c r="N17" s="103"/>
      <c r="O17" s="104"/>
      <c r="P17" s="105"/>
    </row>
    <row r="18" spans="2:16" x14ac:dyDescent="0.25">
      <c r="B18" s="103">
        <v>1824</v>
      </c>
      <c r="C18" s="104" t="s">
        <v>3743</v>
      </c>
      <c r="D18" s="104" t="s">
        <v>3744</v>
      </c>
      <c r="E18" s="104" t="s">
        <v>1632</v>
      </c>
      <c r="F18" s="105"/>
      <c r="H18" s="45" t="str">
        <f t="shared" si="0"/>
        <v>Matej – Drmanović – OK Bjelovar</v>
      </c>
      <c r="J18" s="45" t="str">
        <f t="shared" si="1"/>
        <v>Matej – Drmanović – OK Bjelovar</v>
      </c>
      <c r="L18" s="45" t="str">
        <f t="shared" si="2"/>
        <v>Matej – Drmanović</v>
      </c>
      <c r="N18" s="103"/>
      <c r="O18" s="109"/>
      <c r="P18" s="105"/>
    </row>
    <row r="19" spans="2:16" x14ac:dyDescent="0.25">
      <c r="B19" s="103">
        <v>1825</v>
      </c>
      <c r="C19" s="104" t="s">
        <v>3745</v>
      </c>
      <c r="D19" s="104" t="s">
        <v>3746</v>
      </c>
      <c r="E19" s="104" t="s">
        <v>1632</v>
      </c>
      <c r="F19" s="105"/>
      <c r="H19" s="45" t="str">
        <f t="shared" si="0"/>
        <v>Mihael – Grgić – OK Bjelovar</v>
      </c>
      <c r="J19" s="45" t="str">
        <f t="shared" si="1"/>
        <v>Mihael – Grgić – OK Bjelovar</v>
      </c>
      <c r="L19" s="45" t="str">
        <f t="shared" si="2"/>
        <v>Mihael – Grgić</v>
      </c>
      <c r="N19" s="103"/>
      <c r="O19" s="104"/>
      <c r="P19" s="105"/>
    </row>
    <row r="20" spans="2:16" x14ac:dyDescent="0.25">
      <c r="B20" s="103">
        <v>1826</v>
      </c>
      <c r="C20" s="104" t="s">
        <v>3560</v>
      </c>
      <c r="D20" s="104" t="s">
        <v>3747</v>
      </c>
      <c r="E20" s="104" t="s">
        <v>1632</v>
      </c>
      <c r="F20" s="105"/>
      <c r="H20" s="45" t="str">
        <f t="shared" si="0"/>
        <v>Marija – Kaučić Perković – OK Bjelovar</v>
      </c>
      <c r="J20" s="45" t="str">
        <f t="shared" si="1"/>
        <v>Marija – Kaučić Perković – OK Bjelovar</v>
      </c>
      <c r="L20" s="45" t="str">
        <f t="shared" si="2"/>
        <v>Marija – Kaučić Perković</v>
      </c>
      <c r="N20" s="103"/>
      <c r="O20" s="104"/>
      <c r="P20" s="105"/>
    </row>
    <row r="21" spans="2:16" x14ac:dyDescent="0.25">
      <c r="B21" s="103">
        <v>1577</v>
      </c>
      <c r="C21" s="104" t="s">
        <v>1867</v>
      </c>
      <c r="D21" s="104" t="s">
        <v>3748</v>
      </c>
      <c r="E21" s="104" t="s">
        <v>1632</v>
      </c>
      <c r="F21" s="105"/>
      <c r="H21" s="45" t="str">
        <f t="shared" si="0"/>
        <v>Damir – Klobučarić – OK Bjelovar</v>
      </c>
      <c r="J21" s="45" t="str">
        <f t="shared" si="1"/>
        <v>Damir – Klobučarić – OK Bjelovar</v>
      </c>
      <c r="L21" s="45" t="str">
        <f t="shared" si="2"/>
        <v>Damir – Klobučarić</v>
      </c>
      <c r="N21" s="103"/>
      <c r="O21" s="104"/>
      <c r="P21" s="105"/>
    </row>
    <row r="22" spans="2:16" x14ac:dyDescent="0.25">
      <c r="B22" s="103">
        <v>1794</v>
      </c>
      <c r="C22" s="104" t="s">
        <v>3262</v>
      </c>
      <c r="D22" s="104" t="s">
        <v>3749</v>
      </c>
      <c r="E22" s="104" t="s">
        <v>1632</v>
      </c>
      <c r="F22" s="105"/>
      <c r="H22" s="45" t="str">
        <f t="shared" si="0"/>
        <v>Željka – Krupka – OK Bjelovar</v>
      </c>
      <c r="J22" s="45" t="str">
        <f t="shared" si="1"/>
        <v>Željka – Krupka – OK Bjelovar</v>
      </c>
      <c r="L22" s="45" t="str">
        <f t="shared" si="2"/>
        <v>Željka – Krupka</v>
      </c>
      <c r="N22" s="103"/>
      <c r="O22" s="104"/>
      <c r="P22" s="105"/>
    </row>
    <row r="23" spans="2:16" x14ac:dyDescent="0.25">
      <c r="B23" s="103">
        <v>1679</v>
      </c>
      <c r="C23" s="104" t="s">
        <v>1291</v>
      </c>
      <c r="D23" s="104" t="s">
        <v>3750</v>
      </c>
      <c r="E23" s="104" t="s">
        <v>1632</v>
      </c>
      <c r="F23" s="105"/>
      <c r="H23" s="45" t="str">
        <f t="shared" si="0"/>
        <v>Siniša – Muhtić – OK Bjelovar</v>
      </c>
      <c r="J23" s="45" t="str">
        <f t="shared" si="1"/>
        <v>Siniša – Muhtić – OK Bjelovar</v>
      </c>
      <c r="L23" s="45" t="str">
        <f t="shared" si="2"/>
        <v>Siniša – Muhtić</v>
      </c>
      <c r="N23" s="103"/>
      <c r="O23" s="104"/>
      <c r="P23" s="105"/>
    </row>
    <row r="24" spans="2:16" x14ac:dyDescent="0.25">
      <c r="B24" s="103">
        <v>1453</v>
      </c>
      <c r="C24" s="104" t="s">
        <v>1944</v>
      </c>
      <c r="D24" s="104" t="s">
        <v>1943</v>
      </c>
      <c r="E24" s="104" t="s">
        <v>1632</v>
      </c>
      <c r="F24" s="105" t="s">
        <v>1909</v>
      </c>
      <c r="H24" s="45" t="str">
        <f t="shared" si="0"/>
        <v>Robert – Orehoci – OK Bjelovar – M45</v>
      </c>
      <c r="J24" s="45" t="str">
        <f t="shared" si="1"/>
        <v>Robert – Orehoci – OK Bjelovar</v>
      </c>
      <c r="L24" s="45" t="str">
        <f t="shared" si="2"/>
        <v>Robert – Orehoci</v>
      </c>
      <c r="N24" s="103"/>
      <c r="O24" s="104"/>
      <c r="P24" s="105"/>
    </row>
    <row r="25" spans="2:16" x14ac:dyDescent="0.25">
      <c r="B25" s="103">
        <v>1269</v>
      </c>
      <c r="C25" s="104" t="s">
        <v>2511</v>
      </c>
      <c r="D25" s="104" t="s">
        <v>3047</v>
      </c>
      <c r="E25" s="104" t="s">
        <v>1632</v>
      </c>
      <c r="F25" s="105" t="s">
        <v>3001</v>
      </c>
      <c r="H25" s="45" t="str">
        <f t="shared" si="0"/>
        <v>Antonija – Orlić – OK Bjelovar – Ž21A</v>
      </c>
      <c r="J25" s="45" t="str">
        <f t="shared" si="1"/>
        <v>Antonija – Orlić – OK Bjelovar</v>
      </c>
      <c r="L25" s="45" t="str">
        <f t="shared" si="2"/>
        <v>Antonija – Orlić</v>
      </c>
      <c r="N25" s="103"/>
      <c r="O25" s="104"/>
      <c r="P25" s="105"/>
    </row>
    <row r="26" spans="2:16" x14ac:dyDescent="0.25">
      <c r="B26" s="103">
        <v>1677</v>
      </c>
      <c r="C26" s="104" t="s">
        <v>1524</v>
      </c>
      <c r="D26" s="104" t="s">
        <v>3751</v>
      </c>
      <c r="E26" s="104" t="s">
        <v>1632</v>
      </c>
      <c r="F26" s="105"/>
      <c r="H26" s="45" t="str">
        <f t="shared" si="0"/>
        <v>Mladen – Perica – OK Bjelovar</v>
      </c>
      <c r="J26" s="45" t="str">
        <f t="shared" si="1"/>
        <v>Mladen – Perica – OK Bjelovar</v>
      </c>
      <c r="L26" s="45" t="str">
        <f t="shared" si="2"/>
        <v>Mladen – Perica</v>
      </c>
      <c r="N26" s="103"/>
      <c r="O26" s="104"/>
      <c r="P26" s="105"/>
    </row>
    <row r="27" spans="2:16" x14ac:dyDescent="0.25">
      <c r="B27" s="103">
        <v>1678</v>
      </c>
      <c r="C27" s="104" t="s">
        <v>453</v>
      </c>
      <c r="D27" s="104" t="s">
        <v>3751</v>
      </c>
      <c r="E27" s="104" t="s">
        <v>1632</v>
      </c>
      <c r="F27" s="105"/>
      <c r="H27" s="45" t="str">
        <f t="shared" si="0"/>
        <v>Petar – Perica – OK Bjelovar</v>
      </c>
      <c r="J27" s="45" t="str">
        <f t="shared" si="1"/>
        <v>Petar – Perica – OK Bjelovar</v>
      </c>
      <c r="L27" s="45" t="str">
        <f t="shared" si="2"/>
        <v>Petar – Perica</v>
      </c>
      <c r="N27" s="103"/>
      <c r="O27" s="104"/>
      <c r="P27" s="105"/>
    </row>
    <row r="28" spans="2:16" x14ac:dyDescent="0.25">
      <c r="B28" s="103">
        <v>1627</v>
      </c>
      <c r="C28" s="104" t="s">
        <v>3752</v>
      </c>
      <c r="D28" s="104" t="s">
        <v>3753</v>
      </c>
      <c r="E28" s="104" t="s">
        <v>1632</v>
      </c>
      <c r="F28" s="105"/>
      <c r="H28" s="45" t="str">
        <f t="shared" si="0"/>
        <v>Eduard – Perković – OK Bjelovar</v>
      </c>
      <c r="J28" s="45" t="str">
        <f t="shared" si="1"/>
        <v>Eduard – Perković – OK Bjelovar</v>
      </c>
      <c r="L28" s="45" t="str">
        <f t="shared" si="2"/>
        <v>Eduard – Perković</v>
      </c>
      <c r="N28" s="103"/>
      <c r="O28" s="104"/>
      <c r="P28" s="105"/>
    </row>
    <row r="29" spans="2:16" x14ac:dyDescent="0.25">
      <c r="B29" s="103">
        <v>1140</v>
      </c>
      <c r="C29" s="104" t="s">
        <v>2602</v>
      </c>
      <c r="D29" s="104" t="s">
        <v>3091</v>
      </c>
      <c r="E29" s="104" t="s">
        <v>1632</v>
      </c>
      <c r="F29" s="105" t="s">
        <v>3094</v>
      </c>
      <c r="H29" s="45" t="str">
        <f t="shared" si="0"/>
        <v>Petra – Plevnik – OK Bjelovar – Ž21B</v>
      </c>
      <c r="J29" s="45" t="str">
        <f t="shared" si="1"/>
        <v>Petra – Plevnik – OK Bjelovar</v>
      </c>
      <c r="L29" s="45" t="str">
        <f t="shared" si="2"/>
        <v>Petra – Plevnik</v>
      </c>
      <c r="N29" s="103"/>
      <c r="O29" s="104"/>
      <c r="P29" s="105"/>
    </row>
    <row r="30" spans="2:16" x14ac:dyDescent="0.25">
      <c r="B30" s="103">
        <v>1490</v>
      </c>
      <c r="C30" s="104" t="s">
        <v>2267</v>
      </c>
      <c r="D30" s="104" t="s">
        <v>2266</v>
      </c>
      <c r="E30" s="104" t="s">
        <v>1632</v>
      </c>
      <c r="F30" s="105" t="s">
        <v>2195</v>
      </c>
      <c r="H30" s="45" t="str">
        <f t="shared" si="0"/>
        <v>Milan – Radočaj – OK Bjelovar – M55</v>
      </c>
      <c r="J30" s="45" t="str">
        <f t="shared" si="1"/>
        <v>Milan – Radočaj – OK Bjelovar</v>
      </c>
      <c r="L30" s="45" t="str">
        <f t="shared" si="2"/>
        <v>Milan – Radočaj</v>
      </c>
      <c r="N30" s="103"/>
      <c r="O30" s="104"/>
      <c r="P30" s="105"/>
    </row>
    <row r="31" spans="2:16" x14ac:dyDescent="0.25">
      <c r="B31" s="103">
        <v>1939</v>
      </c>
      <c r="C31" s="104" t="s">
        <v>3600</v>
      </c>
      <c r="D31" s="104" t="s">
        <v>2266</v>
      </c>
      <c r="E31" s="104" t="s">
        <v>1632</v>
      </c>
      <c r="F31" s="105" t="s">
        <v>3619</v>
      </c>
      <c r="H31" s="45" t="str">
        <f t="shared" si="0"/>
        <v>Sanja – Radočaj – OK Bjelovar – Ž55</v>
      </c>
      <c r="J31" s="45" t="str">
        <f t="shared" si="1"/>
        <v>Sanja – Radočaj – OK Bjelovar</v>
      </c>
      <c r="L31" s="45" t="str">
        <f t="shared" si="2"/>
        <v>Sanja – Radočaj</v>
      </c>
      <c r="N31" s="103"/>
      <c r="O31" s="104"/>
      <c r="P31" s="105"/>
    </row>
    <row r="32" spans="2:16" x14ac:dyDescent="0.25">
      <c r="B32" s="103">
        <v>1266</v>
      </c>
      <c r="C32" s="104" t="s">
        <v>1364</v>
      </c>
      <c r="D32" s="104" t="s">
        <v>2059</v>
      </c>
      <c r="E32" s="104" t="s">
        <v>1632</v>
      </c>
      <c r="F32" s="105" t="s">
        <v>1909</v>
      </c>
      <c r="H32" s="45" t="str">
        <f t="shared" si="0"/>
        <v>Domagoj – Šantić – OK Bjelovar – M45</v>
      </c>
      <c r="J32" s="45" t="str">
        <f t="shared" si="1"/>
        <v>Domagoj – Šantić – OK Bjelovar</v>
      </c>
      <c r="L32" s="45" t="str">
        <f t="shared" si="2"/>
        <v>Domagoj – Šantić</v>
      </c>
      <c r="N32" s="103"/>
      <c r="O32" s="104"/>
      <c r="P32" s="105"/>
    </row>
    <row r="33" spans="2:16" x14ac:dyDescent="0.25">
      <c r="B33" s="103">
        <v>1542</v>
      </c>
      <c r="C33" s="104" t="s">
        <v>2684</v>
      </c>
      <c r="D33" s="104" t="s">
        <v>2059</v>
      </c>
      <c r="E33" s="104" t="s">
        <v>1632</v>
      </c>
      <c r="F33" s="105" t="s">
        <v>2637</v>
      </c>
      <c r="H33" s="45" t="str">
        <f t="shared" si="0"/>
        <v>Gloria – Šantić – OK Bjelovar – Ž12</v>
      </c>
      <c r="J33" s="45" t="str">
        <f t="shared" si="1"/>
        <v>Gloria – Šantić – OK Bjelovar</v>
      </c>
      <c r="L33" s="45" t="str">
        <f t="shared" si="2"/>
        <v>Gloria – Šantić</v>
      </c>
      <c r="N33" s="103"/>
      <c r="O33" s="104"/>
      <c r="P33" s="105"/>
    </row>
    <row r="34" spans="2:16" x14ac:dyDescent="0.25">
      <c r="B34" s="103">
        <v>1466</v>
      </c>
      <c r="C34" s="104" t="s">
        <v>3234</v>
      </c>
      <c r="D34" s="104" t="s">
        <v>2059</v>
      </c>
      <c r="E34" s="104" t="s">
        <v>1632</v>
      </c>
      <c r="F34" s="105" t="s">
        <v>3265</v>
      </c>
      <c r="H34" s="45" t="str">
        <f t="shared" si="0"/>
        <v>Nikolina – Šantić – OK Bjelovar – Ž35</v>
      </c>
      <c r="J34" s="45" t="str">
        <f t="shared" si="1"/>
        <v>Nikolina – Šantić – OK Bjelovar</v>
      </c>
      <c r="L34" s="45" t="str">
        <f t="shared" si="2"/>
        <v>Nikolina – Šantić</v>
      </c>
      <c r="N34" s="103"/>
      <c r="O34" s="104"/>
      <c r="P34" s="105"/>
    </row>
    <row r="35" spans="2:16" x14ac:dyDescent="0.25">
      <c r="B35" s="103">
        <v>1364</v>
      </c>
      <c r="C35" s="104" t="s">
        <v>2654</v>
      </c>
      <c r="D35" s="104" t="s">
        <v>2059</v>
      </c>
      <c r="E35" s="104" t="s">
        <v>1632</v>
      </c>
      <c r="F35" s="105" t="s">
        <v>2637</v>
      </c>
      <c r="H35" s="45" t="str">
        <f t="shared" si="0"/>
        <v>Veronika – Šantić – OK Bjelovar – Ž12</v>
      </c>
      <c r="J35" s="45" t="str">
        <f t="shared" si="1"/>
        <v>Veronika – Šantić – OK Bjelovar</v>
      </c>
      <c r="L35" s="45" t="str">
        <f t="shared" si="2"/>
        <v>Veronika – Šantić</v>
      </c>
      <c r="N35" s="103"/>
      <c r="O35" s="104"/>
      <c r="P35" s="105"/>
    </row>
    <row r="36" spans="2:16" x14ac:dyDescent="0.25">
      <c r="B36" s="103">
        <v>1244</v>
      </c>
      <c r="C36" s="104" t="s">
        <v>2664</v>
      </c>
      <c r="D36" s="104" t="s">
        <v>2059</v>
      </c>
      <c r="E36" s="104" t="s">
        <v>1632</v>
      </c>
      <c r="F36" s="105" t="s">
        <v>2637</v>
      </c>
      <c r="H36" s="45" t="str">
        <f t="shared" si="0"/>
        <v>Viktoria – Šantić – OK Bjelovar – Ž12</v>
      </c>
      <c r="J36" s="45" t="str">
        <f t="shared" si="1"/>
        <v>Viktoria – Šantić – OK Bjelovar</v>
      </c>
      <c r="L36" s="45" t="str">
        <f t="shared" si="2"/>
        <v>Viktoria – Šantić</v>
      </c>
      <c r="N36" s="103"/>
      <c r="O36" s="104"/>
      <c r="P36" s="105"/>
    </row>
    <row r="37" spans="2:16" x14ac:dyDescent="0.25">
      <c r="B37" s="103">
        <v>1429</v>
      </c>
      <c r="C37" s="104" t="s">
        <v>3754</v>
      </c>
      <c r="D37" s="104" t="s">
        <v>3755</v>
      </c>
      <c r="E37" s="104" t="s">
        <v>1632</v>
      </c>
      <c r="F37" s="105" t="s">
        <v>3619</v>
      </c>
      <c r="H37" s="45" t="str">
        <f t="shared" si="0"/>
        <v>Alida – Sokolović – OK Bjelovar – Ž55</v>
      </c>
      <c r="J37" s="45" t="str">
        <f t="shared" si="1"/>
        <v>Alida – Sokolović – OK Bjelovar</v>
      </c>
      <c r="L37" s="45" t="str">
        <f t="shared" si="2"/>
        <v>Alida – Sokolović</v>
      </c>
      <c r="N37" s="103"/>
      <c r="O37" s="104"/>
      <c r="P37" s="105"/>
    </row>
    <row r="38" spans="2:16" x14ac:dyDescent="0.25">
      <c r="B38" s="103">
        <v>1676</v>
      </c>
      <c r="C38" s="104" t="s">
        <v>3183</v>
      </c>
      <c r="D38" s="104" t="s">
        <v>3755</v>
      </c>
      <c r="E38" s="104" t="s">
        <v>1632</v>
      </c>
      <c r="F38" s="105"/>
      <c r="H38" s="45" t="str">
        <f t="shared" si="0"/>
        <v>Hana – Sokolović – OK Bjelovar</v>
      </c>
      <c r="J38" s="45" t="str">
        <f t="shared" si="1"/>
        <v>Hana – Sokolović – OK Bjelovar</v>
      </c>
      <c r="L38" s="45" t="str">
        <f t="shared" si="2"/>
        <v>Hana – Sokolović</v>
      </c>
      <c r="N38" s="103"/>
      <c r="O38" s="104"/>
      <c r="P38" s="105"/>
    </row>
    <row r="39" spans="2:16" x14ac:dyDescent="0.25">
      <c r="B39" s="103">
        <v>1077</v>
      </c>
      <c r="C39" s="104" t="s">
        <v>3756</v>
      </c>
      <c r="D39" s="104" t="s">
        <v>3755</v>
      </c>
      <c r="E39" s="104" t="s">
        <v>1632</v>
      </c>
      <c r="F39" s="105" t="s">
        <v>2195</v>
      </c>
      <c r="H39" s="45" t="str">
        <f t="shared" si="0"/>
        <v>Slobodan – Sokolović – OK Bjelovar – M55</v>
      </c>
      <c r="J39" s="45" t="str">
        <f t="shared" si="1"/>
        <v>Slobodan – Sokolović – OK Bjelovar</v>
      </c>
      <c r="L39" s="45" t="str">
        <f t="shared" si="2"/>
        <v>Slobodan – Sokolović</v>
      </c>
      <c r="N39" s="103"/>
      <c r="O39" s="104"/>
      <c r="P39" s="105"/>
    </row>
    <row r="40" spans="2:16" x14ac:dyDescent="0.25">
      <c r="B40" s="103">
        <v>1545</v>
      </c>
      <c r="C40" s="104" t="s">
        <v>3757</v>
      </c>
      <c r="D40" s="104" t="s">
        <v>3758</v>
      </c>
      <c r="E40" s="104" t="s">
        <v>1632</v>
      </c>
      <c r="F40" s="105"/>
      <c r="H40" s="45" t="str">
        <f t="shared" si="0"/>
        <v>Miodrag – Truhlaž – OK Bjelovar</v>
      </c>
      <c r="J40" s="45" t="str">
        <f t="shared" si="1"/>
        <v>Miodrag – Truhlaž – OK Bjelovar</v>
      </c>
      <c r="L40" s="45" t="str">
        <f t="shared" si="2"/>
        <v>Miodrag – Truhlaž</v>
      </c>
      <c r="N40" s="103"/>
      <c r="O40" s="104"/>
      <c r="P40" s="105"/>
    </row>
    <row r="41" spans="2:16" x14ac:dyDescent="0.25">
      <c r="B41" s="103">
        <v>1837</v>
      </c>
      <c r="C41" s="104" t="s">
        <v>1454</v>
      </c>
      <c r="D41" s="104" t="s">
        <v>3759</v>
      </c>
      <c r="E41" s="104" t="s">
        <v>479</v>
      </c>
      <c r="F41" s="105"/>
      <c r="H41" s="45" t="str">
        <f t="shared" si="0"/>
        <v>Franjo – Benjak – OK Ivan Merz</v>
      </c>
      <c r="J41" s="45" t="str">
        <f t="shared" si="1"/>
        <v>Franjo – Benjak – OK Ivan Merz</v>
      </c>
      <c r="L41" s="45" t="str">
        <f t="shared" si="2"/>
        <v>Franjo – Benjak</v>
      </c>
      <c r="N41" s="103"/>
      <c r="O41" s="104"/>
      <c r="P41" s="105"/>
    </row>
    <row r="42" spans="2:16" x14ac:dyDescent="0.25">
      <c r="B42" s="103">
        <v>1569</v>
      </c>
      <c r="C42" s="104" t="s">
        <v>3760</v>
      </c>
      <c r="D42" s="104" t="s">
        <v>3761</v>
      </c>
      <c r="E42" s="104" t="s">
        <v>479</v>
      </c>
      <c r="F42" s="105" t="s">
        <v>2637</v>
      </c>
      <c r="H42" s="45" t="str">
        <f t="shared" si="0"/>
        <v>Elizabeta – Bilić – OK Ivan Merz – Ž12</v>
      </c>
      <c r="J42" s="45" t="str">
        <f t="shared" si="1"/>
        <v>Elizabeta – Bilić – OK Ivan Merz</v>
      </c>
      <c r="L42" s="45" t="str">
        <f t="shared" si="2"/>
        <v>Elizabeta – Bilić</v>
      </c>
      <c r="N42" s="103"/>
      <c r="O42" s="104"/>
      <c r="P42" s="105"/>
    </row>
    <row r="43" spans="2:16" x14ac:dyDescent="0.25">
      <c r="B43" s="103">
        <v>1144</v>
      </c>
      <c r="C43" s="104" t="s">
        <v>438</v>
      </c>
      <c r="D43" s="104" t="s">
        <v>3761</v>
      </c>
      <c r="E43" s="104" t="s">
        <v>479</v>
      </c>
      <c r="F43" s="105" t="s">
        <v>1909</v>
      </c>
      <c r="H43" s="45" t="str">
        <f t="shared" si="0"/>
        <v>Ivan – Bilić – OK Ivan Merz – M45</v>
      </c>
      <c r="J43" s="45" t="str">
        <f t="shared" si="1"/>
        <v>Ivan – Bilić – OK Ivan Merz</v>
      </c>
      <c r="L43" s="45" t="str">
        <f t="shared" si="2"/>
        <v>Ivan – Bilić</v>
      </c>
      <c r="N43" s="103"/>
      <c r="O43" s="104"/>
      <c r="P43" s="105"/>
    </row>
    <row r="44" spans="2:16" x14ac:dyDescent="0.25">
      <c r="B44" s="103">
        <v>1342</v>
      </c>
      <c r="C44" s="104" t="s">
        <v>476</v>
      </c>
      <c r="D44" s="104" t="s">
        <v>475</v>
      </c>
      <c r="E44" s="104" t="s">
        <v>479</v>
      </c>
      <c r="F44" s="105" t="s">
        <v>487</v>
      </c>
      <c r="H44" s="45" t="str">
        <f t="shared" si="0"/>
        <v>Jakov – Boban – OK Ivan Merz – M14</v>
      </c>
      <c r="J44" s="45" t="str">
        <f t="shared" si="1"/>
        <v>Jakov – Boban – OK Ivan Merz</v>
      </c>
      <c r="L44" s="45" t="str">
        <f t="shared" si="2"/>
        <v>Jakov – Boban</v>
      </c>
      <c r="N44" s="103"/>
      <c r="O44" s="104"/>
      <c r="P44" s="105"/>
    </row>
    <row r="45" spans="2:16" x14ac:dyDescent="0.25">
      <c r="B45" s="103">
        <v>1427</v>
      </c>
      <c r="C45" s="104" t="s">
        <v>2245</v>
      </c>
      <c r="D45" s="104" t="s">
        <v>475</v>
      </c>
      <c r="E45" s="104" t="s">
        <v>479</v>
      </c>
      <c r="F45" s="105" t="s">
        <v>2195</v>
      </c>
      <c r="H45" s="45" t="str">
        <f t="shared" si="0"/>
        <v>Mile – Boban – OK Ivan Merz – M55</v>
      </c>
      <c r="J45" s="45" t="str">
        <f t="shared" si="1"/>
        <v>Mile – Boban – OK Ivan Merz</v>
      </c>
      <c r="L45" s="45" t="str">
        <f t="shared" si="2"/>
        <v>Mile – Boban</v>
      </c>
      <c r="N45" s="103"/>
      <c r="O45" s="104"/>
      <c r="P45" s="105"/>
    </row>
    <row r="46" spans="2:16" x14ac:dyDescent="0.25">
      <c r="B46" s="103">
        <v>1414</v>
      </c>
      <c r="C46" s="104" t="s">
        <v>2773</v>
      </c>
      <c r="D46" s="104" t="s">
        <v>475</v>
      </c>
      <c r="E46" s="104" t="s">
        <v>479</v>
      </c>
      <c r="F46" s="105" t="s">
        <v>3443</v>
      </c>
      <c r="H46" s="45" t="str">
        <f t="shared" si="0"/>
        <v>Mirta – Boban – OK Ivan Merz – Ž45</v>
      </c>
      <c r="J46" s="45" t="str">
        <f t="shared" si="1"/>
        <v>Mirta – Boban – OK Ivan Merz</v>
      </c>
      <c r="L46" s="45" t="str">
        <f t="shared" si="2"/>
        <v>Mirta – Boban</v>
      </c>
      <c r="N46" s="103"/>
      <c r="O46" s="104"/>
      <c r="P46" s="105"/>
    </row>
    <row r="47" spans="2:16" x14ac:dyDescent="0.25">
      <c r="B47" s="103">
        <v>1226</v>
      </c>
      <c r="C47" s="104" t="s">
        <v>3762</v>
      </c>
      <c r="D47" s="104" t="s">
        <v>475</v>
      </c>
      <c r="E47" s="104" t="s">
        <v>479</v>
      </c>
      <c r="F47" s="105" t="s">
        <v>2928</v>
      </c>
      <c r="H47" s="45" t="str">
        <f t="shared" si="0"/>
        <v>Rea – Boban – OK Ivan Merz – Ž20</v>
      </c>
      <c r="J47" s="45" t="str">
        <f t="shared" si="1"/>
        <v>Rea – Boban – OK Ivan Merz</v>
      </c>
      <c r="L47" s="45" t="str">
        <f t="shared" si="2"/>
        <v>Rea – Boban</v>
      </c>
      <c r="N47" s="103"/>
      <c r="O47" s="104"/>
      <c r="P47" s="105"/>
    </row>
    <row r="48" spans="2:16" x14ac:dyDescent="0.25">
      <c r="B48" s="103">
        <v>1760</v>
      </c>
      <c r="C48" s="104" t="s">
        <v>3763</v>
      </c>
      <c r="D48" s="104" t="s">
        <v>3764</v>
      </c>
      <c r="E48" s="104" t="s">
        <v>479</v>
      </c>
      <c r="F48" s="105"/>
      <c r="H48" s="45" t="str">
        <f t="shared" si="0"/>
        <v>Irena – Detić – OK Ivan Merz</v>
      </c>
      <c r="J48" s="45" t="str">
        <f t="shared" si="1"/>
        <v>Irena – Detić – OK Ivan Merz</v>
      </c>
      <c r="L48" s="45" t="str">
        <f t="shared" si="2"/>
        <v>Irena – Detić</v>
      </c>
      <c r="N48" s="103"/>
      <c r="O48" s="104"/>
      <c r="P48" s="105"/>
    </row>
    <row r="49" spans="2:16" x14ac:dyDescent="0.25">
      <c r="B49" s="103">
        <v>1435</v>
      </c>
      <c r="C49" s="104" t="s">
        <v>2912</v>
      </c>
      <c r="D49" s="104" t="s">
        <v>508</v>
      </c>
      <c r="E49" s="104" t="s">
        <v>479</v>
      </c>
      <c r="F49" s="105" t="s">
        <v>2766</v>
      </c>
      <c r="H49" s="45" t="str">
        <f t="shared" si="0"/>
        <v>Jelena – Gojmerac – OK Ivan Merz – Ž16</v>
      </c>
      <c r="J49" s="45" t="str">
        <f t="shared" si="1"/>
        <v>Jelena – Gojmerac – OK Ivan Merz</v>
      </c>
      <c r="L49" s="45" t="str">
        <f t="shared" si="2"/>
        <v>Jelena – Gojmerac</v>
      </c>
      <c r="N49" s="103"/>
      <c r="O49" s="104"/>
      <c r="P49" s="105"/>
    </row>
    <row r="50" spans="2:16" x14ac:dyDescent="0.25">
      <c r="B50" s="103">
        <v>1236</v>
      </c>
      <c r="C50" s="104" t="s">
        <v>2565</v>
      </c>
      <c r="D50" s="104" t="s">
        <v>508</v>
      </c>
      <c r="E50" s="104" t="s">
        <v>479</v>
      </c>
      <c r="F50" s="105" t="s">
        <v>2928</v>
      </c>
      <c r="H50" s="45" t="str">
        <f t="shared" si="0"/>
        <v>Lucija – Gojmerac – OK Ivan Merz – Ž20</v>
      </c>
      <c r="J50" s="45" t="str">
        <f t="shared" si="1"/>
        <v>Lucija – Gojmerac – OK Ivan Merz</v>
      </c>
      <c r="L50" s="45" t="str">
        <f t="shared" si="2"/>
        <v>Lucija – Gojmerac</v>
      </c>
      <c r="N50" s="103"/>
      <c r="O50" s="104"/>
      <c r="P50" s="105"/>
    </row>
    <row r="51" spans="2:16" x14ac:dyDescent="0.25">
      <c r="B51" s="103">
        <v>1285</v>
      </c>
      <c r="C51" s="104" t="s">
        <v>509</v>
      </c>
      <c r="D51" s="104" t="s">
        <v>508</v>
      </c>
      <c r="E51" s="104" t="s">
        <v>479</v>
      </c>
      <c r="F51" s="105" t="s">
        <v>487</v>
      </c>
      <c r="H51" s="45" t="str">
        <f t="shared" si="0"/>
        <v>Luka – Gojmerac – OK Ivan Merz – M14</v>
      </c>
      <c r="J51" s="45" t="str">
        <f t="shared" si="1"/>
        <v>Luka – Gojmerac – OK Ivan Merz</v>
      </c>
      <c r="L51" s="45" t="str">
        <f t="shared" si="2"/>
        <v>Luka – Gojmerac</v>
      </c>
      <c r="N51" s="103"/>
      <c r="O51" s="104"/>
      <c r="P51" s="105"/>
    </row>
    <row r="52" spans="2:16" x14ac:dyDescent="0.25">
      <c r="B52" s="103">
        <v>1215</v>
      </c>
      <c r="C52" s="104" t="s">
        <v>2825</v>
      </c>
      <c r="D52" s="104" t="s">
        <v>508</v>
      </c>
      <c r="E52" s="104" t="s">
        <v>479</v>
      </c>
      <c r="F52" s="105" t="s">
        <v>2928</v>
      </c>
      <c r="H52" s="45" t="str">
        <f t="shared" si="0"/>
        <v>Marta – Gojmerac – OK Ivan Merz – Ž20</v>
      </c>
      <c r="J52" s="45" t="str">
        <f t="shared" si="1"/>
        <v>Marta – Gojmerac – OK Ivan Merz</v>
      </c>
      <c r="L52" s="45" t="str">
        <f t="shared" si="2"/>
        <v>Marta – Gojmerac</v>
      </c>
      <c r="N52" s="103"/>
      <c r="O52" s="104"/>
      <c r="P52" s="105"/>
    </row>
    <row r="53" spans="2:16" x14ac:dyDescent="0.25">
      <c r="B53" s="103">
        <v>1045</v>
      </c>
      <c r="C53" s="104" t="s">
        <v>2623</v>
      </c>
      <c r="D53" s="104" t="s">
        <v>508</v>
      </c>
      <c r="E53" s="104" t="s">
        <v>479</v>
      </c>
      <c r="F53" s="105" t="s">
        <v>3443</v>
      </c>
      <c r="H53" s="45" t="str">
        <f t="shared" si="0"/>
        <v>Mirjana – Gojmerac – OK Ivan Merz – Ž45</v>
      </c>
      <c r="J53" s="45" t="str">
        <f t="shared" si="1"/>
        <v>Mirjana – Gojmerac – OK Ivan Merz</v>
      </c>
      <c r="L53" s="45" t="str">
        <f t="shared" si="2"/>
        <v>Mirjana – Gojmerac</v>
      </c>
      <c r="N53" s="103"/>
      <c r="O53" s="104"/>
      <c r="P53" s="105"/>
    </row>
    <row r="54" spans="2:16" x14ac:dyDescent="0.25">
      <c r="B54" s="103">
        <v>1303</v>
      </c>
      <c r="C54" s="104" t="s">
        <v>453</v>
      </c>
      <c r="D54" s="104" t="s">
        <v>508</v>
      </c>
      <c r="E54" s="104" t="s">
        <v>479</v>
      </c>
      <c r="F54" s="105" t="s">
        <v>1130</v>
      </c>
      <c r="H54" s="45" t="str">
        <f t="shared" si="0"/>
        <v>Petar – Gojmerac – OK Ivan Merz – M21B</v>
      </c>
      <c r="J54" s="45" t="str">
        <f t="shared" si="1"/>
        <v>Petar – Gojmerac – OK Ivan Merz</v>
      </c>
      <c r="L54" s="45" t="str">
        <f t="shared" si="2"/>
        <v>Petar – Gojmerac</v>
      </c>
      <c r="N54" s="103"/>
      <c r="O54" s="104"/>
      <c r="P54" s="105"/>
    </row>
    <row r="55" spans="2:16" x14ac:dyDescent="0.25">
      <c r="B55" s="103">
        <v>1325</v>
      </c>
      <c r="C55" s="104" t="s">
        <v>1029</v>
      </c>
      <c r="D55" s="104" t="s">
        <v>508</v>
      </c>
      <c r="E55" s="104" t="s">
        <v>479</v>
      </c>
      <c r="F55" s="105" t="s">
        <v>1909</v>
      </c>
      <c r="H55" s="45" t="str">
        <f t="shared" si="0"/>
        <v>Tomislav – Gojmerac – OK Ivan Merz – M45</v>
      </c>
      <c r="J55" s="45" t="str">
        <f t="shared" si="1"/>
        <v>Tomislav – Gojmerac – OK Ivan Merz</v>
      </c>
      <c r="L55" s="45" t="str">
        <f t="shared" si="2"/>
        <v>Tomislav – Gojmerac</v>
      </c>
      <c r="N55" s="103"/>
      <c r="O55" s="104"/>
      <c r="P55" s="105"/>
    </row>
    <row r="56" spans="2:16" x14ac:dyDescent="0.25">
      <c r="B56" s="103">
        <v>1772</v>
      </c>
      <c r="C56" s="104" t="s">
        <v>3765</v>
      </c>
      <c r="D56" s="104" t="s">
        <v>3766</v>
      </c>
      <c r="E56" s="104" t="s">
        <v>479</v>
      </c>
      <c r="F56" s="105"/>
      <c r="H56" s="45" t="str">
        <f t="shared" si="0"/>
        <v>Leon – Hlad – OK Ivan Merz</v>
      </c>
      <c r="J56" s="45" t="str">
        <f t="shared" si="1"/>
        <v>Leon – Hlad – OK Ivan Merz</v>
      </c>
      <c r="L56" s="45" t="str">
        <f t="shared" si="2"/>
        <v>Leon – Hlad</v>
      </c>
      <c r="N56" s="103"/>
      <c r="O56" s="104"/>
      <c r="P56" s="105"/>
    </row>
    <row r="57" spans="2:16" x14ac:dyDescent="0.25">
      <c r="B57" s="103">
        <v>1773</v>
      </c>
      <c r="C57" s="104" t="s">
        <v>920</v>
      </c>
      <c r="D57" s="104" t="s">
        <v>3766</v>
      </c>
      <c r="E57" s="104" t="s">
        <v>479</v>
      </c>
      <c r="F57" s="105"/>
      <c r="H57" s="45" t="str">
        <f t="shared" si="0"/>
        <v>Matija – Hlad – OK Ivan Merz</v>
      </c>
      <c r="J57" s="45" t="str">
        <f t="shared" si="1"/>
        <v>Matija – Hlad – OK Ivan Merz</v>
      </c>
      <c r="L57" s="45" t="str">
        <f t="shared" si="2"/>
        <v>Matija – Hlad</v>
      </c>
      <c r="N57" s="103"/>
      <c r="O57" s="104"/>
      <c r="P57" s="105"/>
    </row>
    <row r="58" spans="2:16" x14ac:dyDescent="0.25">
      <c r="B58" s="103">
        <v>1771</v>
      </c>
      <c r="C58" s="104" t="s">
        <v>1029</v>
      </c>
      <c r="D58" s="104" t="s">
        <v>3766</v>
      </c>
      <c r="E58" s="104" t="s">
        <v>479</v>
      </c>
      <c r="F58" s="105"/>
      <c r="H58" s="45" t="str">
        <f t="shared" si="0"/>
        <v>Tomislav – Hlad – OK Ivan Merz</v>
      </c>
      <c r="J58" s="45" t="str">
        <f t="shared" si="1"/>
        <v>Tomislav – Hlad – OK Ivan Merz</v>
      </c>
      <c r="L58" s="45" t="str">
        <f t="shared" si="2"/>
        <v>Tomislav – Hlad</v>
      </c>
      <c r="N58" s="103"/>
      <c r="O58" s="104"/>
      <c r="P58" s="105"/>
    </row>
    <row r="59" spans="2:16" x14ac:dyDescent="0.25">
      <c r="B59" s="103">
        <v>1764</v>
      </c>
      <c r="C59" s="104" t="s">
        <v>3767</v>
      </c>
      <c r="D59" s="104" t="s">
        <v>3768</v>
      </c>
      <c r="E59" s="104" t="s">
        <v>479</v>
      </c>
      <c r="F59" s="105"/>
      <c r="H59" s="45" t="str">
        <f t="shared" si="0"/>
        <v>Šimun – Ilčić – OK Ivan Merz</v>
      </c>
      <c r="J59" s="45" t="str">
        <f t="shared" si="1"/>
        <v>Šimun – Ilčić – OK Ivan Merz</v>
      </c>
      <c r="L59" s="45" t="str">
        <f t="shared" si="2"/>
        <v>Šimun – Ilčić</v>
      </c>
      <c r="N59" s="103"/>
      <c r="O59" s="104"/>
      <c r="P59" s="105"/>
    </row>
    <row r="60" spans="2:16" x14ac:dyDescent="0.25">
      <c r="B60" s="103">
        <v>1761</v>
      </c>
      <c r="C60" s="104" t="s">
        <v>472</v>
      </c>
      <c r="D60" s="104" t="s">
        <v>3769</v>
      </c>
      <c r="E60" s="104" t="s">
        <v>479</v>
      </c>
      <c r="F60" s="105"/>
      <c r="H60" s="45" t="str">
        <f t="shared" si="0"/>
        <v>Filip – Jurak – OK Ivan Merz</v>
      </c>
      <c r="J60" s="45" t="str">
        <f t="shared" si="1"/>
        <v>Filip – Jurak – OK Ivan Merz</v>
      </c>
      <c r="L60" s="45" t="str">
        <f t="shared" si="2"/>
        <v>Filip – Jurak</v>
      </c>
      <c r="N60" s="103"/>
      <c r="O60" s="104"/>
      <c r="P60" s="105"/>
    </row>
    <row r="61" spans="2:16" x14ac:dyDescent="0.25">
      <c r="B61" s="103">
        <v>1392</v>
      </c>
      <c r="C61" s="104" t="s">
        <v>2647</v>
      </c>
      <c r="D61" s="104" t="s">
        <v>3770</v>
      </c>
      <c r="E61" s="104" t="s">
        <v>479</v>
      </c>
      <c r="F61" s="105" t="s">
        <v>2928</v>
      </c>
      <c r="H61" s="45" t="str">
        <f t="shared" si="0"/>
        <v>Dora – Kermek – OK Ivan Merz – Ž20</v>
      </c>
      <c r="J61" s="45" t="str">
        <f t="shared" si="1"/>
        <v>Dora – Kermek – OK Ivan Merz</v>
      </c>
      <c r="L61" s="45" t="str">
        <f t="shared" si="2"/>
        <v>Dora – Kermek</v>
      </c>
      <c r="N61" s="103"/>
      <c r="O61" s="104"/>
      <c r="P61" s="105"/>
    </row>
    <row r="62" spans="2:16" x14ac:dyDescent="0.25">
      <c r="B62" s="103">
        <v>1587</v>
      </c>
      <c r="C62" s="104" t="s">
        <v>3253</v>
      </c>
      <c r="D62" s="104" t="s">
        <v>3771</v>
      </c>
      <c r="E62" s="104" t="s">
        <v>479</v>
      </c>
      <c r="F62" s="105"/>
      <c r="H62" s="45" t="str">
        <f t="shared" si="0"/>
        <v>Marina – Kopjar – OK Ivan Merz</v>
      </c>
      <c r="J62" s="45" t="str">
        <f t="shared" si="1"/>
        <v>Marina – Kopjar – OK Ivan Merz</v>
      </c>
      <c r="L62" s="45" t="str">
        <f t="shared" si="2"/>
        <v>Marina – Kopjar</v>
      </c>
      <c r="N62" s="103"/>
      <c r="O62" s="104"/>
      <c r="P62" s="105"/>
    </row>
    <row r="63" spans="2:16" x14ac:dyDescent="0.25">
      <c r="B63" s="103">
        <v>1767</v>
      </c>
      <c r="C63" s="104" t="s">
        <v>2704</v>
      </c>
      <c r="D63" s="104" t="s">
        <v>3772</v>
      </c>
      <c r="E63" s="104" t="s">
        <v>479</v>
      </c>
      <c r="F63" s="105"/>
      <c r="H63" s="45" t="str">
        <f t="shared" si="0"/>
        <v>Ema – Kovačić – OK Ivan Merz</v>
      </c>
      <c r="J63" s="45" t="str">
        <f t="shared" si="1"/>
        <v>Ema – Kovačić – OK Ivan Merz</v>
      </c>
      <c r="L63" s="45" t="str">
        <f t="shared" si="2"/>
        <v>Ema – Kovačić</v>
      </c>
      <c r="N63" s="103"/>
      <c r="O63" s="104"/>
      <c r="P63" s="105"/>
    </row>
    <row r="64" spans="2:16" x14ac:dyDescent="0.25">
      <c r="B64" s="103">
        <v>1768</v>
      </c>
      <c r="C64" s="104" t="s">
        <v>3773</v>
      </c>
      <c r="D64" s="104" t="s">
        <v>3772</v>
      </c>
      <c r="E64" s="104" t="s">
        <v>479</v>
      </c>
      <c r="F64" s="105"/>
      <c r="H64" s="45" t="str">
        <f t="shared" si="0"/>
        <v>Mia – Kovačić – OK Ivan Merz</v>
      </c>
      <c r="J64" s="45" t="str">
        <f t="shared" si="1"/>
        <v>Mia – Kovačić – OK Ivan Merz</v>
      </c>
      <c r="L64" s="45" t="str">
        <f t="shared" si="2"/>
        <v>Mia – Kovačić</v>
      </c>
      <c r="N64" s="103"/>
      <c r="O64" s="104"/>
      <c r="P64" s="105"/>
    </row>
    <row r="65" spans="2:16" x14ac:dyDescent="0.25">
      <c r="B65" s="103">
        <v>1769</v>
      </c>
      <c r="C65" s="104" t="s">
        <v>3774</v>
      </c>
      <c r="D65" s="104" t="s">
        <v>3775</v>
      </c>
      <c r="E65" s="104" t="s">
        <v>479</v>
      </c>
      <c r="F65" s="105"/>
      <c r="H65" s="45" t="str">
        <f t="shared" si="0"/>
        <v>David – Lazar – OK Ivan Merz</v>
      </c>
      <c r="J65" s="45" t="str">
        <f t="shared" si="1"/>
        <v>David – Lazar – OK Ivan Merz</v>
      </c>
      <c r="L65" s="45" t="str">
        <f t="shared" si="2"/>
        <v>David – Lazar</v>
      </c>
      <c r="N65" s="103"/>
      <c r="O65" s="104"/>
      <c r="P65" s="105"/>
    </row>
    <row r="66" spans="2:16" x14ac:dyDescent="0.25">
      <c r="B66" s="103">
        <v>1770</v>
      </c>
      <c r="C66" s="104" t="s">
        <v>3776</v>
      </c>
      <c r="D66" s="104" t="s">
        <v>3777</v>
      </c>
      <c r="E66" s="104" t="s">
        <v>479</v>
      </c>
      <c r="F66" s="105"/>
      <c r="H66" s="45" t="str">
        <f t="shared" si="0"/>
        <v>Bruno – Marić – OK Ivan Merz</v>
      </c>
      <c r="J66" s="45" t="str">
        <f t="shared" si="1"/>
        <v>Bruno – Marić – OK Ivan Merz</v>
      </c>
      <c r="L66" s="45" t="str">
        <f t="shared" si="2"/>
        <v>Bruno – Marić</v>
      </c>
      <c r="N66" s="103"/>
      <c r="O66" s="104"/>
      <c r="P66" s="105"/>
    </row>
    <row r="67" spans="2:16" x14ac:dyDescent="0.25">
      <c r="B67" s="103">
        <v>1774</v>
      </c>
      <c r="C67" s="104" t="s">
        <v>3778</v>
      </c>
      <c r="D67" s="104" t="s">
        <v>3779</v>
      </c>
      <c r="E67" s="104" t="s">
        <v>479</v>
      </c>
      <c r="F67" s="105"/>
      <c r="H67" s="45" t="str">
        <f t="shared" si="0"/>
        <v>Igor – Milinković – OK Ivan Merz</v>
      </c>
      <c r="J67" s="45" t="str">
        <f t="shared" si="1"/>
        <v>Igor – Milinković – OK Ivan Merz</v>
      </c>
      <c r="L67" s="45" t="str">
        <f t="shared" si="2"/>
        <v>Igor – Milinković</v>
      </c>
      <c r="N67" s="103"/>
      <c r="O67" s="104"/>
      <c r="P67" s="105"/>
    </row>
    <row r="68" spans="2:16" x14ac:dyDescent="0.25">
      <c r="B68" s="103">
        <v>1396</v>
      </c>
      <c r="C68" s="104" t="s">
        <v>605</v>
      </c>
      <c r="D68" s="104" t="s">
        <v>3780</v>
      </c>
      <c r="E68" s="104" t="s">
        <v>479</v>
      </c>
      <c r="F68" s="105"/>
      <c r="H68" s="45" t="str">
        <f t="shared" si="0"/>
        <v>Marko – Omazić – OK Ivan Merz</v>
      </c>
      <c r="J68" s="45" t="str">
        <f t="shared" si="1"/>
        <v>Marko – Omazić – OK Ivan Merz</v>
      </c>
      <c r="L68" s="45" t="str">
        <f t="shared" si="2"/>
        <v>Marko – Omazić</v>
      </c>
      <c r="N68" s="103"/>
      <c r="O68" s="104"/>
      <c r="P68" s="105"/>
    </row>
    <row r="69" spans="2:16" x14ac:dyDescent="0.25">
      <c r="B69" s="103">
        <v>1763</v>
      </c>
      <c r="C69" s="104" t="s">
        <v>2825</v>
      </c>
      <c r="D69" s="104" t="s">
        <v>3781</v>
      </c>
      <c r="E69" s="104" t="s">
        <v>479</v>
      </c>
      <c r="F69" s="105"/>
      <c r="H69" s="45" t="str">
        <f t="shared" si="0"/>
        <v>Marta – Petak – OK Ivan Merz</v>
      </c>
      <c r="J69" s="45" t="str">
        <f t="shared" si="1"/>
        <v>Marta – Petak – OK Ivan Merz</v>
      </c>
      <c r="L69" s="45" t="str">
        <f t="shared" si="2"/>
        <v>Marta – Petak</v>
      </c>
      <c r="N69" s="103"/>
      <c r="O69" s="104"/>
      <c r="P69" s="105"/>
    </row>
    <row r="70" spans="2:16" x14ac:dyDescent="0.25">
      <c r="B70" s="103">
        <v>1664</v>
      </c>
      <c r="C70" s="104" t="s">
        <v>1867</v>
      </c>
      <c r="D70" s="104" t="s">
        <v>3300</v>
      </c>
      <c r="E70" s="104" t="s">
        <v>479</v>
      </c>
      <c r="F70" s="105"/>
      <c r="H70" s="45" t="str">
        <f t="shared" si="0"/>
        <v>Damir – Popović – OK Ivan Merz</v>
      </c>
      <c r="J70" s="45" t="str">
        <f t="shared" si="1"/>
        <v>Damir – Popović – OK Ivan Merz</v>
      </c>
      <c r="L70" s="45" t="str">
        <f t="shared" si="2"/>
        <v>Damir – Popović</v>
      </c>
      <c r="N70" s="103"/>
      <c r="O70" s="104"/>
      <c r="P70" s="105"/>
    </row>
    <row r="71" spans="2:16" x14ac:dyDescent="0.25">
      <c r="B71" s="103">
        <v>1641</v>
      </c>
      <c r="C71" s="104" t="s">
        <v>1763</v>
      </c>
      <c r="D71" s="104" t="s">
        <v>3782</v>
      </c>
      <c r="E71" s="104" t="s">
        <v>479</v>
      </c>
      <c r="F71" s="105"/>
      <c r="H71" s="45" t="str">
        <f t="shared" si="0"/>
        <v>Miroslav – Priher – OK Ivan Merz</v>
      </c>
      <c r="J71" s="45" t="str">
        <f t="shared" si="1"/>
        <v>Miroslav – Priher – OK Ivan Merz</v>
      </c>
      <c r="L71" s="45" t="str">
        <f t="shared" si="2"/>
        <v>Miroslav – Priher</v>
      </c>
      <c r="N71" s="103"/>
      <c r="O71" s="104"/>
      <c r="P71" s="105"/>
    </row>
    <row r="72" spans="2:16" x14ac:dyDescent="0.25">
      <c r="B72" s="103">
        <v>1766</v>
      </c>
      <c r="C72" s="104" t="s">
        <v>3783</v>
      </c>
      <c r="D72" s="104" t="s">
        <v>3784</v>
      </c>
      <c r="E72" s="104" t="s">
        <v>479</v>
      </c>
      <c r="F72" s="105"/>
      <c r="H72" s="45" t="str">
        <f t="shared" si="0"/>
        <v>Mislav – Radovanović – OK Ivan Merz</v>
      </c>
      <c r="J72" s="45" t="str">
        <f t="shared" si="1"/>
        <v>Mislav – Radovanović – OK Ivan Merz</v>
      </c>
      <c r="L72" s="45" t="str">
        <f t="shared" si="2"/>
        <v>Mislav – Radovanović</v>
      </c>
      <c r="N72" s="103"/>
      <c r="O72" s="104"/>
      <c r="P72" s="105"/>
    </row>
    <row r="73" spans="2:16" x14ac:dyDescent="0.25">
      <c r="B73" s="103">
        <v>1765</v>
      </c>
      <c r="C73" s="104" t="s">
        <v>1713</v>
      </c>
      <c r="D73" s="104" t="s">
        <v>3784</v>
      </c>
      <c r="E73" s="104" t="s">
        <v>479</v>
      </c>
      <c r="F73" s="105"/>
      <c r="H73" s="45" t="str">
        <f t="shared" si="0"/>
        <v>Vanja – Radovanović – OK Ivan Merz</v>
      </c>
      <c r="J73" s="45" t="str">
        <f t="shared" si="1"/>
        <v>Vanja – Radovanović – OK Ivan Merz</v>
      </c>
      <c r="L73" s="45" t="str">
        <f t="shared" si="2"/>
        <v>Vanja – Radovanović</v>
      </c>
      <c r="N73" s="103"/>
      <c r="O73" s="104"/>
      <c r="P73" s="105"/>
    </row>
    <row r="74" spans="2:16" x14ac:dyDescent="0.25">
      <c r="B74" s="103">
        <v>1775</v>
      </c>
      <c r="C74" s="104" t="s">
        <v>3785</v>
      </c>
      <c r="D74" s="104" t="s">
        <v>3784</v>
      </c>
      <c r="E74" s="104" t="s">
        <v>479</v>
      </c>
      <c r="F74" s="105"/>
      <c r="H74" s="45" t="str">
        <f t="shared" si="0"/>
        <v>Žarko – Radovanović – OK Ivan Merz</v>
      </c>
      <c r="J74" s="45" t="str">
        <f t="shared" si="1"/>
        <v>Žarko – Radovanović – OK Ivan Merz</v>
      </c>
      <c r="L74" s="45" t="str">
        <f t="shared" si="2"/>
        <v>Žarko – Radovanović</v>
      </c>
      <c r="N74" s="103"/>
      <c r="O74" s="104"/>
      <c r="P74" s="105"/>
    </row>
    <row r="75" spans="2:16" x14ac:dyDescent="0.25">
      <c r="B75" s="103">
        <v>1663</v>
      </c>
      <c r="C75" s="104" t="s">
        <v>2595</v>
      </c>
      <c r="D75" s="104" t="s">
        <v>2993</v>
      </c>
      <c r="E75" s="104" t="s">
        <v>479</v>
      </c>
      <c r="F75" s="105"/>
      <c r="H75" s="45" t="str">
        <f t="shared" ref="H75:H138" si="3">IF(C75="","",C75) &amp; IF(D75="",""," – " &amp; D75) &amp; IF(E75="",""," – " &amp; E75) &amp; IF(F75="",""," – " &amp; F75)</f>
        <v>Maja – Srebačić – OK Ivan Merz</v>
      </c>
      <c r="J75" s="45" t="str">
        <f t="shared" ref="J75:J138" si="4">IF(C75="","",C75) &amp; IF(D75="",""," – " &amp; D75) &amp; IF(E75="",""," – " &amp; E75)</f>
        <v>Maja – Srebačić – OK Ivan Merz</v>
      </c>
      <c r="L75" s="45" t="str">
        <f t="shared" ref="L75:L138" si="5">IF(C75="","",C75) &amp; IF(D75="",""," – " &amp; D75)</f>
        <v>Maja – Srebačić</v>
      </c>
      <c r="N75" s="103"/>
      <c r="O75" s="104"/>
      <c r="P75" s="105"/>
    </row>
    <row r="76" spans="2:16" x14ac:dyDescent="0.25">
      <c r="B76" s="103">
        <v>1563</v>
      </c>
      <c r="C76" s="104" t="s">
        <v>1336</v>
      </c>
      <c r="D76" s="104" t="s">
        <v>2191</v>
      </c>
      <c r="E76" s="104" t="s">
        <v>479</v>
      </c>
      <c r="F76" s="105" t="s">
        <v>2195</v>
      </c>
      <c r="H76" s="45" t="str">
        <f t="shared" si="3"/>
        <v>Dario – Štambuk – OK Ivan Merz – M55</v>
      </c>
      <c r="J76" s="45" t="str">
        <f t="shared" si="4"/>
        <v>Dario – Štambuk – OK Ivan Merz</v>
      </c>
      <c r="L76" s="45" t="str">
        <f t="shared" si="5"/>
        <v>Dario – Štambuk</v>
      </c>
      <c r="N76" s="103"/>
      <c r="O76" s="104"/>
      <c r="P76" s="105"/>
    </row>
    <row r="77" spans="2:16" x14ac:dyDescent="0.25">
      <c r="B77" s="103">
        <v>1493</v>
      </c>
      <c r="C77" s="104" t="s">
        <v>2901</v>
      </c>
      <c r="D77" s="104" t="s">
        <v>2191</v>
      </c>
      <c r="E77" s="104" t="s">
        <v>479</v>
      </c>
      <c r="F77" s="105" t="s">
        <v>2766</v>
      </c>
      <c r="H77" s="45" t="str">
        <f t="shared" si="3"/>
        <v>Lucija Marijela – Štambuk – OK Ivan Merz – Ž16</v>
      </c>
      <c r="J77" s="45" t="str">
        <f t="shared" si="4"/>
        <v>Lucija Marijela – Štambuk – OK Ivan Merz</v>
      </c>
      <c r="L77" s="45" t="str">
        <f t="shared" si="5"/>
        <v>Lucija Marijela – Štambuk</v>
      </c>
      <c r="N77" s="103"/>
      <c r="O77" s="104"/>
      <c r="P77" s="105"/>
    </row>
    <row r="78" spans="2:16" x14ac:dyDescent="0.25">
      <c r="B78" s="103">
        <v>1117</v>
      </c>
      <c r="C78" s="104" t="s">
        <v>3560</v>
      </c>
      <c r="D78" s="104" t="s">
        <v>2191</v>
      </c>
      <c r="E78" s="104" t="s">
        <v>479</v>
      </c>
      <c r="F78" s="105" t="s">
        <v>3094</v>
      </c>
      <c r="H78" s="45" t="str">
        <f t="shared" si="3"/>
        <v>Marija – Štambuk – OK Ivan Merz – Ž21B</v>
      </c>
      <c r="J78" s="45" t="str">
        <f t="shared" si="4"/>
        <v>Marija – Štambuk – OK Ivan Merz</v>
      </c>
      <c r="L78" s="45" t="str">
        <f t="shared" si="5"/>
        <v>Marija – Štambuk</v>
      </c>
      <c r="N78" s="103"/>
      <c r="O78" s="104"/>
      <c r="P78" s="105"/>
    </row>
    <row r="79" spans="2:16" x14ac:dyDescent="0.25">
      <c r="B79" s="103">
        <v>1580</v>
      </c>
      <c r="C79" s="104" t="s">
        <v>3743</v>
      </c>
      <c r="D79" s="104" t="s">
        <v>2191</v>
      </c>
      <c r="E79" s="104" t="s">
        <v>479</v>
      </c>
      <c r="F79" s="105" t="s">
        <v>886</v>
      </c>
      <c r="H79" s="45" t="str">
        <f t="shared" si="3"/>
        <v>Matej – Štambuk – OK Ivan Merz – M21A</v>
      </c>
      <c r="J79" s="45" t="str">
        <f t="shared" si="4"/>
        <v>Matej – Štambuk – OK Ivan Merz</v>
      </c>
      <c r="L79" s="45" t="str">
        <f t="shared" si="5"/>
        <v>Matej – Štambuk</v>
      </c>
      <c r="N79" s="103"/>
      <c r="O79" s="104"/>
      <c r="P79" s="105"/>
    </row>
    <row r="80" spans="2:16" x14ac:dyDescent="0.25">
      <c r="B80" s="103">
        <v>1424</v>
      </c>
      <c r="C80" s="104" t="s">
        <v>2938</v>
      </c>
      <c r="D80" s="104" t="s">
        <v>2191</v>
      </c>
      <c r="E80" s="104" t="s">
        <v>479</v>
      </c>
      <c r="F80" s="105" t="s">
        <v>2928</v>
      </c>
      <c r="H80" s="45" t="str">
        <f t="shared" si="3"/>
        <v>Zdenka Petra – Štambuk – OK Ivan Merz – Ž20</v>
      </c>
      <c r="J80" s="45" t="str">
        <f t="shared" si="4"/>
        <v>Zdenka Petra – Štambuk – OK Ivan Merz</v>
      </c>
      <c r="L80" s="45" t="str">
        <f t="shared" si="5"/>
        <v>Zdenka Petra – Štambuk</v>
      </c>
      <c r="N80" s="103"/>
      <c r="O80" s="104"/>
      <c r="P80" s="105"/>
    </row>
    <row r="81" spans="2:16" x14ac:dyDescent="0.25">
      <c r="B81" s="103">
        <v>1043</v>
      </c>
      <c r="C81" s="104" t="s">
        <v>3786</v>
      </c>
      <c r="D81" s="104" t="s">
        <v>3787</v>
      </c>
      <c r="E81" s="104" t="s">
        <v>479</v>
      </c>
      <c r="F81" s="105" t="s">
        <v>3443</v>
      </c>
      <c r="H81" s="45" t="str">
        <f t="shared" si="3"/>
        <v>Senija – Zadravec-Kermek – OK Ivan Merz – Ž45</v>
      </c>
      <c r="J81" s="45" t="str">
        <f t="shared" si="4"/>
        <v>Senija – Zadravec-Kermek – OK Ivan Merz</v>
      </c>
      <c r="L81" s="45" t="str">
        <f t="shared" si="5"/>
        <v>Senija – Zadravec-Kermek</v>
      </c>
      <c r="N81" s="103"/>
      <c r="O81" s="104"/>
      <c r="P81" s="105"/>
    </row>
    <row r="82" spans="2:16" x14ac:dyDescent="0.25">
      <c r="B82" s="103">
        <v>1217</v>
      </c>
      <c r="C82" s="104" t="s">
        <v>3542</v>
      </c>
      <c r="D82" s="104" t="s">
        <v>3541</v>
      </c>
      <c r="E82" s="104" t="s">
        <v>3728</v>
      </c>
      <c r="F82" s="105" t="s">
        <v>3443</v>
      </c>
      <c r="H82" s="45" t="str">
        <f t="shared" si="3"/>
        <v>Gabrijela – Baburek – OK Japetić – Ž45</v>
      </c>
      <c r="J82" s="45" t="str">
        <f t="shared" si="4"/>
        <v>Gabrijela – Baburek – OK Japetić</v>
      </c>
      <c r="L82" s="45" t="str">
        <f t="shared" si="5"/>
        <v>Gabrijela – Baburek</v>
      </c>
      <c r="N82" s="103"/>
      <c r="O82" s="104"/>
      <c r="P82" s="105"/>
    </row>
    <row r="83" spans="2:16" x14ac:dyDescent="0.25">
      <c r="B83" s="103">
        <v>1850</v>
      </c>
      <c r="C83" s="104" t="s">
        <v>3788</v>
      </c>
      <c r="D83" s="104" t="s">
        <v>3789</v>
      </c>
      <c r="E83" s="104" t="s">
        <v>3728</v>
      </c>
      <c r="F83" s="105" t="s">
        <v>2637</v>
      </c>
      <c r="H83" s="45" t="str">
        <f t="shared" si="3"/>
        <v>Tena – Bartaković – OK Japetić – Ž12</v>
      </c>
      <c r="J83" s="45" t="str">
        <f t="shared" si="4"/>
        <v>Tena – Bartaković – OK Japetić</v>
      </c>
      <c r="L83" s="45" t="str">
        <f t="shared" si="5"/>
        <v>Tena – Bartaković</v>
      </c>
      <c r="N83" s="103"/>
      <c r="O83" s="104"/>
      <c r="P83" s="105"/>
    </row>
    <row r="84" spans="2:16" x14ac:dyDescent="0.25">
      <c r="B84" s="103">
        <v>1856</v>
      </c>
      <c r="C84" s="104" t="s">
        <v>353</v>
      </c>
      <c r="D84" s="104" t="s">
        <v>459</v>
      </c>
      <c r="E84" s="104" t="s">
        <v>3728</v>
      </c>
      <c r="F84" s="105" t="s">
        <v>364</v>
      </c>
      <c r="H84" s="45" t="str">
        <f t="shared" si="3"/>
        <v>Lovro – Berečki – OK Japetić – M12</v>
      </c>
      <c r="J84" s="45" t="str">
        <f t="shared" si="4"/>
        <v>Lovro – Berečki – OK Japetić</v>
      </c>
      <c r="L84" s="45" t="str">
        <f t="shared" si="5"/>
        <v>Lovro – Berečki</v>
      </c>
      <c r="N84" s="103"/>
      <c r="O84" s="104"/>
      <c r="P84" s="105"/>
    </row>
    <row r="85" spans="2:16" x14ac:dyDescent="0.25">
      <c r="B85" s="103">
        <v>1841</v>
      </c>
      <c r="C85" s="104" t="s">
        <v>3790</v>
      </c>
      <c r="D85" s="104" t="s">
        <v>3791</v>
      </c>
      <c r="E85" s="104" t="s">
        <v>3728</v>
      </c>
      <c r="F85" s="105" t="s">
        <v>2637</v>
      </c>
      <c r="H85" s="45" t="str">
        <f t="shared" si="3"/>
        <v>Lea – Bošnjak – OK Japetić – Ž12</v>
      </c>
      <c r="J85" s="45" t="str">
        <f t="shared" si="4"/>
        <v>Lea – Bošnjak – OK Japetić</v>
      </c>
      <c r="L85" s="45" t="str">
        <f t="shared" si="5"/>
        <v>Lea – Bošnjak</v>
      </c>
      <c r="N85" s="103"/>
      <c r="O85" s="104"/>
      <c r="P85" s="105"/>
    </row>
    <row r="86" spans="2:16" x14ac:dyDescent="0.25">
      <c r="B86" s="103">
        <v>1305</v>
      </c>
      <c r="C86" s="104" t="s">
        <v>2437</v>
      </c>
      <c r="D86" s="104" t="s">
        <v>1645</v>
      </c>
      <c r="E86" s="104" t="s">
        <v>3728</v>
      </c>
      <c r="F86" s="105" t="s">
        <v>2637</v>
      </c>
      <c r="H86" s="45" t="str">
        <f t="shared" si="3"/>
        <v>Ana – Budi – OK Japetić – Ž12</v>
      </c>
      <c r="J86" s="45" t="str">
        <f t="shared" si="4"/>
        <v>Ana – Budi – OK Japetić</v>
      </c>
      <c r="L86" s="45" t="str">
        <f t="shared" si="5"/>
        <v>Ana – Budi</v>
      </c>
      <c r="N86" s="103"/>
      <c r="O86" s="104"/>
      <c r="P86" s="105"/>
    </row>
    <row r="87" spans="2:16" x14ac:dyDescent="0.25">
      <c r="B87" s="103">
        <v>1385</v>
      </c>
      <c r="C87" s="104" t="s">
        <v>1454</v>
      </c>
      <c r="D87" s="104" t="s">
        <v>1645</v>
      </c>
      <c r="E87" s="104" t="s">
        <v>3728</v>
      </c>
      <c r="F87" s="105" t="s">
        <v>1575</v>
      </c>
      <c r="H87" s="45" t="str">
        <f t="shared" si="3"/>
        <v>Franjo – Budi – OK Japetić – M35</v>
      </c>
      <c r="J87" s="45" t="str">
        <f t="shared" si="4"/>
        <v>Franjo – Budi – OK Japetić</v>
      </c>
      <c r="L87" s="45" t="str">
        <f t="shared" si="5"/>
        <v>Franjo – Budi</v>
      </c>
      <c r="N87" s="103"/>
      <c r="O87" s="104"/>
      <c r="P87" s="105"/>
    </row>
    <row r="88" spans="2:16" x14ac:dyDescent="0.25">
      <c r="B88" s="103">
        <v>1481</v>
      </c>
      <c r="C88" s="104" t="s">
        <v>3792</v>
      </c>
      <c r="D88" s="104" t="s">
        <v>3793</v>
      </c>
      <c r="E88" s="104" t="s">
        <v>3728</v>
      </c>
      <c r="F88" s="105"/>
      <c r="H88" s="45" t="str">
        <f t="shared" si="3"/>
        <v>Ivano – Črep – OK Japetić</v>
      </c>
      <c r="J88" s="45" t="str">
        <f t="shared" si="4"/>
        <v>Ivano – Črep – OK Japetić</v>
      </c>
      <c r="L88" s="45" t="str">
        <f t="shared" si="5"/>
        <v>Ivano – Črep</v>
      </c>
      <c r="N88" s="103"/>
      <c r="O88" s="104"/>
      <c r="P88" s="105"/>
    </row>
    <row r="89" spans="2:16" x14ac:dyDescent="0.25">
      <c r="B89" s="103">
        <v>1247</v>
      </c>
      <c r="C89" s="104" t="s">
        <v>472</v>
      </c>
      <c r="D89" s="104" t="s">
        <v>3794</v>
      </c>
      <c r="E89" s="104" t="s">
        <v>3728</v>
      </c>
      <c r="F89" s="105" t="s">
        <v>886</v>
      </c>
      <c r="H89" s="45" t="str">
        <f t="shared" si="3"/>
        <v>Filip – Cvetković – OK Japetić – M21A</v>
      </c>
      <c r="J89" s="45" t="str">
        <f t="shared" si="4"/>
        <v>Filip – Cvetković – OK Japetić</v>
      </c>
      <c r="L89" s="45" t="str">
        <f t="shared" si="5"/>
        <v>Filip – Cvetković</v>
      </c>
      <c r="N89" s="103"/>
      <c r="O89" s="104"/>
      <c r="P89" s="105"/>
    </row>
    <row r="90" spans="2:16" x14ac:dyDescent="0.25">
      <c r="B90" s="103">
        <v>1778</v>
      </c>
      <c r="C90" s="104" t="s">
        <v>1944</v>
      </c>
      <c r="D90" s="104" t="s">
        <v>3794</v>
      </c>
      <c r="E90" s="104" t="s">
        <v>3728</v>
      </c>
      <c r="F90" s="105"/>
      <c r="H90" s="45" t="str">
        <f t="shared" si="3"/>
        <v>Robert – Cvetković – OK Japetić</v>
      </c>
      <c r="J90" s="45" t="str">
        <f t="shared" si="4"/>
        <v>Robert – Cvetković – OK Japetić</v>
      </c>
      <c r="L90" s="45" t="str">
        <f t="shared" si="5"/>
        <v>Robert – Cvetković</v>
      </c>
      <c r="N90" s="103"/>
      <c r="O90" s="104"/>
      <c r="P90" s="105"/>
    </row>
    <row r="91" spans="2:16" x14ac:dyDescent="0.25">
      <c r="B91" s="103">
        <v>1864</v>
      </c>
      <c r="C91" s="104" t="s">
        <v>2837</v>
      </c>
      <c r="D91" s="104" t="s">
        <v>2836</v>
      </c>
      <c r="E91" s="104" t="s">
        <v>3728</v>
      </c>
      <c r="F91" s="105" t="s">
        <v>2766</v>
      </c>
      <c r="H91" s="45" t="str">
        <f t="shared" si="3"/>
        <v>Jana – Cvjetko – OK Japetić – Ž16</v>
      </c>
      <c r="J91" s="45" t="str">
        <f t="shared" si="4"/>
        <v>Jana – Cvjetko – OK Japetić</v>
      </c>
      <c r="L91" s="45" t="str">
        <f t="shared" si="5"/>
        <v>Jana – Cvjetko</v>
      </c>
      <c r="N91" s="103"/>
      <c r="O91" s="104"/>
      <c r="P91" s="105"/>
    </row>
    <row r="92" spans="2:16" x14ac:dyDescent="0.25">
      <c r="B92" s="103">
        <v>1862</v>
      </c>
      <c r="C92" s="104" t="s">
        <v>3795</v>
      </c>
      <c r="D92" s="104" t="s">
        <v>2836</v>
      </c>
      <c r="E92" s="104" t="s">
        <v>3728</v>
      </c>
      <c r="F92" s="105" t="s">
        <v>2928</v>
      </c>
      <c r="H92" s="45" t="str">
        <f t="shared" si="3"/>
        <v>Lara – Cvjetko – OK Japetić – Ž20</v>
      </c>
      <c r="J92" s="45" t="str">
        <f t="shared" si="4"/>
        <v>Lara – Cvjetko – OK Japetić</v>
      </c>
      <c r="L92" s="45" t="str">
        <f t="shared" si="5"/>
        <v>Lara – Cvjetko</v>
      </c>
      <c r="N92" s="103"/>
      <c r="O92" s="104"/>
      <c r="P92" s="105"/>
    </row>
    <row r="93" spans="2:16" x14ac:dyDescent="0.25">
      <c r="B93" s="103">
        <v>1863</v>
      </c>
      <c r="C93" s="104" t="s">
        <v>2893</v>
      </c>
      <c r="D93" s="104" t="s">
        <v>2836</v>
      </c>
      <c r="E93" s="104" t="s">
        <v>3728</v>
      </c>
      <c r="F93" s="105" t="s">
        <v>2928</v>
      </c>
      <c r="H93" s="45" t="str">
        <f t="shared" si="3"/>
        <v>Nina – Cvjetko – OK Japetić – Ž20</v>
      </c>
      <c r="J93" s="45" t="str">
        <f t="shared" si="4"/>
        <v>Nina – Cvjetko – OK Japetić</v>
      </c>
      <c r="L93" s="45" t="str">
        <f t="shared" si="5"/>
        <v>Nina – Cvjetko</v>
      </c>
      <c r="N93" s="103"/>
      <c r="O93" s="104"/>
      <c r="P93" s="105"/>
    </row>
    <row r="94" spans="2:16" x14ac:dyDescent="0.25">
      <c r="B94" s="103">
        <v>1231</v>
      </c>
      <c r="C94" s="104" t="s">
        <v>3637</v>
      </c>
      <c r="D94" s="104" t="s">
        <v>3636</v>
      </c>
      <c r="E94" s="104" t="s">
        <v>3728</v>
      </c>
      <c r="F94" s="105" t="s">
        <v>3619</v>
      </c>
      <c r="H94" s="45" t="str">
        <f t="shared" si="3"/>
        <v>Branka – Fabek – OK Japetić – Ž55</v>
      </c>
      <c r="J94" s="45" t="str">
        <f t="shared" si="4"/>
        <v>Branka – Fabek – OK Japetić</v>
      </c>
      <c r="L94" s="45" t="str">
        <f t="shared" si="5"/>
        <v>Branka – Fabek</v>
      </c>
      <c r="N94" s="103"/>
      <c r="O94" s="104"/>
      <c r="P94" s="105"/>
    </row>
    <row r="95" spans="2:16" x14ac:dyDescent="0.25">
      <c r="B95" s="103">
        <v>1843</v>
      </c>
      <c r="C95" s="104" t="s">
        <v>3796</v>
      </c>
      <c r="D95" s="104" t="s">
        <v>3797</v>
      </c>
      <c r="E95" s="104" t="s">
        <v>3728</v>
      </c>
      <c r="F95" s="105" t="s">
        <v>2637</v>
      </c>
      <c r="H95" s="45" t="str">
        <f t="shared" si="3"/>
        <v>Anja – Fatzek – OK Japetić – Ž12</v>
      </c>
      <c r="J95" s="45" t="str">
        <f t="shared" si="4"/>
        <v>Anja – Fatzek – OK Japetić</v>
      </c>
      <c r="L95" s="45" t="str">
        <f t="shared" si="5"/>
        <v>Anja – Fatzek</v>
      </c>
      <c r="N95" s="103"/>
      <c r="O95" s="104"/>
      <c r="P95" s="105"/>
    </row>
    <row r="96" spans="2:16" x14ac:dyDescent="0.25">
      <c r="B96" s="103">
        <v>1842</v>
      </c>
      <c r="C96" s="104" t="s">
        <v>3798</v>
      </c>
      <c r="D96" s="104" t="s">
        <v>3797</v>
      </c>
      <c r="E96" s="104" t="s">
        <v>3728</v>
      </c>
      <c r="F96" s="105" t="s">
        <v>2637</v>
      </c>
      <c r="H96" s="45" t="str">
        <f t="shared" si="3"/>
        <v>Katja – Fatzek – OK Japetić – Ž12</v>
      </c>
      <c r="J96" s="45" t="str">
        <f t="shared" si="4"/>
        <v>Katja – Fatzek – OK Japetić</v>
      </c>
      <c r="L96" s="45" t="str">
        <f t="shared" si="5"/>
        <v>Katja – Fatzek</v>
      </c>
      <c r="N96" s="103"/>
      <c r="O96" s="104"/>
      <c r="P96" s="105"/>
    </row>
    <row r="97" spans="2:16" x14ac:dyDescent="0.25">
      <c r="B97" s="103">
        <v>1159</v>
      </c>
      <c r="C97" s="104" t="s">
        <v>3799</v>
      </c>
      <c r="D97" s="104" t="s">
        <v>3800</v>
      </c>
      <c r="E97" s="104" t="s">
        <v>3728</v>
      </c>
      <c r="F97" s="105" t="s">
        <v>652</v>
      </c>
      <c r="H97" s="45" t="str">
        <f t="shared" si="3"/>
        <v>Grga – Fernežir – OK Japetić – M16</v>
      </c>
      <c r="J97" s="45" t="str">
        <f t="shared" si="4"/>
        <v>Grga – Fernežir – OK Japetić</v>
      </c>
      <c r="L97" s="45" t="str">
        <f t="shared" si="5"/>
        <v>Grga – Fernežir</v>
      </c>
      <c r="N97" s="103"/>
      <c r="O97" s="104"/>
      <c r="P97" s="105"/>
    </row>
    <row r="98" spans="2:16" x14ac:dyDescent="0.25">
      <c r="B98" s="103">
        <v>1323</v>
      </c>
      <c r="C98" s="104" t="s">
        <v>3801</v>
      </c>
      <c r="D98" s="104" t="s">
        <v>3800</v>
      </c>
      <c r="E98" s="104" t="s">
        <v>3728</v>
      </c>
      <c r="F98" s="105" t="s">
        <v>1909</v>
      </c>
      <c r="H98" s="45" t="str">
        <f t="shared" si="3"/>
        <v>Zvonimir – Fernežir – OK Japetić – M45</v>
      </c>
      <c r="J98" s="45" t="str">
        <f t="shared" si="4"/>
        <v>Zvonimir – Fernežir – OK Japetić</v>
      </c>
      <c r="L98" s="45" t="str">
        <f t="shared" si="5"/>
        <v>Zvonimir – Fernežir</v>
      </c>
      <c r="N98" s="103"/>
      <c r="O98" s="104"/>
      <c r="P98" s="105"/>
    </row>
    <row r="99" spans="2:16" x14ac:dyDescent="0.25">
      <c r="B99" s="103">
        <v>1470</v>
      </c>
      <c r="C99" s="104" t="s">
        <v>3589</v>
      </c>
      <c r="D99" s="104" t="s">
        <v>3588</v>
      </c>
      <c r="E99" s="104" t="s">
        <v>3728</v>
      </c>
      <c r="F99" s="105" t="s">
        <v>3443</v>
      </c>
      <c r="H99" s="45" t="str">
        <f t="shared" si="3"/>
        <v>Zvjezdana – Govedarica – OK Japetić – Ž45</v>
      </c>
      <c r="J99" s="45" t="str">
        <f t="shared" si="4"/>
        <v>Zvjezdana – Govedarica – OK Japetić</v>
      </c>
      <c r="L99" s="45" t="str">
        <f t="shared" si="5"/>
        <v>Zvjezdana – Govedarica</v>
      </c>
      <c r="N99" s="103"/>
      <c r="O99" s="104"/>
      <c r="P99" s="105"/>
    </row>
    <row r="100" spans="2:16" x14ac:dyDescent="0.25">
      <c r="B100" s="103">
        <v>1668</v>
      </c>
      <c r="C100" s="104" t="s">
        <v>3801</v>
      </c>
      <c r="D100" s="104" t="s">
        <v>3802</v>
      </c>
      <c r="E100" s="104" t="s">
        <v>3728</v>
      </c>
      <c r="F100" s="105"/>
      <c r="H100" s="45" t="str">
        <f t="shared" si="3"/>
        <v>Zvonimir – Guliš – OK Japetić</v>
      </c>
      <c r="J100" s="45" t="str">
        <f t="shared" si="4"/>
        <v>Zvonimir – Guliš – OK Japetić</v>
      </c>
      <c r="L100" s="45" t="str">
        <f t="shared" si="5"/>
        <v>Zvonimir – Guliš</v>
      </c>
      <c r="N100" s="103"/>
      <c r="O100" s="104"/>
      <c r="P100" s="105"/>
    </row>
    <row r="101" spans="2:16" x14ac:dyDescent="0.25">
      <c r="B101" s="103">
        <v>1584</v>
      </c>
      <c r="C101" s="104" t="s">
        <v>3803</v>
      </c>
      <c r="D101" s="104" t="s">
        <v>3804</v>
      </c>
      <c r="E101" s="104" t="s">
        <v>3728</v>
      </c>
      <c r="F101" s="105"/>
      <c r="H101" s="45" t="str">
        <f t="shared" si="3"/>
        <v>Vid – Hovorka – OK Japetić</v>
      </c>
      <c r="J101" s="45" t="str">
        <f t="shared" si="4"/>
        <v>Vid – Hovorka – OK Japetić</v>
      </c>
      <c r="L101" s="45" t="str">
        <f t="shared" si="5"/>
        <v>Vid – Hovorka</v>
      </c>
      <c r="N101" s="103"/>
      <c r="O101" s="104"/>
      <c r="P101" s="105"/>
    </row>
    <row r="102" spans="2:16" x14ac:dyDescent="0.25">
      <c r="B102" s="103">
        <v>1953</v>
      </c>
      <c r="C102" s="104" t="s">
        <v>2437</v>
      </c>
      <c r="D102" s="104" t="s">
        <v>3805</v>
      </c>
      <c r="E102" s="104" t="s">
        <v>3728</v>
      </c>
      <c r="F102" s="105"/>
      <c r="H102" s="45" t="str">
        <f t="shared" si="3"/>
        <v>Ana – Jagodić – OK Japetić</v>
      </c>
      <c r="J102" s="45" t="str">
        <f t="shared" si="4"/>
        <v>Ana – Jagodić – OK Japetić</v>
      </c>
      <c r="L102" s="45" t="str">
        <f t="shared" si="5"/>
        <v>Ana – Jagodić</v>
      </c>
      <c r="N102" s="103"/>
      <c r="O102" s="104"/>
      <c r="P102" s="105"/>
    </row>
    <row r="103" spans="2:16" x14ac:dyDescent="0.25">
      <c r="B103" s="103">
        <v>1198</v>
      </c>
      <c r="C103" s="104" t="s">
        <v>2485</v>
      </c>
      <c r="D103" s="104" t="s">
        <v>3806</v>
      </c>
      <c r="E103" s="104" t="s">
        <v>3728</v>
      </c>
      <c r="F103" s="105"/>
      <c r="H103" s="45" t="str">
        <f t="shared" si="3"/>
        <v>Iva – Jakopec – OK Japetić</v>
      </c>
      <c r="J103" s="45" t="str">
        <f t="shared" si="4"/>
        <v>Iva – Jakopec – OK Japetić</v>
      </c>
      <c r="L103" s="45" t="str">
        <f t="shared" si="5"/>
        <v>Iva – Jakopec</v>
      </c>
      <c r="N103" s="103"/>
      <c r="O103" s="104"/>
      <c r="P103" s="105"/>
    </row>
    <row r="104" spans="2:16" x14ac:dyDescent="0.25">
      <c r="B104" s="103">
        <v>1292</v>
      </c>
      <c r="C104" s="104" t="s">
        <v>3807</v>
      </c>
      <c r="D104" s="104" t="s">
        <v>3808</v>
      </c>
      <c r="E104" s="104" t="s">
        <v>3728</v>
      </c>
      <c r="F104" s="105" t="s">
        <v>3001</v>
      </c>
      <c r="H104" s="45" t="str">
        <f t="shared" si="3"/>
        <v>Nola – Jandrečić – OK Japetić – Ž21A</v>
      </c>
      <c r="J104" s="45" t="str">
        <f t="shared" si="4"/>
        <v>Nola – Jandrečić – OK Japetić</v>
      </c>
      <c r="L104" s="45" t="str">
        <f t="shared" si="5"/>
        <v>Nola – Jandrečić</v>
      </c>
      <c r="N104" s="103"/>
      <c r="O104" s="104"/>
      <c r="P104" s="105"/>
    </row>
    <row r="105" spans="2:16" x14ac:dyDescent="0.25">
      <c r="B105" s="103">
        <v>1576</v>
      </c>
      <c r="C105" s="104" t="s">
        <v>1483</v>
      </c>
      <c r="D105" s="104" t="s">
        <v>733</v>
      </c>
      <c r="E105" s="104" t="s">
        <v>3728</v>
      </c>
      <c r="F105" s="105" t="s">
        <v>1909</v>
      </c>
      <c r="H105" s="45" t="str">
        <f t="shared" si="3"/>
        <v>Hrvoje – Jelinić – OK Japetić – M45</v>
      </c>
      <c r="J105" s="45" t="str">
        <f t="shared" si="4"/>
        <v>Hrvoje – Jelinić – OK Japetić</v>
      </c>
      <c r="L105" s="45" t="str">
        <f t="shared" si="5"/>
        <v>Hrvoje – Jelinić</v>
      </c>
      <c r="N105" s="103"/>
      <c r="O105" s="104"/>
      <c r="P105" s="105"/>
    </row>
    <row r="106" spans="2:16" x14ac:dyDescent="0.25">
      <c r="B106" s="103">
        <v>1665</v>
      </c>
      <c r="C106" s="104" t="s">
        <v>734</v>
      </c>
      <c r="D106" s="104" t="s">
        <v>733</v>
      </c>
      <c r="E106" s="104" t="s">
        <v>3728</v>
      </c>
      <c r="F106" s="105" t="s">
        <v>652</v>
      </c>
      <c r="H106" s="45" t="str">
        <f t="shared" si="3"/>
        <v>Mark – Jelinić – OK Japetić – M16</v>
      </c>
      <c r="J106" s="45" t="str">
        <f t="shared" si="4"/>
        <v>Mark – Jelinić – OK Japetić</v>
      </c>
      <c r="L106" s="45" t="str">
        <f t="shared" si="5"/>
        <v>Mark – Jelinić</v>
      </c>
      <c r="N106" s="103"/>
      <c r="O106" s="104"/>
      <c r="P106" s="105"/>
    </row>
    <row r="107" spans="2:16" x14ac:dyDescent="0.25">
      <c r="B107" s="103">
        <v>1666</v>
      </c>
      <c r="C107" s="104" t="s">
        <v>3809</v>
      </c>
      <c r="D107" s="104" t="s">
        <v>733</v>
      </c>
      <c r="E107" s="104" t="s">
        <v>3728</v>
      </c>
      <c r="F107" s="105"/>
      <c r="H107" s="45" t="str">
        <f t="shared" si="3"/>
        <v>Una – Jelinić – OK Japetić</v>
      </c>
      <c r="J107" s="45" t="str">
        <f t="shared" si="4"/>
        <v>Una – Jelinić – OK Japetić</v>
      </c>
      <c r="L107" s="45" t="str">
        <f t="shared" si="5"/>
        <v>Una – Jelinić</v>
      </c>
      <c r="N107" s="103"/>
      <c r="O107" s="104"/>
      <c r="P107" s="105"/>
    </row>
    <row r="108" spans="2:16" x14ac:dyDescent="0.25">
      <c r="B108" s="103">
        <v>1088</v>
      </c>
      <c r="C108" s="104" t="s">
        <v>3810</v>
      </c>
      <c r="D108" s="104" t="s">
        <v>3811</v>
      </c>
      <c r="E108" s="104" t="s">
        <v>3728</v>
      </c>
      <c r="F108" s="105" t="s">
        <v>364</v>
      </c>
      <c r="H108" s="45" t="str">
        <f t="shared" si="3"/>
        <v>Fran – Juriša – OK Japetić – M12</v>
      </c>
      <c r="J108" s="45" t="str">
        <f t="shared" si="4"/>
        <v>Fran – Juriša – OK Japetić</v>
      </c>
      <c r="L108" s="45" t="str">
        <f t="shared" si="5"/>
        <v>Fran – Juriša</v>
      </c>
      <c r="N108" s="103"/>
      <c r="O108" s="104"/>
      <c r="P108" s="105"/>
    </row>
    <row r="109" spans="2:16" x14ac:dyDescent="0.25">
      <c r="B109" s="103">
        <v>1233</v>
      </c>
      <c r="C109" s="104" t="s">
        <v>509</v>
      </c>
      <c r="D109" s="104" t="s">
        <v>1813</v>
      </c>
      <c r="E109" s="104" t="s">
        <v>3728</v>
      </c>
      <c r="F109" s="105" t="s">
        <v>1575</v>
      </c>
      <c r="H109" s="45" t="str">
        <f t="shared" si="3"/>
        <v>Luka – Kosić – OK Japetić – M35</v>
      </c>
      <c r="J109" s="45" t="str">
        <f t="shared" si="4"/>
        <v>Luka – Kosić – OK Japetić</v>
      </c>
      <c r="L109" s="45" t="str">
        <f t="shared" si="5"/>
        <v>Luka – Kosić</v>
      </c>
      <c r="N109" s="103"/>
      <c r="O109" s="104"/>
      <c r="P109" s="105"/>
    </row>
    <row r="110" spans="2:16" x14ac:dyDescent="0.25">
      <c r="B110" s="103">
        <v>1451</v>
      </c>
      <c r="C110" s="104" t="s">
        <v>715</v>
      </c>
      <c r="D110" s="104" t="s">
        <v>714</v>
      </c>
      <c r="E110" s="104" t="s">
        <v>3728</v>
      </c>
      <c r="F110" s="105" t="s">
        <v>652</v>
      </c>
      <c r="H110" s="45" t="str">
        <f t="shared" si="3"/>
        <v>Borna – Kuzmanić – OK Japetić – M16</v>
      </c>
      <c r="J110" s="45" t="str">
        <f t="shared" si="4"/>
        <v>Borna – Kuzmanić – OK Japetić</v>
      </c>
      <c r="L110" s="45" t="str">
        <f t="shared" si="5"/>
        <v>Borna – Kuzmanić</v>
      </c>
      <c r="N110" s="103"/>
      <c r="O110" s="104"/>
      <c r="P110" s="105"/>
    </row>
    <row r="111" spans="2:16" x14ac:dyDescent="0.25">
      <c r="B111" s="103">
        <v>1478</v>
      </c>
      <c r="C111" s="104" t="s">
        <v>2448</v>
      </c>
      <c r="D111" s="104" t="s">
        <v>714</v>
      </c>
      <c r="E111" s="104" t="s">
        <v>3728</v>
      </c>
      <c r="F111" s="105" t="s">
        <v>3443</v>
      </c>
      <c r="H111" s="45" t="str">
        <f t="shared" si="3"/>
        <v>Ivana – Kuzmanić – OK Japetić – Ž45</v>
      </c>
      <c r="J111" s="45" t="str">
        <f t="shared" si="4"/>
        <v>Ivana – Kuzmanić – OK Japetić</v>
      </c>
      <c r="L111" s="45" t="str">
        <f t="shared" si="5"/>
        <v>Ivana – Kuzmanić</v>
      </c>
      <c r="N111" s="103"/>
      <c r="O111" s="104"/>
      <c r="P111" s="105"/>
    </row>
    <row r="112" spans="2:16" x14ac:dyDescent="0.25">
      <c r="B112" s="103">
        <v>1370</v>
      </c>
      <c r="C112" s="104" t="s">
        <v>1572</v>
      </c>
      <c r="D112" s="104" t="s">
        <v>1571</v>
      </c>
      <c r="E112" s="104" t="s">
        <v>3728</v>
      </c>
      <c r="F112" s="105" t="s">
        <v>1575</v>
      </c>
      <c r="H112" s="45" t="str">
        <f t="shared" si="3"/>
        <v>Lino – Legac – OK Japetić – M35</v>
      </c>
      <c r="J112" s="45" t="str">
        <f t="shared" si="4"/>
        <v>Lino – Legac – OK Japetić</v>
      </c>
      <c r="L112" s="45" t="str">
        <f t="shared" si="5"/>
        <v>Lino – Legac</v>
      </c>
      <c r="N112" s="103"/>
      <c r="O112" s="104"/>
      <c r="P112" s="105"/>
    </row>
    <row r="113" spans="2:16" x14ac:dyDescent="0.25">
      <c r="B113" s="103">
        <v>1643</v>
      </c>
      <c r="C113" s="104" t="s">
        <v>1006</v>
      </c>
      <c r="D113" s="104" t="s">
        <v>3812</v>
      </c>
      <c r="E113" s="104" t="s">
        <v>3728</v>
      </c>
      <c r="F113" s="105"/>
      <c r="H113" s="45" t="str">
        <f t="shared" si="3"/>
        <v>Josip – Leovac – OK Japetić</v>
      </c>
      <c r="J113" s="45" t="str">
        <f t="shared" si="4"/>
        <v>Josip – Leovac – OK Japetić</v>
      </c>
      <c r="L113" s="45" t="str">
        <f t="shared" si="5"/>
        <v>Josip – Leovac</v>
      </c>
      <c r="N113" s="103"/>
      <c r="O113" s="104"/>
      <c r="P113" s="105"/>
    </row>
    <row r="114" spans="2:16" x14ac:dyDescent="0.25">
      <c r="B114" s="103">
        <v>1434</v>
      </c>
      <c r="C114" s="104" t="s">
        <v>476</v>
      </c>
      <c r="D114" s="104" t="s">
        <v>589</v>
      </c>
      <c r="E114" s="104" t="s">
        <v>3728</v>
      </c>
      <c r="F114" s="105" t="s">
        <v>652</v>
      </c>
      <c r="H114" s="45" t="str">
        <f t="shared" si="3"/>
        <v>Jakov – Lesjak – OK Japetić – M16</v>
      </c>
      <c r="J114" s="45" t="str">
        <f t="shared" si="4"/>
        <v>Jakov – Lesjak – OK Japetić</v>
      </c>
      <c r="L114" s="45" t="str">
        <f t="shared" si="5"/>
        <v>Jakov – Lesjak</v>
      </c>
      <c r="N114" s="103"/>
      <c r="O114" s="104"/>
      <c r="P114" s="105"/>
    </row>
    <row r="115" spans="2:16" x14ac:dyDescent="0.25">
      <c r="B115" s="103">
        <v>1469</v>
      </c>
      <c r="C115" s="104" t="s">
        <v>2912</v>
      </c>
      <c r="D115" s="104" t="s">
        <v>589</v>
      </c>
      <c r="E115" s="104" t="s">
        <v>3728</v>
      </c>
      <c r="F115" s="105" t="s">
        <v>2928</v>
      </c>
      <c r="H115" s="45" t="str">
        <f t="shared" si="3"/>
        <v>Jelena – Lesjak – OK Japetić – Ž20</v>
      </c>
      <c r="J115" s="45" t="str">
        <f t="shared" si="4"/>
        <v>Jelena – Lesjak – OK Japetić</v>
      </c>
      <c r="L115" s="45" t="str">
        <f t="shared" si="5"/>
        <v>Jelena – Lesjak</v>
      </c>
      <c r="N115" s="103"/>
      <c r="O115" s="104"/>
      <c r="P115" s="105"/>
    </row>
    <row r="116" spans="2:16" x14ac:dyDescent="0.25">
      <c r="B116" s="103">
        <v>1553</v>
      </c>
      <c r="C116" s="104" t="s">
        <v>590</v>
      </c>
      <c r="D116" s="104" t="s">
        <v>589</v>
      </c>
      <c r="E116" s="104" t="s">
        <v>3728</v>
      </c>
      <c r="F116" s="105" t="s">
        <v>487</v>
      </c>
      <c r="H116" s="45" t="str">
        <f t="shared" si="3"/>
        <v>Karlo – Lesjak – OK Japetić – M14</v>
      </c>
      <c r="J116" s="45" t="str">
        <f t="shared" si="4"/>
        <v>Karlo – Lesjak – OK Japetić</v>
      </c>
      <c r="L116" s="45" t="str">
        <f t="shared" si="5"/>
        <v>Karlo – Lesjak</v>
      </c>
      <c r="N116" s="103"/>
      <c r="O116" s="104"/>
      <c r="P116" s="105"/>
    </row>
    <row r="117" spans="2:16" x14ac:dyDescent="0.25">
      <c r="B117" s="103">
        <v>1543</v>
      </c>
      <c r="C117" s="104" t="s">
        <v>3274</v>
      </c>
      <c r="D117" s="104" t="s">
        <v>589</v>
      </c>
      <c r="E117" s="104" t="s">
        <v>3728</v>
      </c>
      <c r="F117" s="105" t="s">
        <v>3265</v>
      </c>
      <c r="H117" s="45" t="str">
        <f t="shared" si="3"/>
        <v>Sonja – Lesjak – OK Japetić – Ž35</v>
      </c>
      <c r="J117" s="45" t="str">
        <f t="shared" si="4"/>
        <v>Sonja – Lesjak – OK Japetić</v>
      </c>
      <c r="L117" s="45" t="str">
        <f t="shared" si="5"/>
        <v>Sonja – Lesjak</v>
      </c>
      <c r="N117" s="103"/>
      <c r="O117" s="104"/>
      <c r="P117" s="105"/>
    </row>
    <row r="118" spans="2:16" x14ac:dyDescent="0.25">
      <c r="B118" s="103">
        <v>1667</v>
      </c>
      <c r="C118" s="104" t="s">
        <v>2714</v>
      </c>
      <c r="D118" s="104" t="s">
        <v>3813</v>
      </c>
      <c r="E118" s="104" t="s">
        <v>3728</v>
      </c>
      <c r="F118" s="105"/>
      <c r="H118" s="45" t="str">
        <f t="shared" si="3"/>
        <v>Eva – Magdić Govedarica – OK Japetić</v>
      </c>
      <c r="J118" s="45" t="str">
        <f t="shared" si="4"/>
        <v>Eva – Magdić Govedarica – OK Japetić</v>
      </c>
      <c r="L118" s="45" t="str">
        <f t="shared" si="5"/>
        <v>Eva – Magdić Govedarica</v>
      </c>
      <c r="N118" s="103"/>
      <c r="O118" s="109"/>
      <c r="P118" s="105"/>
    </row>
    <row r="119" spans="2:16" x14ac:dyDescent="0.25">
      <c r="B119" s="103">
        <v>1095</v>
      </c>
      <c r="C119" s="104" t="s">
        <v>421</v>
      </c>
      <c r="D119" s="104" t="s">
        <v>482</v>
      </c>
      <c r="E119" s="104" t="s">
        <v>3728</v>
      </c>
      <c r="F119" s="105" t="s">
        <v>487</v>
      </c>
      <c r="H119" s="45" t="str">
        <f t="shared" si="3"/>
        <v>Teo – Mahović – OK Japetić – M14</v>
      </c>
      <c r="J119" s="45" t="str">
        <f t="shared" si="4"/>
        <v>Teo – Mahović – OK Japetić</v>
      </c>
      <c r="L119" s="45" t="str">
        <f t="shared" si="5"/>
        <v>Teo – Mahović</v>
      </c>
      <c r="N119" s="103"/>
      <c r="O119" s="104"/>
      <c r="P119" s="105"/>
    </row>
    <row r="120" spans="2:16" x14ac:dyDescent="0.25">
      <c r="B120" s="103">
        <v>1200</v>
      </c>
      <c r="C120" s="104" t="s">
        <v>2623</v>
      </c>
      <c r="D120" s="104" t="s">
        <v>3814</v>
      </c>
      <c r="E120" s="104" t="s">
        <v>3728</v>
      </c>
      <c r="F120" s="105" t="s">
        <v>3443</v>
      </c>
      <c r="H120" s="45" t="str">
        <f t="shared" si="3"/>
        <v>Mirjana – Mandić – OK Japetić – Ž45</v>
      </c>
      <c r="J120" s="45" t="str">
        <f t="shared" si="4"/>
        <v>Mirjana – Mandić – OK Japetić</v>
      </c>
      <c r="L120" s="45" t="str">
        <f t="shared" si="5"/>
        <v>Mirjana – Mandić</v>
      </c>
      <c r="N120" s="103"/>
      <c r="O120" s="104"/>
      <c r="P120" s="105"/>
    </row>
    <row r="121" spans="2:16" x14ac:dyDescent="0.25">
      <c r="B121" s="103">
        <v>1851</v>
      </c>
      <c r="C121" s="104" t="s">
        <v>3183</v>
      </c>
      <c r="D121" s="104" t="s">
        <v>3815</v>
      </c>
      <c r="E121" s="104" t="s">
        <v>3728</v>
      </c>
      <c r="F121" s="105" t="s">
        <v>2732</v>
      </c>
      <c r="H121" s="45" t="str">
        <f t="shared" si="3"/>
        <v>Hana – Markić – OK Japetić – Ž14</v>
      </c>
      <c r="J121" s="45" t="str">
        <f t="shared" si="4"/>
        <v>Hana – Markić – OK Japetić</v>
      </c>
      <c r="L121" s="45" t="str">
        <f t="shared" si="5"/>
        <v>Hana – Markić</v>
      </c>
      <c r="N121" s="103"/>
      <c r="O121" s="104"/>
      <c r="P121" s="105"/>
    </row>
    <row r="122" spans="2:16" x14ac:dyDescent="0.25">
      <c r="B122" s="103">
        <v>1853</v>
      </c>
      <c r="C122" s="104" t="s">
        <v>2565</v>
      </c>
      <c r="D122" s="104" t="s">
        <v>3815</v>
      </c>
      <c r="E122" s="104" t="s">
        <v>3728</v>
      </c>
      <c r="F122" s="105" t="s">
        <v>2732</v>
      </c>
      <c r="H122" s="45" t="str">
        <f t="shared" si="3"/>
        <v>Lucija – Markić – OK Japetić – Ž14</v>
      </c>
      <c r="J122" s="45" t="str">
        <f t="shared" si="4"/>
        <v>Lucija – Markić – OK Japetić</v>
      </c>
      <c r="L122" s="45" t="str">
        <f t="shared" si="5"/>
        <v>Lucija – Markić</v>
      </c>
      <c r="N122" s="103"/>
      <c r="O122" s="104"/>
      <c r="P122" s="105"/>
    </row>
    <row r="123" spans="2:16" x14ac:dyDescent="0.25">
      <c r="B123" s="103">
        <v>1139</v>
      </c>
      <c r="C123" s="104" t="s">
        <v>1053</v>
      </c>
      <c r="D123" s="104" t="s">
        <v>1052</v>
      </c>
      <c r="E123" s="104" t="s">
        <v>3728</v>
      </c>
      <c r="F123" s="105" t="s">
        <v>886</v>
      </c>
      <c r="H123" s="45" t="str">
        <f t="shared" si="3"/>
        <v>Frane – Marković – OK Japetić – M21A</v>
      </c>
      <c r="J123" s="45" t="str">
        <f t="shared" si="4"/>
        <v>Frane – Marković – OK Japetić</v>
      </c>
      <c r="L123" s="45" t="str">
        <f t="shared" si="5"/>
        <v>Frane – Marković</v>
      </c>
      <c r="N123" s="103"/>
      <c r="O123" s="104"/>
      <c r="P123" s="105"/>
    </row>
    <row r="124" spans="2:16" x14ac:dyDescent="0.25">
      <c r="B124" s="103">
        <v>1780</v>
      </c>
      <c r="C124" s="104" t="s">
        <v>1180</v>
      </c>
      <c r="D124" s="104" t="s">
        <v>2304</v>
      </c>
      <c r="E124" s="104" t="s">
        <v>3728</v>
      </c>
      <c r="F124" s="105"/>
      <c r="H124" s="45" t="str">
        <f t="shared" si="3"/>
        <v>Dominik – Mihaljević – OK Japetić</v>
      </c>
      <c r="J124" s="45" t="str">
        <f t="shared" si="4"/>
        <v>Dominik – Mihaljević – OK Japetić</v>
      </c>
      <c r="L124" s="45" t="str">
        <f t="shared" si="5"/>
        <v>Dominik – Mihaljević</v>
      </c>
      <c r="N124" s="103"/>
      <c r="O124" s="104"/>
      <c r="P124" s="105"/>
    </row>
    <row r="125" spans="2:16" x14ac:dyDescent="0.25">
      <c r="B125" s="103">
        <v>1169</v>
      </c>
      <c r="C125" s="104" t="s">
        <v>686</v>
      </c>
      <c r="D125" s="104" t="s">
        <v>685</v>
      </c>
      <c r="E125" s="104" t="s">
        <v>3728</v>
      </c>
      <c r="F125" s="105" t="s">
        <v>652</v>
      </c>
      <c r="H125" s="45" t="str">
        <f t="shared" si="3"/>
        <v>Patrick – Milković – OK Japetić – M16</v>
      </c>
      <c r="J125" s="45" t="str">
        <f t="shared" si="4"/>
        <v>Patrick – Milković – OK Japetić</v>
      </c>
      <c r="L125" s="45" t="str">
        <f t="shared" si="5"/>
        <v>Patrick – Milković</v>
      </c>
      <c r="N125" s="103"/>
      <c r="O125" s="104"/>
      <c r="P125" s="105"/>
    </row>
    <row r="126" spans="2:16" x14ac:dyDescent="0.25">
      <c r="B126" s="103">
        <v>1844</v>
      </c>
      <c r="C126" s="104" t="s">
        <v>3816</v>
      </c>
      <c r="D126" s="104" t="s">
        <v>3817</v>
      </c>
      <c r="E126" s="104" t="s">
        <v>3728</v>
      </c>
      <c r="F126" s="105" t="s">
        <v>2637</v>
      </c>
      <c r="H126" s="45" t="str">
        <f t="shared" si="3"/>
        <v>Dunja – Mogut – OK Japetić – Ž12</v>
      </c>
      <c r="J126" s="45" t="str">
        <f t="shared" si="4"/>
        <v>Dunja – Mogut – OK Japetić</v>
      </c>
      <c r="L126" s="45" t="str">
        <f t="shared" si="5"/>
        <v>Dunja – Mogut</v>
      </c>
      <c r="N126" s="103"/>
      <c r="O126" s="104"/>
      <c r="P126" s="105"/>
    </row>
    <row r="127" spans="2:16" x14ac:dyDescent="0.25">
      <c r="B127" s="103">
        <v>1845</v>
      </c>
      <c r="C127" s="104" t="s">
        <v>3818</v>
      </c>
      <c r="D127" s="104" t="s">
        <v>3817</v>
      </c>
      <c r="E127" s="104" t="s">
        <v>3728</v>
      </c>
      <c r="F127" s="105" t="s">
        <v>2637</v>
      </c>
      <c r="H127" s="45" t="str">
        <f t="shared" si="3"/>
        <v>Tonka – Mogut – OK Japetić – Ž12</v>
      </c>
      <c r="J127" s="45" t="str">
        <f t="shared" si="4"/>
        <v>Tonka – Mogut – OK Japetić</v>
      </c>
      <c r="L127" s="45" t="str">
        <f t="shared" si="5"/>
        <v>Tonka – Mogut</v>
      </c>
      <c r="N127" s="103"/>
      <c r="O127" s="104"/>
      <c r="P127" s="105"/>
    </row>
    <row r="128" spans="2:16" x14ac:dyDescent="0.25">
      <c r="B128" s="103">
        <v>1940</v>
      </c>
      <c r="C128" s="104" t="s">
        <v>3819</v>
      </c>
      <c r="D128" s="104" t="s">
        <v>3820</v>
      </c>
      <c r="E128" s="104" t="s">
        <v>3728</v>
      </c>
      <c r="F128" s="105" t="s">
        <v>2732</v>
      </c>
      <c r="H128" s="45" t="str">
        <f t="shared" si="3"/>
        <v>Mirela – Obranić – OK Japetić – Ž14</v>
      </c>
      <c r="J128" s="45" t="str">
        <f t="shared" si="4"/>
        <v>Mirela – Obranić – OK Japetić</v>
      </c>
      <c r="L128" s="45" t="str">
        <f t="shared" si="5"/>
        <v>Mirela – Obranić</v>
      </c>
      <c r="N128" s="103"/>
      <c r="O128" s="104"/>
      <c r="P128" s="105"/>
    </row>
    <row r="129" spans="2:16" x14ac:dyDescent="0.25">
      <c r="B129" s="103">
        <v>1506</v>
      </c>
      <c r="C129" s="104" t="s">
        <v>3821</v>
      </c>
      <c r="D129" s="104" t="s">
        <v>3822</v>
      </c>
      <c r="E129" s="104" t="s">
        <v>3728</v>
      </c>
      <c r="F129" s="105" t="s">
        <v>886</v>
      </c>
      <c r="H129" s="45" t="str">
        <f t="shared" si="3"/>
        <v>Edi – Ocvirk – OK Japetić – M21A</v>
      </c>
      <c r="J129" s="45" t="str">
        <f t="shared" si="4"/>
        <v>Edi – Ocvirk – OK Japetić</v>
      </c>
      <c r="L129" s="45" t="str">
        <f t="shared" si="5"/>
        <v>Edi – Ocvirk</v>
      </c>
      <c r="N129" s="103"/>
      <c r="O129" s="104"/>
      <c r="P129" s="105"/>
    </row>
    <row r="130" spans="2:16" x14ac:dyDescent="0.25">
      <c r="B130" s="103">
        <v>1084</v>
      </c>
      <c r="C130" s="104" t="s">
        <v>2714</v>
      </c>
      <c r="D130" s="104" t="s">
        <v>3822</v>
      </c>
      <c r="E130" s="104" t="s">
        <v>3728</v>
      </c>
      <c r="F130" s="105" t="s">
        <v>3001</v>
      </c>
      <c r="H130" s="45" t="str">
        <f t="shared" si="3"/>
        <v>Eva – Ocvirk – OK Japetić – Ž21A</v>
      </c>
      <c r="J130" s="45" t="str">
        <f t="shared" si="4"/>
        <v>Eva – Ocvirk – OK Japetić</v>
      </c>
      <c r="L130" s="45" t="str">
        <f t="shared" si="5"/>
        <v>Eva – Ocvirk</v>
      </c>
      <c r="N130" s="103"/>
      <c r="O130" s="104"/>
      <c r="P130" s="105"/>
    </row>
    <row r="131" spans="2:16" x14ac:dyDescent="0.25">
      <c r="B131" s="103">
        <v>1595</v>
      </c>
      <c r="C131" s="104" t="s">
        <v>3823</v>
      </c>
      <c r="D131" s="104" t="s">
        <v>3822</v>
      </c>
      <c r="E131" s="104" t="s">
        <v>3728</v>
      </c>
      <c r="F131" s="105"/>
      <c r="H131" s="45" t="str">
        <f t="shared" si="3"/>
        <v>Pia – Ocvirk – OK Japetić</v>
      </c>
      <c r="J131" s="45" t="str">
        <f t="shared" si="4"/>
        <v>Pia – Ocvirk – OK Japetić</v>
      </c>
      <c r="L131" s="45" t="str">
        <f t="shared" si="5"/>
        <v>Pia – Ocvirk</v>
      </c>
      <c r="N131" s="103"/>
      <c r="O131" s="104"/>
      <c r="P131" s="105"/>
    </row>
    <row r="132" spans="2:16" x14ac:dyDescent="0.25">
      <c r="B132" s="103">
        <v>1848</v>
      </c>
      <c r="C132" s="104" t="s">
        <v>3824</v>
      </c>
      <c r="D132" s="104" t="s">
        <v>3825</v>
      </c>
      <c r="E132" s="104" t="s">
        <v>3728</v>
      </c>
      <c r="F132" s="105" t="s">
        <v>2637</v>
      </c>
      <c r="H132" s="45" t="str">
        <f t="shared" si="3"/>
        <v>Franka – Paulić – OK Japetić – Ž12</v>
      </c>
      <c r="J132" s="45" t="str">
        <f t="shared" si="4"/>
        <v>Franka – Paulić – OK Japetić</v>
      </c>
      <c r="L132" s="45" t="str">
        <f t="shared" si="5"/>
        <v>Franka – Paulić</v>
      </c>
      <c r="N132" s="103"/>
      <c r="O132" s="104"/>
      <c r="P132" s="105"/>
    </row>
    <row r="133" spans="2:16" x14ac:dyDescent="0.25">
      <c r="B133" s="103">
        <v>1847</v>
      </c>
      <c r="C133" s="104" t="s">
        <v>3826</v>
      </c>
      <c r="D133" s="104" t="s">
        <v>3825</v>
      </c>
      <c r="E133" s="104" t="s">
        <v>3728</v>
      </c>
      <c r="F133" s="105" t="s">
        <v>2732</v>
      </c>
      <c r="H133" s="45" t="str">
        <f t="shared" si="3"/>
        <v>Karla – Paulić – OK Japetić – Ž14</v>
      </c>
      <c r="J133" s="45" t="str">
        <f t="shared" si="4"/>
        <v>Karla – Paulić – OK Japetić</v>
      </c>
      <c r="L133" s="45" t="str">
        <f t="shared" si="5"/>
        <v>Karla – Paulić</v>
      </c>
      <c r="N133" s="103"/>
      <c r="O133" s="104"/>
      <c r="P133" s="105"/>
    </row>
    <row r="134" spans="2:16" x14ac:dyDescent="0.25">
      <c r="B134" s="103">
        <v>1039</v>
      </c>
      <c r="C134" s="104" t="s">
        <v>2998</v>
      </c>
      <c r="D134" s="104" t="s">
        <v>2387</v>
      </c>
      <c r="E134" s="104" t="s">
        <v>3728</v>
      </c>
      <c r="F134" s="105" t="s">
        <v>3001</v>
      </c>
      <c r="H134" s="45" t="str">
        <f t="shared" si="3"/>
        <v>Mirja – Pavić – OK Japetić – Ž21A</v>
      </c>
      <c r="J134" s="45" t="str">
        <f t="shared" si="4"/>
        <v>Mirja – Pavić – OK Japetić</v>
      </c>
      <c r="L134" s="45" t="str">
        <f t="shared" si="5"/>
        <v>Mirja – Pavić</v>
      </c>
      <c r="N134" s="103"/>
      <c r="O134" s="104"/>
      <c r="P134" s="105"/>
    </row>
    <row r="135" spans="2:16" x14ac:dyDescent="0.25">
      <c r="B135" s="103">
        <v>1860</v>
      </c>
      <c r="C135" s="104" t="s">
        <v>2537</v>
      </c>
      <c r="D135" s="104" t="s">
        <v>3496</v>
      </c>
      <c r="E135" s="104" t="s">
        <v>3728</v>
      </c>
      <c r="F135" s="105" t="s">
        <v>3443</v>
      </c>
      <c r="H135" s="45" t="str">
        <f t="shared" si="3"/>
        <v>Sandra – Perica Cvjetko – OK Japetić – Ž45</v>
      </c>
      <c r="J135" s="45" t="str">
        <f t="shared" si="4"/>
        <v>Sandra – Perica Cvjetko – OK Japetić</v>
      </c>
      <c r="L135" s="45" t="str">
        <f t="shared" si="5"/>
        <v>Sandra – Perica Cvjetko</v>
      </c>
      <c r="N135" s="103"/>
      <c r="O135" s="104"/>
      <c r="P135" s="105"/>
    </row>
    <row r="136" spans="2:16" x14ac:dyDescent="0.25">
      <c r="B136" s="103">
        <v>1781</v>
      </c>
      <c r="C136" s="104" t="s">
        <v>963</v>
      </c>
      <c r="D136" s="104" t="s">
        <v>3753</v>
      </c>
      <c r="E136" s="104" t="s">
        <v>3728</v>
      </c>
      <c r="F136" s="105"/>
      <c r="H136" s="45" t="str">
        <f t="shared" si="3"/>
        <v>Dražen – Perković – OK Japetić</v>
      </c>
      <c r="J136" s="45" t="str">
        <f t="shared" si="4"/>
        <v>Dražen – Perković – OK Japetić</v>
      </c>
      <c r="L136" s="45" t="str">
        <f t="shared" si="5"/>
        <v>Dražen – Perković</v>
      </c>
      <c r="N136" s="103"/>
      <c r="O136" s="104"/>
      <c r="P136" s="105"/>
    </row>
    <row r="137" spans="2:16" x14ac:dyDescent="0.25">
      <c r="B137" s="103">
        <v>1855</v>
      </c>
      <c r="C137" s="104" t="s">
        <v>438</v>
      </c>
      <c r="D137" s="104" t="s">
        <v>437</v>
      </c>
      <c r="E137" s="104" t="s">
        <v>3728</v>
      </c>
      <c r="F137" s="105" t="s">
        <v>364</v>
      </c>
      <c r="H137" s="45" t="str">
        <f t="shared" si="3"/>
        <v>Ivan – Petravić – OK Japetić – M12</v>
      </c>
      <c r="J137" s="45" t="str">
        <f t="shared" si="4"/>
        <v>Ivan – Petravić – OK Japetić</v>
      </c>
      <c r="L137" s="45" t="str">
        <f t="shared" si="5"/>
        <v>Ivan – Petravić</v>
      </c>
      <c r="N137" s="103"/>
      <c r="O137" s="104"/>
      <c r="P137" s="105"/>
    </row>
    <row r="138" spans="2:16" x14ac:dyDescent="0.25">
      <c r="B138" s="103">
        <v>1315</v>
      </c>
      <c r="C138" s="104" t="s">
        <v>353</v>
      </c>
      <c r="D138" s="104" t="s">
        <v>352</v>
      </c>
      <c r="E138" s="104" t="s">
        <v>3728</v>
      </c>
      <c r="F138" s="105" t="s">
        <v>364</v>
      </c>
      <c r="H138" s="45" t="str">
        <f t="shared" si="3"/>
        <v>Lovro – Pinjušić – OK Japetić – M12</v>
      </c>
      <c r="J138" s="45" t="str">
        <f t="shared" si="4"/>
        <v>Lovro – Pinjušić – OK Japetić</v>
      </c>
      <c r="L138" s="45" t="str">
        <f t="shared" si="5"/>
        <v>Lovro – Pinjušić</v>
      </c>
      <c r="N138" s="103"/>
      <c r="O138" s="104"/>
      <c r="P138" s="105"/>
    </row>
    <row r="139" spans="2:16" x14ac:dyDescent="0.25">
      <c r="B139" s="103">
        <v>1206</v>
      </c>
      <c r="C139" s="104" t="s">
        <v>1209</v>
      </c>
      <c r="D139" s="104" t="s">
        <v>1610</v>
      </c>
      <c r="E139" s="104" t="s">
        <v>3728</v>
      </c>
      <c r="F139" s="105" t="s">
        <v>1575</v>
      </c>
      <c r="H139" s="45" t="str">
        <f t="shared" ref="H139:H202" si="6">IF(C139="","",C139) &amp; IF(D139="",""," – " &amp; D139) &amp; IF(E139="",""," – " &amp; E139) &amp; IF(F139="",""," – " &amp; F139)</f>
        <v>Branimir – Pongrac – OK Japetić – M35</v>
      </c>
      <c r="J139" s="45" t="str">
        <f t="shared" ref="J139:J202" si="7">IF(C139="","",C139) &amp; IF(D139="",""," – " &amp; D139) &amp; IF(E139="",""," – " &amp; E139)</f>
        <v>Branimir – Pongrac – OK Japetić</v>
      </c>
      <c r="L139" s="45" t="str">
        <f t="shared" ref="L139:L202" si="8">IF(C139="","",C139) &amp; IF(D139="",""," – " &amp; D139)</f>
        <v>Branimir – Pongrac</v>
      </c>
      <c r="N139" s="103"/>
      <c r="O139" s="104"/>
      <c r="P139" s="105"/>
    </row>
    <row r="140" spans="2:16" x14ac:dyDescent="0.25">
      <c r="B140" s="103">
        <v>1484</v>
      </c>
      <c r="C140" s="104" t="s">
        <v>438</v>
      </c>
      <c r="D140" s="104" t="s">
        <v>1610</v>
      </c>
      <c r="E140" s="104" t="s">
        <v>3728</v>
      </c>
      <c r="F140" s="105" t="s">
        <v>2367</v>
      </c>
      <c r="H140" s="45" t="str">
        <f t="shared" si="6"/>
        <v>Ivan – Pongrac – OK Japetić – M65</v>
      </c>
      <c r="J140" s="45" t="str">
        <f t="shared" si="7"/>
        <v>Ivan – Pongrac – OK Japetić</v>
      </c>
      <c r="L140" s="45" t="str">
        <f t="shared" si="8"/>
        <v>Ivan – Pongrac</v>
      </c>
      <c r="N140" s="103"/>
      <c r="O140" s="104"/>
      <c r="P140" s="105"/>
    </row>
    <row r="141" spans="2:16" x14ac:dyDescent="0.25">
      <c r="B141" s="103">
        <v>1645</v>
      </c>
      <c r="C141" s="104" t="s">
        <v>2595</v>
      </c>
      <c r="D141" s="104" t="s">
        <v>1610</v>
      </c>
      <c r="E141" s="104" t="s">
        <v>3728</v>
      </c>
      <c r="F141" s="105"/>
      <c r="H141" s="45" t="str">
        <f t="shared" si="6"/>
        <v>Maja – Pongrac – OK Japetić</v>
      </c>
      <c r="J141" s="45" t="str">
        <f t="shared" si="7"/>
        <v>Maja – Pongrac – OK Japetić</v>
      </c>
      <c r="L141" s="45" t="str">
        <f t="shared" si="8"/>
        <v>Maja – Pongrac</v>
      </c>
      <c r="N141" s="103"/>
      <c r="O141" s="104"/>
      <c r="P141" s="105"/>
    </row>
    <row r="142" spans="2:16" x14ac:dyDescent="0.25">
      <c r="B142" s="103">
        <v>1316</v>
      </c>
      <c r="C142" s="104" t="s">
        <v>3372</v>
      </c>
      <c r="D142" s="104" t="s">
        <v>3371</v>
      </c>
      <c r="E142" s="104" t="s">
        <v>3728</v>
      </c>
      <c r="F142" s="105" t="s">
        <v>3265</v>
      </c>
      <c r="H142" s="45" t="str">
        <f t="shared" si="6"/>
        <v>Daniela – Popović Budi – OK Japetić – Ž35</v>
      </c>
      <c r="J142" s="45" t="str">
        <f t="shared" si="7"/>
        <v>Daniela – Popović Budi – OK Japetić</v>
      </c>
      <c r="L142" s="45" t="str">
        <f t="shared" si="8"/>
        <v>Daniela – Popović Budi</v>
      </c>
      <c r="N142" s="103"/>
      <c r="O142" s="104"/>
      <c r="P142" s="105"/>
    </row>
    <row r="143" spans="2:16" x14ac:dyDescent="0.25">
      <c r="B143" s="103">
        <v>1575</v>
      </c>
      <c r="C143" s="104" t="s">
        <v>3827</v>
      </c>
      <c r="D143" s="104" t="s">
        <v>3828</v>
      </c>
      <c r="E143" s="104" t="s">
        <v>3728</v>
      </c>
      <c r="F143" s="105"/>
      <c r="H143" s="45" t="str">
        <f t="shared" si="6"/>
        <v>Roko – Puharić – OK Japetić</v>
      </c>
      <c r="J143" s="45" t="str">
        <f t="shared" si="7"/>
        <v>Roko – Puharić – OK Japetić</v>
      </c>
      <c r="L143" s="45" t="str">
        <f t="shared" si="8"/>
        <v>Roko – Puharić</v>
      </c>
      <c r="N143" s="103"/>
      <c r="O143" s="104"/>
      <c r="P143" s="105"/>
    </row>
    <row r="144" spans="2:16" x14ac:dyDescent="0.25">
      <c r="B144" s="103">
        <v>1459</v>
      </c>
      <c r="C144" s="104" t="s">
        <v>920</v>
      </c>
      <c r="D144" s="104" t="s">
        <v>919</v>
      </c>
      <c r="E144" s="104" t="s">
        <v>3728</v>
      </c>
      <c r="F144" s="105" t="s">
        <v>886</v>
      </c>
      <c r="H144" s="45" t="str">
        <f t="shared" si="6"/>
        <v>Matija – Razum – OK Japetić – M21A</v>
      </c>
      <c r="J144" s="45" t="str">
        <f t="shared" si="7"/>
        <v>Matija – Razum – OK Japetić</v>
      </c>
      <c r="L144" s="45" t="str">
        <f t="shared" si="8"/>
        <v>Matija – Razum</v>
      </c>
      <c r="N144" s="103"/>
      <c r="O144" s="104"/>
      <c r="P144" s="105"/>
    </row>
    <row r="145" spans="2:16" x14ac:dyDescent="0.25">
      <c r="B145" s="103">
        <v>1669</v>
      </c>
      <c r="C145" s="104" t="s">
        <v>3774</v>
      </c>
      <c r="D145" s="104" t="s">
        <v>3829</v>
      </c>
      <c r="E145" s="104" t="s">
        <v>3728</v>
      </c>
      <c r="F145" s="105"/>
      <c r="H145" s="45" t="str">
        <f t="shared" si="6"/>
        <v>David – Skopljak – OK Japetić</v>
      </c>
      <c r="J145" s="45" t="str">
        <f t="shared" si="7"/>
        <v>David – Skopljak – OK Japetić</v>
      </c>
      <c r="L145" s="45" t="str">
        <f t="shared" si="8"/>
        <v>David – Skopljak</v>
      </c>
      <c r="N145" s="103"/>
      <c r="O145" s="104"/>
      <c r="P145" s="105"/>
    </row>
    <row r="146" spans="2:16" x14ac:dyDescent="0.25">
      <c r="B146" s="103">
        <v>1160</v>
      </c>
      <c r="C146" s="104" t="s">
        <v>3183</v>
      </c>
      <c r="D146" s="104" t="s">
        <v>3830</v>
      </c>
      <c r="E146" s="104" t="s">
        <v>3728</v>
      </c>
      <c r="F146" s="105"/>
      <c r="H146" s="45" t="str">
        <f t="shared" si="6"/>
        <v>Hana – Škugor – OK Japetić</v>
      </c>
      <c r="J146" s="45" t="str">
        <f t="shared" si="7"/>
        <v>Hana – Škugor – OK Japetić</v>
      </c>
      <c r="L146" s="45" t="str">
        <f t="shared" si="8"/>
        <v>Hana – Škugor</v>
      </c>
      <c r="N146" s="103"/>
      <c r="O146" s="104"/>
      <c r="P146" s="105"/>
    </row>
    <row r="147" spans="2:16" x14ac:dyDescent="0.25">
      <c r="B147" s="103">
        <v>1776</v>
      </c>
      <c r="C147" s="104" t="s">
        <v>1867</v>
      </c>
      <c r="D147" s="104" t="s">
        <v>3831</v>
      </c>
      <c r="E147" s="104" t="s">
        <v>3728</v>
      </c>
      <c r="F147" s="105"/>
      <c r="H147" s="45" t="str">
        <f t="shared" si="6"/>
        <v>Damir – Suban – OK Japetić</v>
      </c>
      <c r="J147" s="45" t="str">
        <f t="shared" si="7"/>
        <v>Damir – Suban – OK Japetić</v>
      </c>
      <c r="L147" s="45" t="str">
        <f t="shared" si="8"/>
        <v>Damir – Suban</v>
      </c>
      <c r="N147" s="103"/>
      <c r="O147" s="104"/>
      <c r="P147" s="105"/>
    </row>
    <row r="148" spans="2:16" x14ac:dyDescent="0.25">
      <c r="B148" s="103">
        <v>1779</v>
      </c>
      <c r="C148" s="104" t="s">
        <v>3832</v>
      </c>
      <c r="D148" s="104" t="s">
        <v>3833</v>
      </c>
      <c r="E148" s="104" t="s">
        <v>3728</v>
      </c>
      <c r="F148" s="105"/>
      <c r="H148" s="45" t="str">
        <f t="shared" si="6"/>
        <v>Eli – Tadić – OK Japetić</v>
      </c>
      <c r="J148" s="45" t="str">
        <f t="shared" si="7"/>
        <v>Eli – Tadić – OK Japetić</v>
      </c>
      <c r="L148" s="45" t="str">
        <f t="shared" si="8"/>
        <v>Eli – Tadić</v>
      </c>
      <c r="N148" s="103"/>
      <c r="O148" s="104"/>
      <c r="P148" s="105"/>
    </row>
    <row r="149" spans="2:16" x14ac:dyDescent="0.25">
      <c r="B149" s="103">
        <v>1777</v>
      </c>
      <c r="C149" s="104" t="s">
        <v>2448</v>
      </c>
      <c r="D149" s="104" t="s">
        <v>3834</v>
      </c>
      <c r="E149" s="104" t="s">
        <v>3728</v>
      </c>
      <c r="F149" s="105"/>
      <c r="H149" s="45" t="str">
        <f t="shared" si="6"/>
        <v>Ivana – Tkalčić Suban – OK Japetić</v>
      </c>
      <c r="J149" s="45" t="str">
        <f t="shared" si="7"/>
        <v>Ivana – Tkalčić Suban – OK Japetić</v>
      </c>
      <c r="L149" s="45" t="str">
        <f t="shared" si="8"/>
        <v>Ivana – Tkalčić Suban</v>
      </c>
      <c r="N149" s="103"/>
      <c r="O149" s="104"/>
      <c r="P149" s="105"/>
    </row>
    <row r="150" spans="2:16" x14ac:dyDescent="0.25">
      <c r="B150" s="103">
        <v>1846</v>
      </c>
      <c r="C150" s="104" t="s">
        <v>3835</v>
      </c>
      <c r="D150" s="104" t="s">
        <v>3836</v>
      </c>
      <c r="E150" s="104" t="s">
        <v>3728</v>
      </c>
      <c r="F150" s="105" t="s">
        <v>364</v>
      </c>
      <c r="H150" s="45" t="str">
        <f t="shared" si="6"/>
        <v>Erik – Tot – OK Japetić – M12</v>
      </c>
      <c r="J150" s="45" t="str">
        <f t="shared" si="7"/>
        <v>Erik – Tot – OK Japetić</v>
      </c>
      <c r="L150" s="45" t="str">
        <f t="shared" si="8"/>
        <v>Erik – Tot</v>
      </c>
      <c r="N150" s="103"/>
      <c r="O150" s="104"/>
      <c r="P150" s="105"/>
    </row>
    <row r="151" spans="2:16" x14ac:dyDescent="0.25">
      <c r="B151" s="103">
        <v>1540</v>
      </c>
      <c r="C151" s="104" t="s">
        <v>1497</v>
      </c>
      <c r="D151" s="104" t="s">
        <v>3836</v>
      </c>
      <c r="E151" s="104" t="s">
        <v>3728</v>
      </c>
      <c r="F151" s="105" t="s">
        <v>1575</v>
      </c>
      <c r="H151" s="45" t="str">
        <f t="shared" si="6"/>
        <v>Nikola – Tot – OK Japetić – M35</v>
      </c>
      <c r="J151" s="45" t="str">
        <f t="shared" si="7"/>
        <v>Nikola – Tot – OK Japetić</v>
      </c>
      <c r="L151" s="45" t="str">
        <f t="shared" si="8"/>
        <v>Nikola – Tot</v>
      </c>
      <c r="N151" s="103"/>
      <c r="O151" s="104"/>
      <c r="P151" s="105"/>
    </row>
    <row r="152" spans="2:16" x14ac:dyDescent="0.25">
      <c r="B152" s="103">
        <v>1623</v>
      </c>
      <c r="C152" s="104" t="s">
        <v>3837</v>
      </c>
      <c r="D152" s="104" t="s">
        <v>3836</v>
      </c>
      <c r="E152" s="104" t="s">
        <v>3728</v>
      </c>
      <c r="F152" s="105"/>
      <c r="H152" s="45" t="str">
        <f t="shared" si="6"/>
        <v>Tea – Tot – OK Japetić</v>
      </c>
      <c r="J152" s="45" t="str">
        <f t="shared" si="7"/>
        <v>Tea – Tot – OK Japetić</v>
      </c>
      <c r="L152" s="45" t="str">
        <f t="shared" si="8"/>
        <v>Tea – Tot</v>
      </c>
      <c r="N152" s="103"/>
      <c r="O152" s="104"/>
      <c r="P152" s="105"/>
    </row>
    <row r="153" spans="2:16" x14ac:dyDescent="0.25">
      <c r="B153" s="103">
        <v>1566</v>
      </c>
      <c r="C153" s="104" t="s">
        <v>1263</v>
      </c>
      <c r="D153" s="104" t="s">
        <v>1262</v>
      </c>
      <c r="E153" s="104" t="s">
        <v>3728</v>
      </c>
      <c r="F153" s="105" t="s">
        <v>1130</v>
      </c>
      <c r="H153" s="45" t="str">
        <f t="shared" si="6"/>
        <v>Kristijan – Verović – OK Japetić – M21B</v>
      </c>
      <c r="J153" s="45" t="str">
        <f t="shared" si="7"/>
        <v>Kristijan – Verović – OK Japetić</v>
      </c>
      <c r="L153" s="45" t="str">
        <f t="shared" si="8"/>
        <v>Kristijan – Verović</v>
      </c>
      <c r="N153" s="103"/>
      <c r="O153" s="104"/>
      <c r="P153" s="105"/>
    </row>
    <row r="154" spans="2:16" x14ac:dyDescent="0.25">
      <c r="B154" s="103">
        <v>1854</v>
      </c>
      <c r="C154" s="104" t="s">
        <v>3838</v>
      </c>
      <c r="D154" s="104" t="s">
        <v>3839</v>
      </c>
      <c r="E154" s="104" t="s">
        <v>3728</v>
      </c>
      <c r="F154" s="105" t="s">
        <v>2637</v>
      </c>
      <c r="H154" s="45" t="str">
        <f t="shared" si="6"/>
        <v>Lidija – Vrdoljak – OK Japetić – Ž12</v>
      </c>
      <c r="J154" s="45" t="str">
        <f t="shared" si="7"/>
        <v>Lidija – Vrdoljak – OK Japetić</v>
      </c>
      <c r="L154" s="45" t="str">
        <f t="shared" si="8"/>
        <v>Lidija – Vrdoljak</v>
      </c>
      <c r="N154" s="103"/>
      <c r="O154" s="104"/>
      <c r="P154" s="105"/>
    </row>
    <row r="155" spans="2:16" x14ac:dyDescent="0.25">
      <c r="B155" s="103">
        <v>1858</v>
      </c>
      <c r="C155" s="104" t="s">
        <v>472</v>
      </c>
      <c r="D155" s="104" t="s">
        <v>985</v>
      </c>
      <c r="E155" s="104" t="s">
        <v>3728</v>
      </c>
      <c r="F155" s="105" t="s">
        <v>886</v>
      </c>
      <c r="H155" s="45" t="str">
        <f t="shared" si="6"/>
        <v>Filip – Vujanić – OK Japetić – M21A</v>
      </c>
      <c r="J155" s="45" t="str">
        <f t="shared" si="7"/>
        <v>Filip – Vujanić – OK Japetić</v>
      </c>
      <c r="L155" s="45" t="str">
        <f t="shared" si="8"/>
        <v>Filip – Vujanić</v>
      </c>
      <c r="N155" s="103"/>
      <c r="O155" s="104"/>
      <c r="P155" s="105"/>
    </row>
    <row r="156" spans="2:16" x14ac:dyDescent="0.25">
      <c r="B156" s="103">
        <v>1859</v>
      </c>
      <c r="C156" s="104" t="s">
        <v>1006</v>
      </c>
      <c r="D156" s="104" t="s">
        <v>985</v>
      </c>
      <c r="E156" s="104" t="s">
        <v>3728</v>
      </c>
      <c r="F156" s="105" t="s">
        <v>886</v>
      </c>
      <c r="H156" s="45" t="str">
        <f t="shared" si="6"/>
        <v>Josip – Vujanić – OK Japetić – M21A</v>
      </c>
      <c r="J156" s="45" t="str">
        <f t="shared" si="7"/>
        <v>Josip – Vujanić – OK Japetić</v>
      </c>
      <c r="L156" s="45" t="str">
        <f t="shared" si="8"/>
        <v>Josip – Vujanić</v>
      </c>
      <c r="N156" s="103"/>
      <c r="O156" s="104"/>
      <c r="P156" s="105"/>
    </row>
    <row r="157" spans="2:16" x14ac:dyDescent="0.25">
      <c r="B157" s="103">
        <v>1671</v>
      </c>
      <c r="C157" s="104" t="s">
        <v>3778</v>
      </c>
      <c r="D157" s="104" t="s">
        <v>3840</v>
      </c>
      <c r="E157" s="104" t="s">
        <v>393</v>
      </c>
      <c r="F157" s="105" t="s">
        <v>886</v>
      </c>
      <c r="H157" s="45" t="str">
        <f t="shared" si="6"/>
        <v>Igor – Acketa – OK Jelen – M21A</v>
      </c>
      <c r="J157" s="45" t="str">
        <f t="shared" si="7"/>
        <v>Igor – Acketa – OK Jelen</v>
      </c>
      <c r="L157" s="45" t="str">
        <f t="shared" si="8"/>
        <v>Igor – Acketa</v>
      </c>
      <c r="N157" s="103"/>
      <c r="O157" s="104"/>
      <c r="P157" s="105"/>
    </row>
    <row r="158" spans="2:16" x14ac:dyDescent="0.25">
      <c r="B158" s="103">
        <v>1472</v>
      </c>
      <c r="C158" s="104" t="s">
        <v>2437</v>
      </c>
      <c r="D158" s="104" t="s">
        <v>3083</v>
      </c>
      <c r="E158" s="104" t="s">
        <v>393</v>
      </c>
      <c r="F158" s="105" t="s">
        <v>3001</v>
      </c>
      <c r="H158" s="45" t="str">
        <f t="shared" si="6"/>
        <v>Ana – Beblek – OK Jelen – Ž21A</v>
      </c>
      <c r="J158" s="45" t="str">
        <f t="shared" si="7"/>
        <v>Ana – Beblek – OK Jelen</v>
      </c>
      <c r="L158" s="45" t="str">
        <f t="shared" si="8"/>
        <v>Ana – Beblek</v>
      </c>
      <c r="N158" s="103"/>
      <c r="O158" s="104"/>
      <c r="P158" s="105"/>
    </row>
    <row r="159" spans="2:16" x14ac:dyDescent="0.25">
      <c r="B159" s="103">
        <v>1473</v>
      </c>
      <c r="C159" s="104" t="s">
        <v>3239</v>
      </c>
      <c r="D159" s="104" t="s">
        <v>3281</v>
      </c>
      <c r="E159" s="104" t="s">
        <v>393</v>
      </c>
      <c r="F159" s="105" t="s">
        <v>3265</v>
      </c>
      <c r="H159" s="45" t="str">
        <f t="shared" si="6"/>
        <v>Martina – Bedeković Tanković – OK Jelen – Ž35</v>
      </c>
      <c r="J159" s="45" t="str">
        <f t="shared" si="7"/>
        <v>Martina – Bedeković Tanković – OK Jelen</v>
      </c>
      <c r="L159" s="45" t="str">
        <f t="shared" si="8"/>
        <v>Martina – Bedeković Tanković</v>
      </c>
      <c r="N159" s="103"/>
      <c r="O159" s="104"/>
      <c r="P159" s="105"/>
    </row>
    <row r="160" spans="2:16" x14ac:dyDescent="0.25">
      <c r="B160" s="103">
        <v>1133</v>
      </c>
      <c r="C160" s="104" t="s">
        <v>1763</v>
      </c>
      <c r="D160" s="104" t="s">
        <v>3841</v>
      </c>
      <c r="E160" s="104" t="s">
        <v>393</v>
      </c>
      <c r="F160" s="105" t="s">
        <v>2195</v>
      </c>
      <c r="H160" s="45" t="str">
        <f t="shared" si="6"/>
        <v>Miroslav – Besten – OK Jelen – M55</v>
      </c>
      <c r="J160" s="45" t="str">
        <f t="shared" si="7"/>
        <v>Miroslav – Besten – OK Jelen</v>
      </c>
      <c r="L160" s="45" t="str">
        <f t="shared" si="8"/>
        <v>Miroslav – Besten</v>
      </c>
      <c r="N160" s="103"/>
      <c r="O160" s="104"/>
      <c r="P160" s="105"/>
    </row>
    <row r="161" spans="2:16" x14ac:dyDescent="0.25">
      <c r="B161" s="103">
        <v>1607</v>
      </c>
      <c r="C161" s="104" t="s">
        <v>3842</v>
      </c>
      <c r="D161" s="104" t="s">
        <v>3843</v>
      </c>
      <c r="E161" s="104" t="s">
        <v>393</v>
      </c>
      <c r="F161" s="105" t="s">
        <v>3443</v>
      </c>
      <c r="H161" s="45" t="str">
        <f t="shared" si="6"/>
        <v>Draženka – Birkić – OK Jelen – Ž45</v>
      </c>
      <c r="J161" s="45" t="str">
        <f t="shared" si="7"/>
        <v>Draženka – Birkić – OK Jelen</v>
      </c>
      <c r="L161" s="45" t="str">
        <f t="shared" si="8"/>
        <v>Draženka – Birkić</v>
      </c>
      <c r="N161" s="103"/>
      <c r="O161" s="104"/>
      <c r="P161" s="105"/>
    </row>
    <row r="162" spans="2:16" x14ac:dyDescent="0.25">
      <c r="B162" s="103">
        <v>1559</v>
      </c>
      <c r="C162" s="104" t="s">
        <v>1980</v>
      </c>
      <c r="D162" s="104" t="s">
        <v>1979</v>
      </c>
      <c r="E162" s="104" t="s">
        <v>393</v>
      </c>
      <c r="F162" s="105" t="s">
        <v>1909</v>
      </c>
      <c r="H162" s="45" t="str">
        <f t="shared" si="6"/>
        <v>Marijan – Bogović – OK Jelen – M45</v>
      </c>
      <c r="J162" s="45" t="str">
        <f t="shared" si="7"/>
        <v>Marijan – Bogović – OK Jelen</v>
      </c>
      <c r="L162" s="45" t="str">
        <f t="shared" si="8"/>
        <v>Marijan – Bogović</v>
      </c>
      <c r="N162" s="103"/>
      <c r="O162" s="104"/>
      <c r="P162" s="105"/>
    </row>
    <row r="163" spans="2:16" x14ac:dyDescent="0.25">
      <c r="B163" s="103">
        <v>1311</v>
      </c>
      <c r="C163" s="104" t="s">
        <v>870</v>
      </c>
      <c r="D163" s="104" t="s">
        <v>869</v>
      </c>
      <c r="E163" s="104" t="s">
        <v>393</v>
      </c>
      <c r="F163" s="105" t="s">
        <v>769</v>
      </c>
      <c r="H163" s="45" t="str">
        <f t="shared" si="6"/>
        <v>Antonio – Cindrić – OK Jelen – M20</v>
      </c>
      <c r="J163" s="45" t="str">
        <f t="shared" si="7"/>
        <v>Antonio – Cindrić – OK Jelen</v>
      </c>
      <c r="L163" s="45" t="str">
        <f t="shared" si="8"/>
        <v>Antonio – Cindrić</v>
      </c>
      <c r="N163" s="103"/>
      <c r="O163" s="104"/>
      <c r="P163" s="105"/>
    </row>
    <row r="164" spans="2:16" x14ac:dyDescent="0.25">
      <c r="B164" s="103">
        <v>1462</v>
      </c>
      <c r="C164" s="104" t="s">
        <v>3844</v>
      </c>
      <c r="D164" s="104" t="s">
        <v>3845</v>
      </c>
      <c r="E164" s="104" t="s">
        <v>393</v>
      </c>
      <c r="F164" s="105" t="s">
        <v>2637</v>
      </c>
      <c r="H164" s="45" t="str">
        <f t="shared" si="6"/>
        <v>Helena – Ćubela – OK Jelen – Ž12</v>
      </c>
      <c r="J164" s="45" t="str">
        <f t="shared" si="7"/>
        <v>Helena – Ćubela – OK Jelen</v>
      </c>
      <c r="L164" s="45" t="str">
        <f t="shared" si="8"/>
        <v>Helena – Ćubela</v>
      </c>
      <c r="N164" s="103"/>
      <c r="O164" s="104"/>
      <c r="P164" s="105"/>
    </row>
    <row r="165" spans="2:16" x14ac:dyDescent="0.25">
      <c r="B165" s="103">
        <v>1672</v>
      </c>
      <c r="C165" s="104" t="s">
        <v>438</v>
      </c>
      <c r="D165" s="104" t="s">
        <v>3846</v>
      </c>
      <c r="E165" s="104" t="s">
        <v>393</v>
      </c>
      <c r="F165" s="105" t="s">
        <v>2195</v>
      </c>
      <c r="H165" s="45" t="str">
        <f t="shared" si="6"/>
        <v>Ivan – Đanić – OK Jelen – M55</v>
      </c>
      <c r="J165" s="45" t="str">
        <f t="shared" si="7"/>
        <v>Ivan – Đanić – OK Jelen</v>
      </c>
      <c r="L165" s="45" t="str">
        <f t="shared" si="8"/>
        <v>Ivan – Đanić</v>
      </c>
      <c r="N165" s="103"/>
      <c r="O165" s="104"/>
      <c r="P165" s="105"/>
    </row>
    <row r="166" spans="2:16" x14ac:dyDescent="0.25">
      <c r="B166" s="103">
        <v>1549</v>
      </c>
      <c r="C166" s="104" t="s">
        <v>2437</v>
      </c>
      <c r="D166" s="104" t="s">
        <v>1592</v>
      </c>
      <c r="E166" s="104" t="s">
        <v>393</v>
      </c>
      <c r="F166" s="105" t="s">
        <v>3265</v>
      </c>
      <c r="H166" s="45" t="str">
        <f t="shared" si="6"/>
        <v>Ana – Delić – OK Jelen – Ž35</v>
      </c>
      <c r="J166" s="45" t="str">
        <f t="shared" si="7"/>
        <v>Ana – Delić – OK Jelen</v>
      </c>
      <c r="L166" s="45" t="str">
        <f t="shared" si="8"/>
        <v>Ana – Delić</v>
      </c>
      <c r="N166" s="103"/>
      <c r="O166" s="104"/>
      <c r="P166" s="105"/>
    </row>
    <row r="167" spans="2:16" x14ac:dyDescent="0.25">
      <c r="B167" s="103">
        <v>1338</v>
      </c>
      <c r="C167" s="104" t="s">
        <v>2647</v>
      </c>
      <c r="D167" s="104" t="s">
        <v>1592</v>
      </c>
      <c r="E167" s="104" t="s">
        <v>393</v>
      </c>
      <c r="F167" s="105" t="s">
        <v>2637</v>
      </c>
      <c r="H167" s="45" t="str">
        <f t="shared" si="6"/>
        <v>Dora – Delić – OK Jelen – Ž12</v>
      </c>
      <c r="J167" s="45" t="str">
        <f t="shared" si="7"/>
        <v>Dora – Delić – OK Jelen</v>
      </c>
      <c r="L167" s="45" t="str">
        <f t="shared" si="8"/>
        <v>Dora – Delić</v>
      </c>
      <c r="N167" s="103"/>
      <c r="O167" s="104"/>
      <c r="P167" s="105"/>
    </row>
    <row r="168" spans="2:16" x14ac:dyDescent="0.25">
      <c r="B168" s="103">
        <v>1528</v>
      </c>
      <c r="C168" s="104" t="s">
        <v>2634</v>
      </c>
      <c r="D168" s="104" t="s">
        <v>1592</v>
      </c>
      <c r="E168" s="104" t="s">
        <v>393</v>
      </c>
      <c r="F168" s="105" t="s">
        <v>2637</v>
      </c>
      <c r="H168" s="45" t="str">
        <f t="shared" si="6"/>
        <v>Sara – Delić – OK Jelen – Ž12</v>
      </c>
      <c r="J168" s="45" t="str">
        <f t="shared" si="7"/>
        <v>Sara – Delić – OK Jelen</v>
      </c>
      <c r="L168" s="45" t="str">
        <f t="shared" si="8"/>
        <v>Sara – Delić</v>
      </c>
      <c r="N168" s="103"/>
      <c r="O168" s="104"/>
      <c r="P168" s="105"/>
    </row>
    <row r="169" spans="2:16" x14ac:dyDescent="0.25">
      <c r="B169" s="103">
        <v>1491</v>
      </c>
      <c r="C169" s="104" t="s">
        <v>2485</v>
      </c>
      <c r="D169" s="104" t="s">
        <v>3847</v>
      </c>
      <c r="E169" s="104" t="s">
        <v>393</v>
      </c>
      <c r="F169" s="105" t="s">
        <v>2928</v>
      </c>
      <c r="H169" s="45" t="str">
        <f t="shared" si="6"/>
        <v>Iva – Derdić – OK Jelen – Ž20</v>
      </c>
      <c r="J169" s="45" t="str">
        <f t="shared" si="7"/>
        <v>Iva – Derdić – OK Jelen</v>
      </c>
      <c r="L169" s="45" t="str">
        <f t="shared" si="8"/>
        <v>Iva – Derdić</v>
      </c>
      <c r="N169" s="103"/>
      <c r="O169" s="104"/>
      <c r="P169" s="105"/>
    </row>
    <row r="170" spans="2:16" x14ac:dyDescent="0.25">
      <c r="B170" s="103">
        <v>1254</v>
      </c>
      <c r="C170" s="104" t="s">
        <v>3848</v>
      </c>
      <c r="D170" s="104" t="s">
        <v>3849</v>
      </c>
      <c r="E170" s="104" t="s">
        <v>393</v>
      </c>
      <c r="F170" s="105" t="s">
        <v>1575</v>
      </c>
      <c r="H170" s="45" t="str">
        <f t="shared" si="6"/>
        <v>Daniel – Fabijanić – OK Jelen – M35</v>
      </c>
      <c r="J170" s="45" t="str">
        <f t="shared" si="7"/>
        <v>Daniel – Fabijanić – OK Jelen</v>
      </c>
      <c r="L170" s="45" t="str">
        <f t="shared" si="8"/>
        <v>Daniel – Fabijanić</v>
      </c>
      <c r="N170" s="103"/>
      <c r="O170" s="104"/>
      <c r="P170" s="105"/>
    </row>
    <row r="171" spans="2:16" x14ac:dyDescent="0.25">
      <c r="B171" s="103">
        <v>1181</v>
      </c>
      <c r="C171" s="104" t="s">
        <v>3088</v>
      </c>
      <c r="D171" s="104" t="s">
        <v>3087</v>
      </c>
      <c r="E171" s="104" t="s">
        <v>393</v>
      </c>
      <c r="F171" s="105" t="s">
        <v>3001</v>
      </c>
      <c r="H171" s="45" t="str">
        <f t="shared" si="6"/>
        <v>Nevija – Frajzman – OK Jelen – Ž21A</v>
      </c>
      <c r="J171" s="45" t="str">
        <f t="shared" si="7"/>
        <v>Nevija – Frajzman – OK Jelen</v>
      </c>
      <c r="L171" s="45" t="str">
        <f t="shared" si="8"/>
        <v>Nevija – Frajzman</v>
      </c>
      <c r="N171" s="103"/>
      <c r="O171" s="104"/>
      <c r="P171" s="105"/>
    </row>
    <row r="172" spans="2:16" x14ac:dyDescent="0.25">
      <c r="B172" s="103">
        <v>1504</v>
      </c>
      <c r="C172" s="104" t="s">
        <v>3262</v>
      </c>
      <c r="D172" s="104" t="s">
        <v>3850</v>
      </c>
      <c r="E172" s="104" t="s">
        <v>393</v>
      </c>
      <c r="F172" s="105" t="s">
        <v>3443</v>
      </c>
      <c r="H172" s="45" t="str">
        <f t="shared" si="6"/>
        <v>Željka – Gajdek – OK Jelen – Ž45</v>
      </c>
      <c r="J172" s="45" t="str">
        <f t="shared" si="7"/>
        <v>Željka – Gajdek – OK Jelen</v>
      </c>
      <c r="L172" s="45" t="str">
        <f t="shared" si="8"/>
        <v>Željka – Gajdek</v>
      </c>
      <c r="N172" s="103"/>
      <c r="O172" s="104"/>
      <c r="P172" s="105"/>
    </row>
    <row r="173" spans="2:16" x14ac:dyDescent="0.25">
      <c r="B173" s="103">
        <v>1828</v>
      </c>
      <c r="C173" s="104" t="s">
        <v>2448</v>
      </c>
      <c r="D173" s="104" t="s">
        <v>3851</v>
      </c>
      <c r="E173" s="104" t="s">
        <v>393</v>
      </c>
      <c r="F173" s="105" t="s">
        <v>3265</v>
      </c>
      <c r="H173" s="45" t="str">
        <f t="shared" si="6"/>
        <v>Ivana – Herceg – OK Jelen – Ž35</v>
      </c>
      <c r="J173" s="45" t="str">
        <f t="shared" si="7"/>
        <v>Ivana – Herceg – OK Jelen</v>
      </c>
      <c r="L173" s="45" t="str">
        <f t="shared" si="8"/>
        <v>Ivana – Herceg</v>
      </c>
      <c r="N173" s="103"/>
      <c r="O173" s="104"/>
      <c r="P173" s="105"/>
    </row>
    <row r="174" spans="2:16" x14ac:dyDescent="0.25">
      <c r="B174" s="103">
        <v>1836</v>
      </c>
      <c r="C174" s="104" t="s">
        <v>1955</v>
      </c>
      <c r="D174" s="104" t="s">
        <v>2524</v>
      </c>
      <c r="E174" s="104" t="s">
        <v>393</v>
      </c>
      <c r="F174" s="105" t="s">
        <v>1909</v>
      </c>
      <c r="H174" s="45" t="str">
        <f t="shared" si="6"/>
        <v>Vladimir – Jurić – OK Jelen – M45</v>
      </c>
      <c r="J174" s="45" t="str">
        <f t="shared" si="7"/>
        <v>Vladimir – Jurić – OK Jelen</v>
      </c>
      <c r="L174" s="45" t="str">
        <f t="shared" si="8"/>
        <v>Vladimir – Jurić</v>
      </c>
      <c r="N174" s="103"/>
      <c r="O174" s="104"/>
      <c r="P174" s="105"/>
    </row>
    <row r="175" spans="2:16" x14ac:dyDescent="0.25">
      <c r="B175" s="103">
        <v>1173</v>
      </c>
      <c r="C175" s="104" t="s">
        <v>821</v>
      </c>
      <c r="D175" s="104" t="s">
        <v>3852</v>
      </c>
      <c r="E175" s="104" t="s">
        <v>393</v>
      </c>
      <c r="F175" s="105" t="s">
        <v>652</v>
      </c>
      <c r="H175" s="45" t="str">
        <f t="shared" si="6"/>
        <v>Noa – Kelc – OK Jelen – M16</v>
      </c>
      <c r="J175" s="45" t="str">
        <f t="shared" si="7"/>
        <v>Noa – Kelc – OK Jelen</v>
      </c>
      <c r="L175" s="45" t="str">
        <f t="shared" si="8"/>
        <v>Noa – Kelc</v>
      </c>
      <c r="N175" s="103"/>
      <c r="O175" s="104"/>
      <c r="P175" s="105"/>
    </row>
    <row r="176" spans="2:16" x14ac:dyDescent="0.25">
      <c r="B176" s="103">
        <v>1615</v>
      </c>
      <c r="C176" s="104" t="s">
        <v>3853</v>
      </c>
      <c r="D176" s="104" t="s">
        <v>3854</v>
      </c>
      <c r="E176" s="104" t="s">
        <v>393</v>
      </c>
      <c r="F176" s="105" t="s">
        <v>652</v>
      </c>
      <c r="H176" s="45" t="str">
        <f t="shared" si="6"/>
        <v>Dan – Kobasić – OK Jelen – M16</v>
      </c>
      <c r="J176" s="45" t="str">
        <f t="shared" si="7"/>
        <v>Dan – Kobasić – OK Jelen</v>
      </c>
      <c r="L176" s="45" t="str">
        <f t="shared" si="8"/>
        <v>Dan – Kobasić</v>
      </c>
      <c r="N176" s="103"/>
      <c r="O176" s="104"/>
      <c r="P176" s="105"/>
    </row>
    <row r="177" spans="2:16" x14ac:dyDescent="0.25">
      <c r="B177" s="103">
        <v>1082</v>
      </c>
      <c r="C177" s="104" t="s">
        <v>1096</v>
      </c>
      <c r="D177" s="104" t="s">
        <v>1095</v>
      </c>
      <c r="E177" s="104" t="s">
        <v>393</v>
      </c>
      <c r="F177" s="105" t="s">
        <v>886</v>
      </c>
      <c r="H177" s="45" t="str">
        <f t="shared" si="6"/>
        <v>Miran – Košćica – OK Jelen – M21A</v>
      </c>
      <c r="J177" s="45" t="str">
        <f t="shared" si="7"/>
        <v>Miran – Košćica – OK Jelen</v>
      </c>
      <c r="L177" s="45" t="str">
        <f t="shared" si="8"/>
        <v>Miran – Košćica</v>
      </c>
      <c r="N177" s="103"/>
      <c r="O177" s="104"/>
      <c r="P177" s="105"/>
    </row>
    <row r="178" spans="2:16" x14ac:dyDescent="0.25">
      <c r="B178" s="103">
        <v>1264</v>
      </c>
      <c r="C178" s="104" t="s">
        <v>605</v>
      </c>
      <c r="D178" s="104" t="s">
        <v>3855</v>
      </c>
      <c r="E178" s="104" t="s">
        <v>393</v>
      </c>
      <c r="F178" s="105" t="s">
        <v>1575</v>
      </c>
      <c r="H178" s="45" t="str">
        <f t="shared" si="6"/>
        <v>Marko – Košturić – OK Jelen – M35</v>
      </c>
      <c r="J178" s="45" t="str">
        <f t="shared" si="7"/>
        <v>Marko – Košturić – OK Jelen</v>
      </c>
      <c r="L178" s="45" t="str">
        <f t="shared" si="8"/>
        <v>Marko – Košturić</v>
      </c>
      <c r="N178" s="103"/>
      <c r="O178" s="104"/>
      <c r="P178" s="105"/>
    </row>
    <row r="179" spans="2:16" x14ac:dyDescent="0.25">
      <c r="B179" s="103">
        <v>1341</v>
      </c>
      <c r="C179" s="104" t="s">
        <v>1029</v>
      </c>
      <c r="D179" s="104" t="s">
        <v>3856</v>
      </c>
      <c r="E179" s="104" t="s">
        <v>393</v>
      </c>
      <c r="F179" s="105" t="s">
        <v>1130</v>
      </c>
      <c r="H179" s="45" t="str">
        <f t="shared" si="6"/>
        <v>Tomislav – Milašinčić – OK Jelen – M21B</v>
      </c>
      <c r="J179" s="45" t="str">
        <f t="shared" si="7"/>
        <v>Tomislav – Milašinčić – OK Jelen</v>
      </c>
      <c r="L179" s="45" t="str">
        <f t="shared" si="8"/>
        <v>Tomislav – Milašinčić</v>
      </c>
      <c r="N179" s="103"/>
      <c r="O179" s="104"/>
      <c r="P179" s="105"/>
    </row>
    <row r="180" spans="2:16" x14ac:dyDescent="0.25">
      <c r="B180" s="103">
        <v>1509</v>
      </c>
      <c r="C180" s="104" t="s">
        <v>715</v>
      </c>
      <c r="D180" s="104" t="s">
        <v>3857</v>
      </c>
      <c r="E180" s="104" t="s">
        <v>393</v>
      </c>
      <c r="F180" s="105" t="s">
        <v>886</v>
      </c>
      <c r="H180" s="45" t="str">
        <f t="shared" si="6"/>
        <v>Borna – Miljković – OK Jelen – M21A</v>
      </c>
      <c r="J180" s="45" t="str">
        <f t="shared" si="7"/>
        <v>Borna – Miljković – OK Jelen</v>
      </c>
      <c r="L180" s="45" t="str">
        <f t="shared" si="8"/>
        <v>Borna – Miljković</v>
      </c>
      <c r="N180" s="103"/>
      <c r="O180" s="104"/>
      <c r="P180" s="105"/>
    </row>
    <row r="181" spans="2:16" x14ac:dyDescent="0.25">
      <c r="B181" s="103">
        <v>1314</v>
      </c>
      <c r="C181" s="104" t="s">
        <v>1867</v>
      </c>
      <c r="D181" s="104" t="s">
        <v>3857</v>
      </c>
      <c r="E181" s="104" t="s">
        <v>393</v>
      </c>
      <c r="F181" s="105" t="s">
        <v>886</v>
      </c>
      <c r="H181" s="45" t="str">
        <f t="shared" si="6"/>
        <v>Damir – Miljković – OK Jelen – M21A</v>
      </c>
      <c r="J181" s="45" t="str">
        <f t="shared" si="7"/>
        <v>Damir – Miljković – OK Jelen</v>
      </c>
      <c r="L181" s="45" t="str">
        <f t="shared" si="8"/>
        <v>Damir – Miljković</v>
      </c>
      <c r="N181" s="103"/>
      <c r="O181" s="104"/>
      <c r="P181" s="105"/>
    </row>
    <row r="182" spans="2:16" x14ac:dyDescent="0.25">
      <c r="B182" s="103">
        <v>1129</v>
      </c>
      <c r="C182" s="104" t="s">
        <v>2647</v>
      </c>
      <c r="D182" s="104" t="s">
        <v>3857</v>
      </c>
      <c r="E182" s="104" t="s">
        <v>393</v>
      </c>
      <c r="F182" s="105" t="s">
        <v>3001</v>
      </c>
      <c r="H182" s="45" t="str">
        <f t="shared" si="6"/>
        <v>Dora – Miljković – OK Jelen – Ž21A</v>
      </c>
      <c r="J182" s="45" t="str">
        <f t="shared" si="7"/>
        <v>Dora – Miljković – OK Jelen</v>
      </c>
      <c r="L182" s="45" t="str">
        <f t="shared" si="8"/>
        <v>Dora – Miljković</v>
      </c>
      <c r="N182" s="103"/>
      <c r="O182" s="104"/>
      <c r="P182" s="105"/>
    </row>
    <row r="183" spans="2:16" x14ac:dyDescent="0.25">
      <c r="B183" s="103">
        <v>1526</v>
      </c>
      <c r="C183" s="104" t="s">
        <v>3234</v>
      </c>
      <c r="D183" s="104" t="s">
        <v>3858</v>
      </c>
      <c r="E183" s="104" t="s">
        <v>393</v>
      </c>
      <c r="F183" s="105" t="s">
        <v>3265</v>
      </c>
      <c r="H183" s="45" t="str">
        <f t="shared" si="6"/>
        <v>Nikolina – Miovec – OK Jelen – Ž35</v>
      </c>
      <c r="J183" s="45" t="str">
        <f t="shared" si="7"/>
        <v>Nikolina – Miovec – OK Jelen</v>
      </c>
      <c r="L183" s="45" t="str">
        <f t="shared" si="8"/>
        <v>Nikolina – Miovec</v>
      </c>
      <c r="N183" s="103"/>
      <c r="O183" s="104"/>
      <c r="P183" s="105"/>
    </row>
    <row r="184" spans="2:16" x14ac:dyDescent="0.25">
      <c r="B184" s="103">
        <v>1443</v>
      </c>
      <c r="C184" s="104" t="s">
        <v>1955</v>
      </c>
      <c r="D184" s="104" t="s">
        <v>3858</v>
      </c>
      <c r="E184" s="104" t="s">
        <v>393</v>
      </c>
      <c r="F184" s="105" t="s">
        <v>364</v>
      </c>
      <c r="H184" s="45" t="str">
        <f t="shared" si="6"/>
        <v>Vladimir – Miovec – OK Jelen – M12</v>
      </c>
      <c r="J184" s="45" t="str">
        <f t="shared" si="7"/>
        <v>Vladimir – Miovec – OK Jelen</v>
      </c>
      <c r="L184" s="45" t="str">
        <f t="shared" si="8"/>
        <v>Vladimir – Miovec</v>
      </c>
      <c r="N184" s="103"/>
      <c r="O184" s="104"/>
      <c r="P184" s="105"/>
    </row>
    <row r="185" spans="2:16" x14ac:dyDescent="0.25">
      <c r="B185" s="103">
        <v>1673</v>
      </c>
      <c r="C185" s="104" t="s">
        <v>605</v>
      </c>
      <c r="D185" s="104" t="s">
        <v>3859</v>
      </c>
      <c r="E185" s="104" t="s">
        <v>393</v>
      </c>
      <c r="F185" s="105" t="s">
        <v>886</v>
      </c>
      <c r="H185" s="45" t="str">
        <f t="shared" si="6"/>
        <v>Marko – Mlinac – OK Jelen – M21A</v>
      </c>
      <c r="J185" s="45" t="str">
        <f t="shared" si="7"/>
        <v>Marko – Mlinac – OK Jelen</v>
      </c>
      <c r="L185" s="45" t="str">
        <f t="shared" si="8"/>
        <v>Marko – Mlinac</v>
      </c>
      <c r="N185" s="103"/>
      <c r="O185" s="104"/>
      <c r="P185" s="105"/>
    </row>
    <row r="186" spans="2:16" x14ac:dyDescent="0.25">
      <c r="B186" s="103">
        <v>1416</v>
      </c>
      <c r="C186" s="104" t="s">
        <v>1832</v>
      </c>
      <c r="D186" s="104" t="s">
        <v>1831</v>
      </c>
      <c r="E186" s="104" t="s">
        <v>393</v>
      </c>
      <c r="F186" s="105" t="s">
        <v>1575</v>
      </c>
      <c r="H186" s="45" t="str">
        <f t="shared" si="6"/>
        <v>Dragutin – Mulig – OK Jelen – M35</v>
      </c>
      <c r="J186" s="45" t="str">
        <f t="shared" si="7"/>
        <v>Dragutin – Mulig – OK Jelen</v>
      </c>
      <c r="L186" s="45" t="str">
        <f t="shared" si="8"/>
        <v>Dragutin – Mulig</v>
      </c>
      <c r="N186" s="103"/>
      <c r="O186" s="104"/>
      <c r="P186" s="105"/>
    </row>
    <row r="187" spans="2:16" x14ac:dyDescent="0.25">
      <c r="B187" s="103">
        <v>1517</v>
      </c>
      <c r="C187" s="104" t="s">
        <v>1980</v>
      </c>
      <c r="D187" s="104" t="s">
        <v>1831</v>
      </c>
      <c r="E187" s="104" t="s">
        <v>393</v>
      </c>
      <c r="F187" s="105" t="s">
        <v>1130</v>
      </c>
      <c r="H187" s="45" t="str">
        <f t="shared" si="6"/>
        <v>Marijan – Mulig – OK Jelen – M21B</v>
      </c>
      <c r="J187" s="45" t="str">
        <f t="shared" si="7"/>
        <v>Marijan – Mulig – OK Jelen</v>
      </c>
      <c r="L187" s="45" t="str">
        <f t="shared" si="8"/>
        <v>Marijan – Mulig</v>
      </c>
      <c r="N187" s="103"/>
      <c r="O187" s="104"/>
      <c r="P187" s="105"/>
    </row>
    <row r="188" spans="2:16" x14ac:dyDescent="0.25">
      <c r="B188" s="103">
        <v>1293</v>
      </c>
      <c r="C188" s="104" t="s">
        <v>1364</v>
      </c>
      <c r="D188" s="104" t="s">
        <v>1883</v>
      </c>
      <c r="E188" s="104" t="s">
        <v>393</v>
      </c>
      <c r="F188" s="105" t="s">
        <v>1130</v>
      </c>
      <c r="H188" s="45" t="str">
        <f t="shared" si="6"/>
        <v>Domagoj – Novosel – OK Jelen – M21B</v>
      </c>
      <c r="J188" s="45" t="str">
        <f t="shared" si="7"/>
        <v>Domagoj – Novosel – OK Jelen</v>
      </c>
      <c r="L188" s="45" t="str">
        <f t="shared" si="8"/>
        <v>Domagoj – Novosel</v>
      </c>
      <c r="N188" s="103"/>
      <c r="O188" s="104"/>
      <c r="P188" s="105"/>
    </row>
    <row r="189" spans="2:16" x14ac:dyDescent="0.25">
      <c r="B189" s="103">
        <v>1115</v>
      </c>
      <c r="C189" s="104" t="s">
        <v>1249</v>
      </c>
      <c r="D189" s="104" t="s">
        <v>1883</v>
      </c>
      <c r="E189" s="104" t="s">
        <v>393</v>
      </c>
      <c r="F189" s="105" t="s">
        <v>1575</v>
      </c>
      <c r="H189" s="45" t="str">
        <f t="shared" si="6"/>
        <v>Zdravko – Novosel – OK Jelen – M35</v>
      </c>
      <c r="J189" s="45" t="str">
        <f t="shared" si="7"/>
        <v>Zdravko – Novosel – OK Jelen</v>
      </c>
      <c r="L189" s="45" t="str">
        <f t="shared" si="8"/>
        <v>Zdravko – Novosel</v>
      </c>
      <c r="N189" s="103"/>
      <c r="O189" s="104"/>
      <c r="P189" s="105"/>
    </row>
    <row r="190" spans="2:16" x14ac:dyDescent="0.25">
      <c r="B190" s="103">
        <v>1519</v>
      </c>
      <c r="C190" s="104" t="s">
        <v>1006</v>
      </c>
      <c r="D190" s="104" t="s">
        <v>3860</v>
      </c>
      <c r="E190" s="104" t="s">
        <v>393</v>
      </c>
      <c r="F190" s="105" t="s">
        <v>1130</v>
      </c>
      <c r="H190" s="45" t="str">
        <f t="shared" si="6"/>
        <v>Josip – Odžić – OK Jelen – M21B</v>
      </c>
      <c r="J190" s="45" t="str">
        <f t="shared" si="7"/>
        <v>Josip – Odžić – OK Jelen</v>
      </c>
      <c r="L190" s="45" t="str">
        <f t="shared" si="8"/>
        <v>Josip – Odžić</v>
      </c>
      <c r="N190" s="103"/>
      <c r="O190" s="104"/>
      <c r="P190" s="105"/>
    </row>
    <row r="191" spans="2:16" x14ac:dyDescent="0.25">
      <c r="B191" s="103">
        <v>1110</v>
      </c>
      <c r="C191" s="104" t="s">
        <v>509</v>
      </c>
      <c r="D191" s="104" t="s">
        <v>3861</v>
      </c>
      <c r="E191" s="104" t="s">
        <v>393</v>
      </c>
      <c r="F191" s="105" t="s">
        <v>487</v>
      </c>
      <c r="H191" s="45" t="str">
        <f t="shared" si="6"/>
        <v>Luka – Oslaković – OK Jelen – M14</v>
      </c>
      <c r="J191" s="45" t="str">
        <f t="shared" si="7"/>
        <v>Luka – Oslaković – OK Jelen</v>
      </c>
      <c r="L191" s="45" t="str">
        <f t="shared" si="8"/>
        <v>Luka – Oslaković</v>
      </c>
      <c r="N191" s="103"/>
      <c r="O191" s="104"/>
      <c r="P191" s="105"/>
    </row>
    <row r="192" spans="2:16" x14ac:dyDescent="0.25">
      <c r="B192" s="103">
        <v>1201</v>
      </c>
      <c r="C192" s="104" t="s">
        <v>1074</v>
      </c>
      <c r="D192" s="104" t="s">
        <v>3862</v>
      </c>
      <c r="E192" s="104" t="s">
        <v>393</v>
      </c>
      <c r="F192" s="105" t="s">
        <v>1130</v>
      </c>
      <c r="H192" s="45" t="str">
        <f t="shared" si="6"/>
        <v>Vedran – Papa – OK Jelen – M21B</v>
      </c>
      <c r="J192" s="45" t="str">
        <f t="shared" si="7"/>
        <v>Vedran – Papa – OK Jelen</v>
      </c>
      <c r="L192" s="45" t="str">
        <f t="shared" si="8"/>
        <v>Vedran – Papa</v>
      </c>
      <c r="N192" s="103"/>
      <c r="O192" s="104"/>
      <c r="P192" s="105"/>
    </row>
    <row r="193" spans="2:16" x14ac:dyDescent="0.25">
      <c r="B193" s="103">
        <v>1674</v>
      </c>
      <c r="C193" s="104" t="s">
        <v>3863</v>
      </c>
      <c r="D193" s="104" t="s">
        <v>3864</v>
      </c>
      <c r="E193" s="104" t="s">
        <v>393</v>
      </c>
      <c r="F193" s="105" t="s">
        <v>886</v>
      </c>
      <c r="H193" s="45" t="str">
        <f t="shared" si="6"/>
        <v>Mijat – Perić – OK Jelen – M21A</v>
      </c>
      <c r="J193" s="45" t="str">
        <f t="shared" si="7"/>
        <v>Mijat – Perić – OK Jelen</v>
      </c>
      <c r="L193" s="45" t="str">
        <f t="shared" si="8"/>
        <v>Mijat – Perić</v>
      </c>
      <c r="N193" s="103"/>
      <c r="O193" s="104"/>
      <c r="P193" s="105"/>
    </row>
    <row r="194" spans="2:16" x14ac:dyDescent="0.25">
      <c r="B194" s="103">
        <v>1675</v>
      </c>
      <c r="C194" s="104" t="s">
        <v>3865</v>
      </c>
      <c r="D194" s="104" t="s">
        <v>3866</v>
      </c>
      <c r="E194" s="104" t="s">
        <v>393</v>
      </c>
      <c r="F194" s="105" t="s">
        <v>1909</v>
      </c>
      <c r="H194" s="45" t="str">
        <f t="shared" si="6"/>
        <v>Drago – Rusan – OK Jelen – M45</v>
      </c>
      <c r="J194" s="45" t="str">
        <f t="shared" si="7"/>
        <v>Drago – Rusan – OK Jelen</v>
      </c>
      <c r="L194" s="45" t="str">
        <f t="shared" si="8"/>
        <v>Drago – Rusan</v>
      </c>
      <c r="N194" s="103"/>
      <c r="O194" s="104"/>
      <c r="P194" s="105"/>
    </row>
    <row r="195" spans="2:16" x14ac:dyDescent="0.25">
      <c r="B195" s="103">
        <v>1505</v>
      </c>
      <c r="C195" s="104" t="s">
        <v>1249</v>
      </c>
      <c r="D195" s="104" t="s">
        <v>2170</v>
      </c>
      <c r="E195" s="104" t="s">
        <v>393</v>
      </c>
      <c r="F195" s="105" t="s">
        <v>1909</v>
      </c>
      <c r="H195" s="45" t="str">
        <f t="shared" si="6"/>
        <v>Zdravko – Šaflin – OK Jelen – M45</v>
      </c>
      <c r="J195" s="45" t="str">
        <f t="shared" si="7"/>
        <v>Zdravko – Šaflin – OK Jelen</v>
      </c>
      <c r="L195" s="45" t="str">
        <f t="shared" si="8"/>
        <v>Zdravko – Šaflin</v>
      </c>
      <c r="N195" s="103"/>
      <c r="O195" s="104"/>
      <c r="P195" s="105"/>
    </row>
    <row r="196" spans="2:16" x14ac:dyDescent="0.25">
      <c r="B196" s="103">
        <v>1873</v>
      </c>
      <c r="C196" s="104" t="s">
        <v>453</v>
      </c>
      <c r="D196" s="104" t="s">
        <v>3867</v>
      </c>
      <c r="E196" s="104" t="s">
        <v>393</v>
      </c>
      <c r="F196" s="105" t="s">
        <v>364</v>
      </c>
      <c r="H196" s="45" t="str">
        <f t="shared" si="6"/>
        <v>Petar – Šalaj – OK Jelen – M12</v>
      </c>
      <c r="J196" s="45" t="str">
        <f t="shared" si="7"/>
        <v>Petar – Šalaj – OK Jelen</v>
      </c>
      <c r="L196" s="45" t="str">
        <f t="shared" si="8"/>
        <v>Petar – Šalaj</v>
      </c>
      <c r="N196" s="103"/>
      <c r="O196" s="104"/>
      <c r="P196" s="105"/>
    </row>
    <row r="197" spans="2:16" x14ac:dyDescent="0.25">
      <c r="B197" s="103">
        <v>1605</v>
      </c>
      <c r="C197" s="104" t="s">
        <v>3868</v>
      </c>
      <c r="D197" s="104" t="s">
        <v>3869</v>
      </c>
      <c r="E197" s="104" t="s">
        <v>393</v>
      </c>
      <c r="F197" s="105" t="s">
        <v>1909</v>
      </c>
      <c r="H197" s="45" t="str">
        <f t="shared" si="6"/>
        <v>Davor – Šćuric – OK Jelen – M45</v>
      </c>
      <c r="J197" s="45" t="str">
        <f t="shared" si="7"/>
        <v>Davor – Šćuric – OK Jelen</v>
      </c>
      <c r="L197" s="45" t="str">
        <f t="shared" si="8"/>
        <v>Davor – Šćuric</v>
      </c>
      <c r="N197" s="103"/>
      <c r="O197" s="104"/>
      <c r="P197" s="105"/>
    </row>
    <row r="198" spans="2:16" x14ac:dyDescent="0.25">
      <c r="B198" s="103">
        <v>1111</v>
      </c>
      <c r="C198" s="104" t="s">
        <v>438</v>
      </c>
      <c r="D198" s="104" t="s">
        <v>3870</v>
      </c>
      <c r="E198" s="104" t="s">
        <v>393</v>
      </c>
      <c r="F198" s="105" t="s">
        <v>1575</v>
      </c>
      <c r="H198" s="45" t="str">
        <f t="shared" si="6"/>
        <v>Ivan – Šeperić-Grdiša – OK Jelen – M35</v>
      </c>
      <c r="J198" s="45" t="str">
        <f t="shared" si="7"/>
        <v>Ivan – Šeperić-Grdiša – OK Jelen</v>
      </c>
      <c r="L198" s="45" t="str">
        <f t="shared" si="8"/>
        <v>Ivan – Šeperić-Grdiša</v>
      </c>
      <c r="N198" s="103"/>
      <c r="O198" s="104"/>
      <c r="P198" s="105"/>
    </row>
    <row r="199" spans="2:16" x14ac:dyDescent="0.25">
      <c r="B199" s="103">
        <v>1381</v>
      </c>
      <c r="C199" s="104" t="s">
        <v>3328</v>
      </c>
      <c r="D199" s="104" t="s">
        <v>3327</v>
      </c>
      <c r="E199" s="104" t="s">
        <v>393</v>
      </c>
      <c r="F199" s="105" t="s">
        <v>3265</v>
      </c>
      <c r="H199" s="45" t="str">
        <f t="shared" si="6"/>
        <v>Sabina – Seražin Korper – OK Jelen – Ž35</v>
      </c>
      <c r="J199" s="45" t="str">
        <f t="shared" si="7"/>
        <v>Sabina – Seražin Korper – OK Jelen</v>
      </c>
      <c r="L199" s="45" t="str">
        <f t="shared" si="8"/>
        <v>Sabina – Seražin Korper</v>
      </c>
      <c r="N199" s="103"/>
      <c r="O199" s="104"/>
      <c r="P199" s="105"/>
    </row>
    <row r="200" spans="2:16" x14ac:dyDescent="0.25">
      <c r="B200" s="103">
        <v>1256</v>
      </c>
      <c r="C200" s="104" t="s">
        <v>3871</v>
      </c>
      <c r="D200" s="104" t="s">
        <v>3872</v>
      </c>
      <c r="E200" s="104" t="s">
        <v>393</v>
      </c>
      <c r="F200" s="105" t="s">
        <v>769</v>
      </c>
      <c r="H200" s="45" t="str">
        <f t="shared" si="6"/>
        <v>Gabriel – Šiljevinac – OK Jelen – M20</v>
      </c>
      <c r="J200" s="45" t="str">
        <f t="shared" si="7"/>
        <v>Gabriel – Šiljevinac – OK Jelen</v>
      </c>
      <c r="L200" s="45" t="str">
        <f t="shared" si="8"/>
        <v>Gabriel – Šiljevinac</v>
      </c>
      <c r="N200" s="103"/>
      <c r="O200" s="104"/>
      <c r="P200" s="105"/>
    </row>
    <row r="201" spans="2:16" x14ac:dyDescent="0.25">
      <c r="B201" s="103">
        <v>1214</v>
      </c>
      <c r="C201" s="104" t="s">
        <v>3873</v>
      </c>
      <c r="D201" s="104" t="s">
        <v>3874</v>
      </c>
      <c r="E201" s="104" t="s">
        <v>393</v>
      </c>
      <c r="F201" s="105" t="s">
        <v>3001</v>
      </c>
      <c r="H201" s="45" t="str">
        <f t="shared" si="6"/>
        <v>Monika Martina – Sipina Halper – OK Jelen – Ž21A</v>
      </c>
      <c r="J201" s="45" t="str">
        <f t="shared" si="7"/>
        <v>Monika Martina – Sipina Halper – OK Jelen</v>
      </c>
      <c r="L201" s="45" t="str">
        <f t="shared" si="8"/>
        <v>Monika Martina – Sipina Halper</v>
      </c>
      <c r="N201" s="103"/>
      <c r="O201" s="104"/>
      <c r="P201" s="105"/>
    </row>
    <row r="202" spans="2:16" x14ac:dyDescent="0.25">
      <c r="B202" s="103">
        <v>1461</v>
      </c>
      <c r="C202" s="104" t="s">
        <v>3875</v>
      </c>
      <c r="D202" s="104" t="s">
        <v>3876</v>
      </c>
      <c r="E202" s="104" t="s">
        <v>393</v>
      </c>
      <c r="F202" s="105" t="s">
        <v>487</v>
      </c>
      <c r="H202" s="45" t="str">
        <f t="shared" si="6"/>
        <v>Gabrijel – Solenički – OK Jelen – M14</v>
      </c>
      <c r="J202" s="45" t="str">
        <f t="shared" si="7"/>
        <v>Gabrijel – Solenički – OK Jelen</v>
      </c>
      <c r="L202" s="45" t="str">
        <f t="shared" si="8"/>
        <v>Gabrijel – Solenički</v>
      </c>
      <c r="N202" s="103"/>
      <c r="O202" s="104"/>
      <c r="P202" s="105"/>
    </row>
    <row r="203" spans="2:16" x14ac:dyDescent="0.25">
      <c r="B203" s="103">
        <v>1626</v>
      </c>
      <c r="C203" s="104" t="s">
        <v>3877</v>
      </c>
      <c r="D203" s="104" t="s">
        <v>3878</v>
      </c>
      <c r="E203" s="104" t="s">
        <v>393</v>
      </c>
      <c r="F203" s="105" t="s">
        <v>364</v>
      </c>
      <c r="H203" s="45" t="str">
        <f t="shared" ref="H203:H266" si="9">IF(C203="","",C203) &amp; IF(D203="",""," – " &amp; D203) &amp; IF(E203="",""," – " &amp; E203) &amp; IF(F203="",""," – " &amp; F203)</f>
        <v>Samuel – Spretnjak – OK Jelen – M12</v>
      </c>
      <c r="J203" s="45" t="str">
        <f t="shared" ref="J203:J266" si="10">IF(C203="","",C203) &amp; IF(D203="",""," – " &amp; D203) &amp; IF(E203="",""," – " &amp; E203)</f>
        <v>Samuel – Spretnjak – OK Jelen</v>
      </c>
      <c r="L203" s="45" t="str">
        <f t="shared" ref="L203:L266" si="11">IF(C203="","",C203) &amp; IF(D203="",""," – " &amp; D203)</f>
        <v>Samuel – Spretnjak</v>
      </c>
      <c r="N203" s="103"/>
      <c r="O203" s="104"/>
      <c r="P203" s="105"/>
    </row>
    <row r="204" spans="2:16" x14ac:dyDescent="0.25">
      <c r="B204" s="103">
        <v>1164</v>
      </c>
      <c r="C204" s="104" t="s">
        <v>1904</v>
      </c>
      <c r="D204" s="104" t="s">
        <v>1903</v>
      </c>
      <c r="E204" s="104" t="s">
        <v>393</v>
      </c>
      <c r="F204" s="105" t="s">
        <v>1575</v>
      </c>
      <c r="H204" s="45" t="str">
        <f t="shared" si="9"/>
        <v>Dalibor – Stankovski – OK Jelen – M35</v>
      </c>
      <c r="J204" s="45" t="str">
        <f t="shared" si="10"/>
        <v>Dalibor – Stankovski – OK Jelen</v>
      </c>
      <c r="L204" s="45" t="str">
        <f t="shared" si="11"/>
        <v>Dalibor – Stankovski</v>
      </c>
      <c r="N204" s="103"/>
      <c r="O204" s="104"/>
      <c r="P204" s="105"/>
    </row>
    <row r="205" spans="2:16" x14ac:dyDescent="0.25">
      <c r="B205" s="103">
        <v>1614</v>
      </c>
      <c r="C205" s="104" t="s">
        <v>2537</v>
      </c>
      <c r="D205" s="104" t="s">
        <v>3879</v>
      </c>
      <c r="E205" s="104" t="s">
        <v>393</v>
      </c>
      <c r="F205" s="105" t="s">
        <v>3265</v>
      </c>
      <c r="H205" s="45" t="str">
        <f t="shared" si="9"/>
        <v>Sandra – Stinčić Clarke – OK Jelen – Ž35</v>
      </c>
      <c r="J205" s="45" t="str">
        <f t="shared" si="10"/>
        <v>Sandra – Stinčić Clarke – OK Jelen</v>
      </c>
      <c r="L205" s="45" t="str">
        <f t="shared" si="11"/>
        <v>Sandra – Stinčić Clarke</v>
      </c>
      <c r="N205" s="103"/>
      <c r="O205" s="104"/>
      <c r="P205" s="105"/>
    </row>
    <row r="206" spans="2:16" x14ac:dyDescent="0.25">
      <c r="B206" s="103">
        <v>1162</v>
      </c>
      <c r="C206" s="104" t="s">
        <v>388</v>
      </c>
      <c r="D206" s="104" t="s">
        <v>387</v>
      </c>
      <c r="E206" s="104" t="s">
        <v>393</v>
      </c>
      <c r="F206" s="105" t="s">
        <v>364</v>
      </c>
      <c r="H206" s="45" t="str">
        <f t="shared" si="9"/>
        <v>Marin – Tanković – OK Jelen – M12</v>
      </c>
      <c r="J206" s="45" t="str">
        <f t="shared" si="10"/>
        <v>Marin – Tanković – OK Jelen</v>
      </c>
      <c r="L206" s="45" t="str">
        <f t="shared" si="11"/>
        <v>Marin – Tanković</v>
      </c>
      <c r="N206" s="103"/>
      <c r="O206" s="104"/>
      <c r="P206" s="105"/>
    </row>
    <row r="207" spans="2:16" x14ac:dyDescent="0.25">
      <c r="B207" s="103">
        <v>1119</v>
      </c>
      <c r="C207" s="104" t="s">
        <v>605</v>
      </c>
      <c r="D207" s="104" t="s">
        <v>387</v>
      </c>
      <c r="E207" s="104" t="s">
        <v>393</v>
      </c>
      <c r="F207" s="105" t="s">
        <v>487</v>
      </c>
      <c r="H207" s="45" t="str">
        <f t="shared" si="9"/>
        <v>Marko – Tanković – OK Jelen – M14</v>
      </c>
      <c r="J207" s="45" t="str">
        <f t="shared" si="10"/>
        <v>Marko – Tanković – OK Jelen</v>
      </c>
      <c r="L207" s="45" t="str">
        <f t="shared" si="11"/>
        <v>Marko – Tanković</v>
      </c>
      <c r="N207" s="103"/>
      <c r="O207" s="104"/>
      <c r="P207" s="105"/>
    </row>
    <row r="208" spans="2:16" x14ac:dyDescent="0.25">
      <c r="B208" s="103">
        <v>1355</v>
      </c>
      <c r="C208" s="104" t="s">
        <v>1867</v>
      </c>
      <c r="D208" s="104" t="s">
        <v>1866</v>
      </c>
      <c r="E208" s="104" t="s">
        <v>393</v>
      </c>
      <c r="F208" s="105" t="s">
        <v>1575</v>
      </c>
      <c r="H208" s="45" t="str">
        <f t="shared" si="9"/>
        <v>Damir – Tubin – OK Jelen – M35</v>
      </c>
      <c r="J208" s="45" t="str">
        <f t="shared" si="10"/>
        <v>Damir – Tubin – OK Jelen</v>
      </c>
      <c r="L208" s="45" t="str">
        <f t="shared" si="11"/>
        <v>Damir – Tubin</v>
      </c>
      <c r="N208" s="103"/>
      <c r="O208" s="104"/>
      <c r="P208" s="105"/>
    </row>
    <row r="209" spans="2:16" x14ac:dyDescent="0.25">
      <c r="B209" s="103">
        <v>1874</v>
      </c>
      <c r="C209" s="104" t="s">
        <v>3880</v>
      </c>
      <c r="D209" s="104" t="s">
        <v>1866</v>
      </c>
      <c r="E209" s="104" t="s">
        <v>393</v>
      </c>
      <c r="F209" s="105" t="s">
        <v>364</v>
      </c>
      <c r="H209" s="45" t="str">
        <f t="shared" si="9"/>
        <v>Dorijan – Tubin – OK Jelen – M12</v>
      </c>
      <c r="J209" s="45" t="str">
        <f t="shared" si="10"/>
        <v>Dorijan – Tubin – OK Jelen</v>
      </c>
      <c r="L209" s="45" t="str">
        <f t="shared" si="11"/>
        <v>Dorijan – Tubin</v>
      </c>
      <c r="N209" s="103"/>
      <c r="O209" s="104"/>
      <c r="P209" s="105"/>
    </row>
    <row r="210" spans="2:16" x14ac:dyDescent="0.25">
      <c r="B210" s="103">
        <v>1142</v>
      </c>
      <c r="C210" s="104" t="s">
        <v>1321</v>
      </c>
      <c r="D210" s="104" t="s">
        <v>3881</v>
      </c>
      <c r="E210" s="104" t="s">
        <v>393</v>
      </c>
      <c r="F210" s="105" t="s">
        <v>1909</v>
      </c>
      <c r="H210" s="45" t="str">
        <f t="shared" si="9"/>
        <v>Željko – Vinšćak – OK Jelen – M45</v>
      </c>
      <c r="J210" s="45" t="str">
        <f t="shared" si="10"/>
        <v>Željko – Vinšćak – OK Jelen</v>
      </c>
      <c r="L210" s="45" t="str">
        <f t="shared" si="11"/>
        <v>Željko – Vinšćak</v>
      </c>
      <c r="N210" s="103"/>
      <c r="O210" s="104"/>
      <c r="P210" s="105"/>
    </row>
    <row r="211" spans="2:16" x14ac:dyDescent="0.25">
      <c r="B211" s="103">
        <v>1101</v>
      </c>
      <c r="C211" s="104" t="s">
        <v>2602</v>
      </c>
      <c r="D211" s="104" t="s">
        <v>3882</v>
      </c>
      <c r="E211" s="104" t="s">
        <v>393</v>
      </c>
      <c r="F211" s="105" t="s">
        <v>2732</v>
      </c>
      <c r="H211" s="45" t="str">
        <f t="shared" si="9"/>
        <v>Petra – Vučinić – OK Jelen – Ž14</v>
      </c>
      <c r="J211" s="45" t="str">
        <f t="shared" si="10"/>
        <v>Petra – Vučinić – OK Jelen</v>
      </c>
      <c r="L211" s="45" t="str">
        <f t="shared" si="11"/>
        <v>Petra – Vučinić</v>
      </c>
      <c r="N211" s="103"/>
      <c r="O211" s="104"/>
      <c r="P211" s="105"/>
    </row>
    <row r="212" spans="2:16" x14ac:dyDescent="0.25">
      <c r="B212" s="103">
        <v>1120</v>
      </c>
      <c r="C212" s="104" t="s">
        <v>3778</v>
      </c>
      <c r="D212" s="104" t="s">
        <v>3883</v>
      </c>
      <c r="E212" s="104" t="s">
        <v>393</v>
      </c>
      <c r="F212" s="105" t="s">
        <v>886</v>
      </c>
      <c r="H212" s="45" t="str">
        <f t="shared" si="9"/>
        <v>Igor – Vukmirović – OK Jelen – M21A</v>
      </c>
      <c r="J212" s="45" t="str">
        <f t="shared" si="10"/>
        <v>Igor – Vukmirović – OK Jelen</v>
      </c>
      <c r="L212" s="45" t="str">
        <f t="shared" si="11"/>
        <v>Igor – Vukmirović</v>
      </c>
      <c r="N212" s="103"/>
      <c r="O212" s="104"/>
      <c r="P212" s="105"/>
    </row>
    <row r="213" spans="2:16" x14ac:dyDescent="0.25">
      <c r="B213" s="103">
        <v>1107</v>
      </c>
      <c r="C213" s="104" t="s">
        <v>741</v>
      </c>
      <c r="D213" s="104" t="s">
        <v>3884</v>
      </c>
      <c r="E213" s="104" t="s">
        <v>393</v>
      </c>
      <c r="F213" s="105" t="s">
        <v>1130</v>
      </c>
      <c r="H213" s="45" t="str">
        <f t="shared" si="9"/>
        <v>Goran – Žalac – OK Jelen – M21B</v>
      </c>
      <c r="J213" s="45" t="str">
        <f t="shared" si="10"/>
        <v>Goran – Žalac – OK Jelen</v>
      </c>
      <c r="L213" s="45" t="str">
        <f t="shared" si="11"/>
        <v>Goran – Žalac</v>
      </c>
      <c r="N213" s="103"/>
      <c r="O213" s="104"/>
      <c r="P213" s="105"/>
    </row>
    <row r="214" spans="2:16" x14ac:dyDescent="0.25">
      <c r="B214" s="103">
        <v>1596</v>
      </c>
      <c r="C214" s="104" t="s">
        <v>2305</v>
      </c>
      <c r="D214" s="104" t="s">
        <v>3885</v>
      </c>
      <c r="E214" s="104" t="s">
        <v>393</v>
      </c>
      <c r="F214" s="105" t="s">
        <v>1575</v>
      </c>
      <c r="H214" s="45" t="str">
        <f t="shared" si="9"/>
        <v>Nenad – Zdjelar – OK Jelen – M35</v>
      </c>
      <c r="J214" s="45" t="str">
        <f t="shared" si="10"/>
        <v>Nenad – Zdjelar – OK Jelen</v>
      </c>
      <c r="L214" s="45" t="str">
        <f t="shared" si="11"/>
        <v>Nenad – Zdjelar</v>
      </c>
      <c r="N214" s="103"/>
      <c r="O214" s="104"/>
      <c r="P214" s="105"/>
    </row>
    <row r="215" spans="2:16" x14ac:dyDescent="0.25">
      <c r="B215" s="103">
        <v>1312</v>
      </c>
      <c r="C215" s="104" t="s">
        <v>3886</v>
      </c>
      <c r="D215" s="104" t="s">
        <v>3887</v>
      </c>
      <c r="E215" s="104" t="s">
        <v>530</v>
      </c>
      <c r="F215" s="105" t="s">
        <v>1130</v>
      </c>
      <c r="H215" s="45" t="str">
        <f t="shared" si="9"/>
        <v>Franko – Bajlo – OK Kapela – M21B</v>
      </c>
      <c r="J215" s="45" t="str">
        <f t="shared" si="10"/>
        <v>Franko – Bajlo – OK Kapela</v>
      </c>
      <c r="L215" s="45" t="str">
        <f t="shared" si="11"/>
        <v>Franko – Bajlo</v>
      </c>
      <c r="N215" s="103"/>
      <c r="O215" s="104"/>
      <c r="P215" s="105"/>
    </row>
    <row r="216" spans="2:16" x14ac:dyDescent="0.25">
      <c r="B216" s="103">
        <v>1941</v>
      </c>
      <c r="C216" s="104" t="s">
        <v>1547</v>
      </c>
      <c r="D216" s="104" t="s">
        <v>1546</v>
      </c>
      <c r="E216" s="104" t="s">
        <v>530</v>
      </c>
      <c r="F216" s="105" t="s">
        <v>1130</v>
      </c>
      <c r="H216" s="45" t="str">
        <f t="shared" si="9"/>
        <v>Ante – Balić – OK Kapela – M21B</v>
      </c>
      <c r="J216" s="45" t="str">
        <f t="shared" si="10"/>
        <v>Ante – Balić – OK Kapela</v>
      </c>
      <c r="L216" s="45" t="str">
        <f t="shared" si="11"/>
        <v>Ante – Balić</v>
      </c>
      <c r="N216" s="103"/>
      <c r="O216" s="104"/>
      <c r="P216" s="105"/>
    </row>
    <row r="217" spans="2:16" x14ac:dyDescent="0.25">
      <c r="B217" s="103">
        <v>1087</v>
      </c>
      <c r="C217" s="104" t="s">
        <v>3888</v>
      </c>
      <c r="D217" s="104" t="s">
        <v>3889</v>
      </c>
      <c r="E217" s="104" t="s">
        <v>530</v>
      </c>
      <c r="F217" s="105" t="s">
        <v>3443</v>
      </c>
      <c r="H217" s="45" t="str">
        <f t="shared" si="9"/>
        <v>Nada – Baturina – OK Kapela – Ž45</v>
      </c>
      <c r="J217" s="45" t="str">
        <f t="shared" si="10"/>
        <v>Nada – Baturina – OK Kapela</v>
      </c>
      <c r="L217" s="45" t="str">
        <f t="shared" si="11"/>
        <v>Nada – Baturina</v>
      </c>
      <c r="N217" s="103"/>
      <c r="O217" s="104"/>
      <c r="P217" s="105"/>
    </row>
    <row r="218" spans="2:16" x14ac:dyDescent="0.25">
      <c r="B218" s="103">
        <v>1175</v>
      </c>
      <c r="C218" s="104" t="s">
        <v>2537</v>
      </c>
      <c r="D218" s="104" t="s">
        <v>3381</v>
      </c>
      <c r="E218" s="104" t="s">
        <v>530</v>
      </c>
      <c r="F218" s="105" t="s">
        <v>3265</v>
      </c>
      <c r="H218" s="45" t="str">
        <f t="shared" si="9"/>
        <v>Sandra – Bergant Vidaković – OK Kapela – Ž35</v>
      </c>
      <c r="J218" s="45" t="str">
        <f t="shared" si="10"/>
        <v>Sandra – Bergant Vidaković – OK Kapela</v>
      </c>
      <c r="L218" s="45" t="str">
        <f t="shared" si="11"/>
        <v>Sandra – Bergant Vidaković</v>
      </c>
      <c r="N218" s="103"/>
      <c r="O218" s="109"/>
      <c r="P218" s="105"/>
    </row>
    <row r="219" spans="2:16" x14ac:dyDescent="0.25">
      <c r="B219" s="103">
        <v>1056</v>
      </c>
      <c r="C219" s="104" t="s">
        <v>1074</v>
      </c>
      <c r="D219" s="104" t="s">
        <v>1073</v>
      </c>
      <c r="E219" s="104" t="s">
        <v>530</v>
      </c>
      <c r="F219" s="105" t="s">
        <v>886</v>
      </c>
      <c r="H219" s="45" t="str">
        <f t="shared" si="9"/>
        <v>Vedran – Berković – OK Kapela – M21A</v>
      </c>
      <c r="J219" s="45" t="str">
        <f t="shared" si="10"/>
        <v>Vedran – Berković – OK Kapela</v>
      </c>
      <c r="L219" s="45" t="str">
        <f t="shared" si="11"/>
        <v>Vedran – Berković</v>
      </c>
      <c r="N219" s="103"/>
      <c r="O219" s="104"/>
      <c r="P219" s="105"/>
    </row>
    <row r="220" spans="2:16" x14ac:dyDescent="0.25">
      <c r="B220" s="103">
        <v>1219</v>
      </c>
      <c r="C220" s="104" t="s">
        <v>3890</v>
      </c>
      <c r="D220" s="104" t="s">
        <v>3891</v>
      </c>
      <c r="E220" s="104" t="s">
        <v>530</v>
      </c>
      <c r="F220" s="105" t="s">
        <v>2195</v>
      </c>
      <c r="H220" s="45" t="str">
        <f t="shared" si="9"/>
        <v>Branko – Bernardić – OK Kapela – M55</v>
      </c>
      <c r="J220" s="45" t="str">
        <f t="shared" si="10"/>
        <v>Branko – Bernardić – OK Kapela</v>
      </c>
      <c r="L220" s="45" t="str">
        <f t="shared" si="11"/>
        <v>Branko – Bernardić</v>
      </c>
      <c r="N220" s="103"/>
      <c r="O220" s="104"/>
      <c r="P220" s="105"/>
    </row>
    <row r="221" spans="2:16" x14ac:dyDescent="0.25">
      <c r="B221" s="103">
        <v>1368</v>
      </c>
      <c r="C221" s="104" t="s">
        <v>3291</v>
      </c>
      <c r="D221" s="104" t="s">
        <v>3290</v>
      </c>
      <c r="E221" s="104" t="s">
        <v>530</v>
      </c>
      <c r="F221" s="105" t="s">
        <v>3265</v>
      </c>
      <c r="H221" s="45" t="str">
        <f t="shared" si="9"/>
        <v>Sanda – Berženji – OK Kapela – Ž35</v>
      </c>
      <c r="J221" s="45" t="str">
        <f t="shared" si="10"/>
        <v>Sanda – Berženji – OK Kapela</v>
      </c>
      <c r="L221" s="45" t="str">
        <f t="shared" si="11"/>
        <v>Sanda – Berženji</v>
      </c>
      <c r="N221" s="103"/>
      <c r="O221" s="104"/>
      <c r="P221" s="105"/>
    </row>
    <row r="222" spans="2:16" x14ac:dyDescent="0.25">
      <c r="B222" s="103">
        <v>1782</v>
      </c>
      <c r="C222" s="104" t="s">
        <v>3888</v>
      </c>
      <c r="D222" s="104" t="s">
        <v>3892</v>
      </c>
      <c r="E222" s="104" t="s">
        <v>530</v>
      </c>
      <c r="F222" s="105" t="s">
        <v>3094</v>
      </c>
      <c r="H222" s="45" t="str">
        <f t="shared" si="9"/>
        <v>Nada – Bilobrk – OK Kapela – Ž21B</v>
      </c>
      <c r="J222" s="45" t="str">
        <f t="shared" si="10"/>
        <v>Nada – Bilobrk – OK Kapela</v>
      </c>
      <c r="L222" s="45" t="str">
        <f t="shared" si="11"/>
        <v>Nada – Bilobrk</v>
      </c>
      <c r="N222" s="103"/>
      <c r="O222" s="104"/>
      <c r="P222" s="105"/>
    </row>
    <row r="223" spans="2:16" x14ac:dyDescent="0.25">
      <c r="B223" s="103">
        <v>1783</v>
      </c>
      <c r="C223" s="104" t="s">
        <v>1483</v>
      </c>
      <c r="D223" s="104" t="s">
        <v>3893</v>
      </c>
      <c r="E223" s="104" t="s">
        <v>530</v>
      </c>
      <c r="F223" s="105"/>
      <c r="H223" s="45" t="str">
        <f t="shared" si="9"/>
        <v>Hrvoje – Bolešić – OK Kapela</v>
      </c>
      <c r="J223" s="45" t="str">
        <f t="shared" si="10"/>
        <v>Hrvoje – Bolešić – OK Kapela</v>
      </c>
      <c r="L223" s="45" t="str">
        <f t="shared" si="11"/>
        <v>Hrvoje – Bolešić</v>
      </c>
      <c r="N223" s="103"/>
      <c r="O223" s="104"/>
      <c r="P223" s="105"/>
    </row>
    <row r="224" spans="2:16" x14ac:dyDescent="0.25">
      <c r="B224" s="103">
        <v>1784</v>
      </c>
      <c r="C224" s="104" t="s">
        <v>3894</v>
      </c>
      <c r="D224" s="104" t="s">
        <v>3895</v>
      </c>
      <c r="E224" s="104" t="s">
        <v>530</v>
      </c>
      <c r="F224" s="105"/>
      <c r="H224" s="45" t="str">
        <f t="shared" si="9"/>
        <v>Liliana – Božić – OK Kapela</v>
      </c>
      <c r="J224" s="45" t="str">
        <f t="shared" si="10"/>
        <v>Liliana – Božić – OK Kapela</v>
      </c>
      <c r="L224" s="45" t="str">
        <f t="shared" si="11"/>
        <v>Liliana – Božić</v>
      </c>
      <c r="N224" s="103"/>
      <c r="O224" s="104"/>
      <c r="P224" s="105"/>
    </row>
    <row r="225" spans="2:16" x14ac:dyDescent="0.25">
      <c r="B225" s="103">
        <v>1376</v>
      </c>
      <c r="C225" s="104" t="s">
        <v>2912</v>
      </c>
      <c r="D225" s="104" t="s">
        <v>3896</v>
      </c>
      <c r="E225" s="104" t="s">
        <v>530</v>
      </c>
      <c r="F225" s="105" t="s">
        <v>3265</v>
      </c>
      <c r="H225" s="45" t="str">
        <f t="shared" si="9"/>
        <v>Jelena – Brezak – OK Kapela – Ž35</v>
      </c>
      <c r="J225" s="45" t="str">
        <f t="shared" si="10"/>
        <v>Jelena – Brezak – OK Kapela</v>
      </c>
      <c r="L225" s="45" t="str">
        <f t="shared" si="11"/>
        <v>Jelena – Brezak</v>
      </c>
      <c r="N225" s="103"/>
      <c r="O225" s="104"/>
      <c r="P225" s="105"/>
    </row>
    <row r="226" spans="2:16" x14ac:dyDescent="0.25">
      <c r="B226" s="103">
        <v>1125</v>
      </c>
      <c r="C226" s="104" t="s">
        <v>438</v>
      </c>
      <c r="D226" s="104" t="s">
        <v>1680</v>
      </c>
      <c r="E226" s="104" t="s">
        <v>530</v>
      </c>
      <c r="F226" s="105" t="s">
        <v>1575</v>
      </c>
      <c r="H226" s="45" t="str">
        <f t="shared" si="9"/>
        <v>Ivan – Bublić – OK Kapela – M35</v>
      </c>
      <c r="J226" s="45" t="str">
        <f t="shared" si="10"/>
        <v>Ivan – Bublić – OK Kapela</v>
      </c>
      <c r="L226" s="45" t="str">
        <f t="shared" si="11"/>
        <v>Ivan – Bublić</v>
      </c>
      <c r="N226" s="103"/>
      <c r="O226" s="104"/>
      <c r="P226" s="105"/>
    </row>
    <row r="227" spans="2:16" x14ac:dyDescent="0.25">
      <c r="B227" s="103">
        <v>1849</v>
      </c>
      <c r="C227" s="104" t="s">
        <v>605</v>
      </c>
      <c r="D227" s="104" t="s">
        <v>1797</v>
      </c>
      <c r="E227" s="104" t="s">
        <v>530</v>
      </c>
      <c r="F227" s="105" t="s">
        <v>1575</v>
      </c>
      <c r="H227" s="45" t="str">
        <f t="shared" si="9"/>
        <v>Marko – Bunčić – OK Kapela – M35</v>
      </c>
      <c r="J227" s="45" t="str">
        <f t="shared" si="10"/>
        <v>Marko – Bunčić – OK Kapela</v>
      </c>
      <c r="L227" s="45" t="str">
        <f t="shared" si="11"/>
        <v>Marko – Bunčić</v>
      </c>
      <c r="N227" s="103"/>
      <c r="O227" s="104"/>
      <c r="P227" s="105"/>
    </row>
    <row r="228" spans="2:16" x14ac:dyDescent="0.25">
      <c r="B228" s="103">
        <v>1471</v>
      </c>
      <c r="C228" s="104" t="s">
        <v>3868</v>
      </c>
      <c r="D228" s="104" t="s">
        <v>3897</v>
      </c>
      <c r="E228" s="104" t="s">
        <v>530</v>
      </c>
      <c r="F228" s="105" t="s">
        <v>886</v>
      </c>
      <c r="H228" s="45" t="str">
        <f t="shared" si="9"/>
        <v>Davor – Čapeta – OK Kapela – M21A</v>
      </c>
      <c r="J228" s="45" t="str">
        <f t="shared" si="10"/>
        <v>Davor – Čapeta – OK Kapela</v>
      </c>
      <c r="L228" s="45" t="str">
        <f t="shared" si="11"/>
        <v>Davor – Čapeta</v>
      </c>
      <c r="N228" s="103"/>
      <c r="O228" s="104"/>
      <c r="P228" s="105"/>
    </row>
    <row r="229" spans="2:16" x14ac:dyDescent="0.25">
      <c r="B229" s="103">
        <v>1561</v>
      </c>
      <c r="C229" s="104" t="s">
        <v>3763</v>
      </c>
      <c r="D229" s="104" t="s">
        <v>3898</v>
      </c>
      <c r="E229" s="104" t="s">
        <v>530</v>
      </c>
      <c r="F229" s="105" t="s">
        <v>3265</v>
      </c>
      <c r="H229" s="45" t="str">
        <f t="shared" si="9"/>
        <v>Irena – Čorko Meštrović – OK Kapela – Ž35</v>
      </c>
      <c r="J229" s="45" t="str">
        <f t="shared" si="10"/>
        <v>Irena – Čorko Meštrović – OK Kapela</v>
      </c>
      <c r="L229" s="45" t="str">
        <f t="shared" si="11"/>
        <v>Irena – Čorko Meštrović</v>
      </c>
      <c r="N229" s="103"/>
      <c r="O229" s="104"/>
      <c r="P229" s="105"/>
    </row>
    <row r="230" spans="2:16" x14ac:dyDescent="0.25">
      <c r="B230" s="103">
        <v>1870</v>
      </c>
      <c r="C230" s="104" t="s">
        <v>2471</v>
      </c>
      <c r="D230" s="104" t="s">
        <v>2470</v>
      </c>
      <c r="E230" s="104" t="s">
        <v>530</v>
      </c>
      <c r="F230" s="105" t="s">
        <v>3094</v>
      </c>
      <c r="H230" s="45" t="str">
        <f t="shared" si="9"/>
        <v>Karmela – Crvenković – OK Kapela – Ž21B</v>
      </c>
      <c r="J230" s="45" t="str">
        <f t="shared" si="10"/>
        <v>Karmela – Crvenković – OK Kapela</v>
      </c>
      <c r="L230" s="45" t="str">
        <f t="shared" si="11"/>
        <v>Karmela – Crvenković</v>
      </c>
      <c r="N230" s="103"/>
      <c r="O230" s="104"/>
      <c r="P230" s="105"/>
    </row>
    <row r="231" spans="2:16" x14ac:dyDescent="0.25">
      <c r="B231" s="103">
        <v>1166</v>
      </c>
      <c r="C231" s="104" t="s">
        <v>3899</v>
      </c>
      <c r="D231" s="104" t="s">
        <v>3900</v>
      </c>
      <c r="E231" s="104" t="s">
        <v>530</v>
      </c>
      <c r="F231" s="105" t="s">
        <v>3619</v>
      </c>
      <c r="H231" s="45" t="str">
        <f t="shared" si="9"/>
        <v>Mladenka – Čuljak Gross – OK Kapela – Ž55</v>
      </c>
      <c r="J231" s="45" t="str">
        <f t="shared" si="10"/>
        <v>Mladenka – Čuljak Gross – OK Kapela</v>
      </c>
      <c r="L231" s="45" t="str">
        <f t="shared" si="11"/>
        <v>Mladenka – Čuljak Gross</v>
      </c>
      <c r="N231" s="103"/>
      <c r="O231" s="104"/>
      <c r="P231" s="105"/>
    </row>
    <row r="232" spans="2:16" x14ac:dyDescent="0.25">
      <c r="B232" s="103">
        <v>1868</v>
      </c>
      <c r="C232" s="104" t="s">
        <v>1867</v>
      </c>
      <c r="D232" s="104" t="s">
        <v>2336</v>
      </c>
      <c r="E232" s="104" t="s">
        <v>530</v>
      </c>
      <c r="F232" s="105" t="s">
        <v>2195</v>
      </c>
      <c r="H232" s="45" t="str">
        <f t="shared" si="9"/>
        <v>Damir – Ćurić – OK Kapela – M55</v>
      </c>
      <c r="J232" s="45" t="str">
        <f t="shared" si="10"/>
        <v>Damir – Ćurić – OK Kapela</v>
      </c>
      <c r="L232" s="45" t="str">
        <f t="shared" si="11"/>
        <v>Damir – Ćurić</v>
      </c>
      <c r="N232" s="103"/>
      <c r="O232" s="104"/>
      <c r="P232" s="105"/>
    </row>
    <row r="233" spans="2:16" x14ac:dyDescent="0.25">
      <c r="B233" s="103">
        <v>1121</v>
      </c>
      <c r="C233" s="104" t="s">
        <v>3901</v>
      </c>
      <c r="D233" s="104" t="s">
        <v>3902</v>
      </c>
      <c r="E233" s="104" t="s">
        <v>530</v>
      </c>
      <c r="F233" s="105"/>
      <c r="H233" s="45" t="str">
        <f t="shared" si="9"/>
        <v>Morana – Ćuzela – OK Kapela</v>
      </c>
      <c r="J233" s="45" t="str">
        <f t="shared" si="10"/>
        <v>Morana – Ćuzela – OK Kapela</v>
      </c>
      <c r="L233" s="45" t="str">
        <f t="shared" si="11"/>
        <v>Morana – Ćuzela</v>
      </c>
      <c r="N233" s="103"/>
      <c r="O233" s="104"/>
      <c r="P233" s="105"/>
    </row>
    <row r="234" spans="2:16" x14ac:dyDescent="0.25">
      <c r="B234" s="103">
        <v>1450</v>
      </c>
      <c r="C234" s="104" t="s">
        <v>1483</v>
      </c>
      <c r="D234" s="104" t="s">
        <v>2096</v>
      </c>
      <c r="E234" s="104" t="s">
        <v>530</v>
      </c>
      <c r="F234" s="105" t="s">
        <v>1909</v>
      </c>
      <c r="H234" s="45" t="str">
        <f t="shared" si="9"/>
        <v>Hrvoje – Dasović – OK Kapela – M45</v>
      </c>
      <c r="J234" s="45" t="str">
        <f t="shared" si="10"/>
        <v>Hrvoje – Dasović – OK Kapela</v>
      </c>
      <c r="L234" s="45" t="str">
        <f t="shared" si="11"/>
        <v>Hrvoje – Dasović</v>
      </c>
      <c r="N234" s="103"/>
      <c r="O234" s="104"/>
      <c r="P234" s="105"/>
    </row>
    <row r="235" spans="2:16" x14ac:dyDescent="0.25">
      <c r="B235" s="103">
        <v>1438</v>
      </c>
      <c r="C235" s="104" t="s">
        <v>2602</v>
      </c>
      <c r="D235" s="104" t="s">
        <v>2096</v>
      </c>
      <c r="E235" s="104" t="s">
        <v>530</v>
      </c>
      <c r="F235" s="105" t="s">
        <v>2766</v>
      </c>
      <c r="H235" s="45" t="str">
        <f t="shared" si="9"/>
        <v>Petra – Dasović – OK Kapela – Ž16</v>
      </c>
      <c r="J235" s="45" t="str">
        <f t="shared" si="10"/>
        <v>Petra – Dasović – OK Kapela</v>
      </c>
      <c r="L235" s="45" t="str">
        <f t="shared" si="11"/>
        <v>Petra – Dasović</v>
      </c>
      <c r="N235" s="103"/>
      <c r="O235" s="104"/>
      <c r="P235" s="105"/>
    </row>
    <row r="236" spans="2:16" x14ac:dyDescent="0.25">
      <c r="B236" s="103">
        <v>1300</v>
      </c>
      <c r="C236" s="104" t="s">
        <v>1364</v>
      </c>
      <c r="D236" s="104" t="s">
        <v>3903</v>
      </c>
      <c r="E236" s="104" t="s">
        <v>530</v>
      </c>
      <c r="F236" s="105" t="s">
        <v>886</v>
      </c>
      <c r="H236" s="45" t="str">
        <f t="shared" si="9"/>
        <v>Domagoj – Delimar – OK Kapela – M21A</v>
      </c>
      <c r="J236" s="45" t="str">
        <f t="shared" si="10"/>
        <v>Domagoj – Delimar – OK Kapela</v>
      </c>
      <c r="L236" s="45" t="str">
        <f t="shared" si="11"/>
        <v>Domagoj – Delimar</v>
      </c>
      <c r="N236" s="103"/>
      <c r="O236" s="104"/>
      <c r="P236" s="105"/>
    </row>
    <row r="237" spans="2:16" x14ac:dyDescent="0.25">
      <c r="B237" s="103">
        <v>1178</v>
      </c>
      <c r="C237" s="104" t="s">
        <v>2847</v>
      </c>
      <c r="D237" s="104" t="s">
        <v>2846</v>
      </c>
      <c r="E237" s="104" t="s">
        <v>530</v>
      </c>
      <c r="F237" s="105" t="s">
        <v>2766</v>
      </c>
      <c r="H237" s="45" t="str">
        <f t="shared" si="9"/>
        <v>Melissa – Drobić – OK Kapela – Ž16</v>
      </c>
      <c r="J237" s="45" t="str">
        <f t="shared" si="10"/>
        <v>Melissa – Drobić – OK Kapela</v>
      </c>
      <c r="L237" s="45" t="str">
        <f t="shared" si="11"/>
        <v>Melissa – Drobić</v>
      </c>
      <c r="N237" s="103"/>
      <c r="O237" s="104"/>
      <c r="P237" s="105"/>
    </row>
    <row r="238" spans="2:16" x14ac:dyDescent="0.25">
      <c r="B238" s="103">
        <v>1307</v>
      </c>
      <c r="C238" s="104" t="s">
        <v>3904</v>
      </c>
      <c r="D238" s="104" t="s">
        <v>2846</v>
      </c>
      <c r="E238" s="104" t="s">
        <v>530</v>
      </c>
      <c r="F238" s="105" t="s">
        <v>364</v>
      </c>
      <c r="H238" s="45" t="str">
        <f t="shared" si="9"/>
        <v>Sanjin – Drobić – OK Kapela – M12</v>
      </c>
      <c r="J238" s="45" t="str">
        <f t="shared" si="10"/>
        <v>Sanjin – Drobić – OK Kapela</v>
      </c>
      <c r="L238" s="45" t="str">
        <f t="shared" si="11"/>
        <v>Sanjin – Drobić</v>
      </c>
      <c r="N238" s="103"/>
      <c r="O238" s="104"/>
      <c r="P238" s="105"/>
    </row>
    <row r="239" spans="2:16" x14ac:dyDescent="0.25">
      <c r="B239" s="103">
        <v>1785</v>
      </c>
      <c r="C239" s="104" t="s">
        <v>3905</v>
      </c>
      <c r="D239" s="104" t="s">
        <v>3906</v>
      </c>
      <c r="E239" s="104" t="s">
        <v>530</v>
      </c>
      <c r="F239" s="105"/>
      <c r="H239" s="45" t="str">
        <f t="shared" si="9"/>
        <v>Asja – Dubravčić – OK Kapela</v>
      </c>
      <c r="J239" s="45" t="str">
        <f t="shared" si="10"/>
        <v>Asja – Dubravčić – OK Kapela</v>
      </c>
      <c r="L239" s="45" t="str">
        <f t="shared" si="11"/>
        <v>Asja – Dubravčić</v>
      </c>
      <c r="N239" s="103"/>
      <c r="O239" s="104"/>
      <c r="P239" s="105"/>
    </row>
    <row r="240" spans="2:16" x14ac:dyDescent="0.25">
      <c r="B240" s="103">
        <v>1052</v>
      </c>
      <c r="C240" s="104" t="s">
        <v>1306</v>
      </c>
      <c r="D240" s="104" t="s">
        <v>3907</v>
      </c>
      <c r="E240" s="104" t="s">
        <v>530</v>
      </c>
      <c r="F240" s="105" t="s">
        <v>1575</v>
      </c>
      <c r="H240" s="45" t="str">
        <f t="shared" si="9"/>
        <v>Tihomir – Dugi – OK Kapela – M35</v>
      </c>
      <c r="J240" s="45" t="str">
        <f t="shared" si="10"/>
        <v>Tihomir – Dugi – OK Kapela</v>
      </c>
      <c r="L240" s="45" t="str">
        <f t="shared" si="11"/>
        <v>Tihomir – Dugi</v>
      </c>
      <c r="N240" s="103"/>
      <c r="O240" s="104"/>
      <c r="P240" s="105"/>
    </row>
    <row r="241" spans="2:16" x14ac:dyDescent="0.25">
      <c r="B241" s="103">
        <v>1059</v>
      </c>
      <c r="C241" s="104" t="s">
        <v>3140</v>
      </c>
      <c r="D241" s="104" t="s">
        <v>3139</v>
      </c>
      <c r="E241" s="104" t="s">
        <v>530</v>
      </c>
      <c r="F241" s="105" t="s">
        <v>3094</v>
      </c>
      <c r="H241" s="45" t="str">
        <f t="shared" si="9"/>
        <v>Višnja – Dukić – OK Kapela – Ž21B</v>
      </c>
      <c r="J241" s="45" t="str">
        <f t="shared" si="10"/>
        <v>Višnja – Dukić – OK Kapela</v>
      </c>
      <c r="L241" s="45" t="str">
        <f t="shared" si="11"/>
        <v>Višnja – Dukić</v>
      </c>
      <c r="N241" s="103"/>
      <c r="O241" s="104"/>
      <c r="P241" s="105"/>
    </row>
    <row r="242" spans="2:16" x14ac:dyDescent="0.25">
      <c r="B242" s="103">
        <v>1752</v>
      </c>
      <c r="C242" s="104" t="s">
        <v>3801</v>
      </c>
      <c r="D242" s="104" t="s">
        <v>3908</v>
      </c>
      <c r="E242" s="104" t="s">
        <v>530</v>
      </c>
      <c r="F242" s="105"/>
      <c r="H242" s="45" t="str">
        <f t="shared" si="9"/>
        <v>Zvonimir – Džapo – OK Kapela</v>
      </c>
      <c r="J242" s="45" t="str">
        <f t="shared" si="10"/>
        <v>Zvonimir – Džapo – OK Kapela</v>
      </c>
      <c r="L242" s="45" t="str">
        <f t="shared" si="11"/>
        <v>Zvonimir – Džapo</v>
      </c>
      <c r="N242" s="103"/>
      <c r="O242" s="104"/>
      <c r="P242" s="105"/>
    </row>
    <row r="243" spans="2:16" x14ac:dyDescent="0.25">
      <c r="B243" s="103">
        <v>1227</v>
      </c>
      <c r="C243" s="104" t="s">
        <v>3656</v>
      </c>
      <c r="D243" s="104" t="s">
        <v>3655</v>
      </c>
      <c r="E243" s="104" t="s">
        <v>530</v>
      </c>
      <c r="F243" s="105" t="s">
        <v>3619</v>
      </c>
      <c r="H243" s="45" t="str">
        <f t="shared" si="9"/>
        <v>Emilija – Ebenspanger – OK Kapela – Ž55</v>
      </c>
      <c r="J243" s="45" t="str">
        <f t="shared" si="10"/>
        <v>Emilija – Ebenspanger – OK Kapela</v>
      </c>
      <c r="L243" s="45" t="str">
        <f t="shared" si="11"/>
        <v>Emilija – Ebenspanger</v>
      </c>
      <c r="N243" s="103"/>
      <c r="O243" s="104"/>
      <c r="P243" s="105"/>
    </row>
    <row r="244" spans="2:16" x14ac:dyDescent="0.25">
      <c r="B244" s="103">
        <v>1852</v>
      </c>
      <c r="C244" s="104" t="s">
        <v>1850</v>
      </c>
      <c r="D244" s="104" t="s">
        <v>1849</v>
      </c>
      <c r="E244" s="104" t="s">
        <v>530</v>
      </c>
      <c r="F244" s="105" t="s">
        <v>1575</v>
      </c>
      <c r="H244" s="45" t="str">
        <f t="shared" si="9"/>
        <v>Fausto – Ferreira – OK Kapela – M35</v>
      </c>
      <c r="J244" s="45" t="str">
        <f t="shared" si="10"/>
        <v>Fausto – Ferreira – OK Kapela</v>
      </c>
      <c r="L244" s="45" t="str">
        <f t="shared" si="11"/>
        <v>Fausto – Ferreira</v>
      </c>
      <c r="N244" s="103"/>
      <c r="O244" s="104"/>
      <c r="P244" s="105"/>
    </row>
    <row r="245" spans="2:16" x14ac:dyDescent="0.25">
      <c r="B245" s="103">
        <v>1195</v>
      </c>
      <c r="C245" s="104" t="s">
        <v>509</v>
      </c>
      <c r="D245" s="104" t="s">
        <v>1122</v>
      </c>
      <c r="E245" s="104" t="s">
        <v>530</v>
      </c>
      <c r="F245" s="105" t="s">
        <v>886</v>
      </c>
      <c r="H245" s="45" t="str">
        <f t="shared" si="9"/>
        <v>Luka – Filetin – OK Kapela – M21A</v>
      </c>
      <c r="J245" s="45" t="str">
        <f t="shared" si="10"/>
        <v>Luka – Filetin – OK Kapela</v>
      </c>
      <c r="L245" s="45" t="str">
        <f t="shared" si="11"/>
        <v>Luka – Filetin</v>
      </c>
      <c r="N245" s="103"/>
      <c r="O245" s="104"/>
      <c r="P245" s="105"/>
    </row>
    <row r="246" spans="2:16" x14ac:dyDescent="0.25">
      <c r="B246" s="103">
        <v>1193</v>
      </c>
      <c r="C246" s="104" t="s">
        <v>3262</v>
      </c>
      <c r="D246" s="104" t="s">
        <v>3261</v>
      </c>
      <c r="E246" s="104" t="s">
        <v>530</v>
      </c>
      <c r="F246" s="105" t="s">
        <v>3265</v>
      </c>
      <c r="H246" s="45" t="str">
        <f t="shared" si="9"/>
        <v>Željka – Fištrek – OK Kapela – Ž35</v>
      </c>
      <c r="J246" s="45" t="str">
        <f t="shared" si="10"/>
        <v>Željka – Fištrek – OK Kapela</v>
      </c>
      <c r="L246" s="45" t="str">
        <f t="shared" si="11"/>
        <v>Željka – Fištrek</v>
      </c>
      <c r="N246" s="103"/>
      <c r="O246" s="104"/>
      <c r="P246" s="105"/>
    </row>
    <row r="247" spans="2:16" x14ac:dyDescent="0.25">
      <c r="B247" s="103">
        <v>1279</v>
      </c>
      <c r="C247" s="104" t="s">
        <v>3696</v>
      </c>
      <c r="D247" s="104" t="s">
        <v>3695</v>
      </c>
      <c r="E247" s="104" t="s">
        <v>530</v>
      </c>
      <c r="F247" s="105" t="s">
        <v>3680</v>
      </c>
      <c r="H247" s="45" t="str">
        <f t="shared" si="9"/>
        <v>Vera – Franc – OK Kapela – Ž65</v>
      </c>
      <c r="J247" s="45" t="str">
        <f t="shared" si="10"/>
        <v>Vera – Franc – OK Kapela</v>
      </c>
      <c r="L247" s="45" t="str">
        <f t="shared" si="11"/>
        <v>Vera – Franc</v>
      </c>
      <c r="N247" s="103"/>
      <c r="O247" s="104"/>
      <c r="P247" s="105"/>
    </row>
    <row r="248" spans="2:16" x14ac:dyDescent="0.25">
      <c r="B248" s="103">
        <v>1753</v>
      </c>
      <c r="C248" s="104" t="s">
        <v>2730</v>
      </c>
      <c r="D248" s="104" t="s">
        <v>3909</v>
      </c>
      <c r="E248" s="104" t="s">
        <v>530</v>
      </c>
      <c r="F248" s="105"/>
      <c r="H248" s="45" t="str">
        <f t="shared" si="9"/>
        <v>Paola – Fumić – OK Kapela</v>
      </c>
      <c r="J248" s="45" t="str">
        <f t="shared" si="10"/>
        <v>Paola – Fumić – OK Kapela</v>
      </c>
      <c r="L248" s="45" t="str">
        <f t="shared" si="11"/>
        <v>Paola – Fumić</v>
      </c>
      <c r="N248" s="103"/>
      <c r="O248" s="104"/>
      <c r="P248" s="105"/>
    </row>
    <row r="249" spans="2:16" x14ac:dyDescent="0.25">
      <c r="B249" s="103">
        <v>1238</v>
      </c>
      <c r="C249" s="104" t="s">
        <v>963</v>
      </c>
      <c r="D249" s="104" t="s">
        <v>962</v>
      </c>
      <c r="E249" s="104" t="s">
        <v>530</v>
      </c>
      <c r="F249" s="105" t="s">
        <v>886</v>
      </c>
      <c r="H249" s="45" t="str">
        <f t="shared" si="9"/>
        <v>Dražen – Gadžić – OK Kapela – M21A</v>
      </c>
      <c r="J249" s="45" t="str">
        <f t="shared" si="10"/>
        <v>Dražen – Gadžić – OK Kapela</v>
      </c>
      <c r="L249" s="45" t="str">
        <f t="shared" si="11"/>
        <v>Dražen – Gadžić</v>
      </c>
      <c r="N249" s="103"/>
      <c r="O249" s="104"/>
      <c r="P249" s="105"/>
    </row>
    <row r="250" spans="2:16" x14ac:dyDescent="0.25">
      <c r="B250" s="103">
        <v>1938</v>
      </c>
      <c r="C250" s="104" t="s">
        <v>2537</v>
      </c>
      <c r="D250" s="104" t="s">
        <v>2536</v>
      </c>
      <c r="E250" s="104" t="s">
        <v>530</v>
      </c>
      <c r="F250" s="105" t="s">
        <v>3094</v>
      </c>
      <c r="H250" s="45" t="str">
        <f t="shared" si="9"/>
        <v>Sandra – Gerber – OK Kapela – Ž21B</v>
      </c>
      <c r="J250" s="45" t="str">
        <f t="shared" si="10"/>
        <v>Sandra – Gerber – OK Kapela</v>
      </c>
      <c r="L250" s="45" t="str">
        <f t="shared" si="11"/>
        <v>Sandra – Gerber</v>
      </c>
      <c r="N250" s="103"/>
      <c r="O250" s="104"/>
      <c r="P250" s="105"/>
    </row>
    <row r="251" spans="2:16" x14ac:dyDescent="0.25">
      <c r="B251" s="103">
        <v>1261</v>
      </c>
      <c r="C251" s="104" t="s">
        <v>3121</v>
      </c>
      <c r="D251" s="104" t="s">
        <v>3120</v>
      </c>
      <c r="E251" s="104" t="s">
        <v>530</v>
      </c>
      <c r="F251" s="105" t="s">
        <v>3094</v>
      </c>
      <c r="H251" s="45" t="str">
        <f t="shared" si="9"/>
        <v>Lana – Gerjević – OK Kapela – Ž21B</v>
      </c>
      <c r="J251" s="45" t="str">
        <f t="shared" si="10"/>
        <v>Lana – Gerjević – OK Kapela</v>
      </c>
      <c r="L251" s="45" t="str">
        <f t="shared" si="11"/>
        <v>Lana – Gerjević</v>
      </c>
      <c r="N251" s="103"/>
      <c r="O251" s="104"/>
      <c r="P251" s="105"/>
    </row>
    <row r="252" spans="2:16" x14ac:dyDescent="0.25">
      <c r="B252" s="103">
        <v>1357</v>
      </c>
      <c r="C252" s="104" t="s">
        <v>2226</v>
      </c>
      <c r="D252" s="104" t="s">
        <v>3910</v>
      </c>
      <c r="E252" s="104" t="s">
        <v>530</v>
      </c>
      <c r="F252" s="105" t="s">
        <v>3265</v>
      </c>
      <c r="H252" s="45" t="str">
        <f t="shared" si="9"/>
        <v>Saša – Glagolić – OK Kapela – Ž35</v>
      </c>
      <c r="J252" s="45" t="str">
        <f t="shared" si="10"/>
        <v>Saša – Glagolić – OK Kapela</v>
      </c>
      <c r="L252" s="45" t="str">
        <f t="shared" si="11"/>
        <v>Saša – Glagolić</v>
      </c>
      <c r="N252" s="103"/>
      <c r="O252" s="104"/>
      <c r="P252" s="105"/>
    </row>
    <row r="253" spans="2:16" x14ac:dyDescent="0.25">
      <c r="B253" s="103">
        <v>1867</v>
      </c>
      <c r="C253" s="104" t="s">
        <v>3551</v>
      </c>
      <c r="D253" s="104" t="s">
        <v>3550</v>
      </c>
      <c r="E253" s="104" t="s">
        <v>530</v>
      </c>
      <c r="F253" s="105" t="s">
        <v>3443</v>
      </c>
      <c r="H253" s="45" t="str">
        <f t="shared" si="9"/>
        <v>Beata Adrianna – Glinska – OK Kapela – Ž45</v>
      </c>
      <c r="J253" s="45" t="str">
        <f t="shared" si="10"/>
        <v>Beata Adrianna – Glinska – OK Kapela</v>
      </c>
      <c r="L253" s="45" t="str">
        <f t="shared" si="11"/>
        <v>Beata Adrianna – Glinska</v>
      </c>
      <c r="N253" s="103"/>
      <c r="O253" s="104"/>
      <c r="P253" s="105"/>
    </row>
    <row r="254" spans="2:16" x14ac:dyDescent="0.25">
      <c r="B254" s="103">
        <v>1857</v>
      </c>
      <c r="C254" s="104" t="s">
        <v>3183</v>
      </c>
      <c r="D254" s="104" t="s">
        <v>3182</v>
      </c>
      <c r="E254" s="104" t="s">
        <v>530</v>
      </c>
      <c r="F254" s="105" t="s">
        <v>3094</v>
      </c>
      <c r="H254" s="45" t="str">
        <f t="shared" si="9"/>
        <v>Hana – Glušica – OK Kapela – Ž21B</v>
      </c>
      <c r="J254" s="45" t="str">
        <f t="shared" si="10"/>
        <v>Hana – Glušica – OK Kapela</v>
      </c>
      <c r="L254" s="45" t="str">
        <f t="shared" si="11"/>
        <v>Hana – Glušica</v>
      </c>
      <c r="N254" s="103"/>
      <c r="O254" s="104"/>
      <c r="P254" s="105"/>
    </row>
    <row r="255" spans="2:16" x14ac:dyDescent="0.25">
      <c r="B255" s="103">
        <v>1268</v>
      </c>
      <c r="C255" s="104" t="s">
        <v>3560</v>
      </c>
      <c r="D255" s="104" t="s">
        <v>3577</v>
      </c>
      <c r="E255" s="104" t="s">
        <v>530</v>
      </c>
      <c r="F255" s="105" t="s">
        <v>3443</v>
      </c>
      <c r="H255" s="45" t="str">
        <f t="shared" si="9"/>
        <v>Marija – Gradečak Galović – OK Kapela – Ž45</v>
      </c>
      <c r="J255" s="45" t="str">
        <f t="shared" si="10"/>
        <v>Marija – Gradečak Galović – OK Kapela</v>
      </c>
      <c r="L255" s="45" t="str">
        <f t="shared" si="11"/>
        <v>Marija – Gradečak Galović</v>
      </c>
      <c r="N255" s="103"/>
      <c r="O255" s="104"/>
      <c r="P255" s="105"/>
    </row>
    <row r="256" spans="2:16" x14ac:dyDescent="0.25">
      <c r="B256" s="103">
        <v>1347</v>
      </c>
      <c r="C256" s="104" t="s">
        <v>3911</v>
      </c>
      <c r="D256" s="104" t="s">
        <v>3912</v>
      </c>
      <c r="E256" s="104" t="s">
        <v>530</v>
      </c>
      <c r="F256" s="105" t="s">
        <v>3094</v>
      </c>
      <c r="H256" s="45" t="str">
        <f t="shared" si="9"/>
        <v>Nela – Gross – OK Kapela – Ž21B</v>
      </c>
      <c r="J256" s="45" t="str">
        <f t="shared" si="10"/>
        <v>Nela – Gross – OK Kapela</v>
      </c>
      <c r="L256" s="45" t="str">
        <f t="shared" si="11"/>
        <v>Nela – Gross</v>
      </c>
      <c r="N256" s="103"/>
      <c r="O256" s="104"/>
      <c r="P256" s="105"/>
    </row>
    <row r="257" spans="2:16" x14ac:dyDescent="0.25">
      <c r="B257" s="103">
        <v>1378</v>
      </c>
      <c r="C257" s="104" t="s">
        <v>2859</v>
      </c>
      <c r="D257" s="104" t="s">
        <v>2858</v>
      </c>
      <c r="E257" s="104" t="s">
        <v>530</v>
      </c>
      <c r="F257" s="105" t="s">
        <v>2766</v>
      </c>
      <c r="H257" s="45" t="str">
        <f t="shared" si="9"/>
        <v>Mare – Gršković – OK Kapela – Ž16</v>
      </c>
      <c r="J257" s="45" t="str">
        <f t="shared" si="10"/>
        <v>Mare – Gršković – OK Kapela</v>
      </c>
      <c r="L257" s="45" t="str">
        <f t="shared" si="11"/>
        <v>Mare – Gršković</v>
      </c>
      <c r="N257" s="103"/>
      <c r="O257" s="104"/>
      <c r="P257" s="105"/>
    </row>
    <row r="258" spans="2:16" x14ac:dyDescent="0.25">
      <c r="B258" s="103">
        <v>1205</v>
      </c>
      <c r="C258" s="104" t="s">
        <v>438</v>
      </c>
      <c r="D258" s="104" t="s">
        <v>1698</v>
      </c>
      <c r="E258" s="104" t="s">
        <v>530</v>
      </c>
      <c r="F258" s="105" t="s">
        <v>1575</v>
      </c>
      <c r="H258" s="45" t="str">
        <f t="shared" si="9"/>
        <v>Ivan – Gverić – OK Kapela – M35</v>
      </c>
      <c r="J258" s="45" t="str">
        <f t="shared" si="10"/>
        <v>Ivan – Gverić – OK Kapela</v>
      </c>
      <c r="L258" s="45" t="str">
        <f t="shared" si="11"/>
        <v>Ivan – Gverić</v>
      </c>
      <c r="N258" s="103"/>
      <c r="O258" s="104"/>
      <c r="P258" s="105"/>
    </row>
    <row r="259" spans="2:16" x14ac:dyDescent="0.25">
      <c r="B259" s="103">
        <v>1554</v>
      </c>
      <c r="C259" s="104" t="s">
        <v>1867</v>
      </c>
      <c r="D259" s="104" t="s">
        <v>1993</v>
      </c>
      <c r="E259" s="104" t="s">
        <v>530</v>
      </c>
      <c r="F259" s="105" t="s">
        <v>1909</v>
      </c>
      <c r="H259" s="45" t="str">
        <f t="shared" si="9"/>
        <v>Damir – Hercigonja – OK Kapela – M45</v>
      </c>
      <c r="J259" s="45" t="str">
        <f t="shared" si="10"/>
        <v>Damir – Hercigonja – OK Kapela</v>
      </c>
      <c r="L259" s="45" t="str">
        <f t="shared" si="11"/>
        <v>Damir – Hercigonja</v>
      </c>
      <c r="N259" s="103"/>
      <c r="O259" s="104"/>
      <c r="P259" s="105"/>
    </row>
    <row r="260" spans="2:16" x14ac:dyDescent="0.25">
      <c r="B260" s="103">
        <v>1467</v>
      </c>
      <c r="C260" s="104" t="s">
        <v>2565</v>
      </c>
      <c r="D260" s="104" t="s">
        <v>1993</v>
      </c>
      <c r="E260" s="104" t="s">
        <v>530</v>
      </c>
      <c r="F260" s="105" t="s">
        <v>2732</v>
      </c>
      <c r="H260" s="45" t="str">
        <f t="shared" si="9"/>
        <v>Lucija – Hercigonja – OK Kapela – Ž14</v>
      </c>
      <c r="J260" s="45" t="str">
        <f t="shared" si="10"/>
        <v>Lucija – Hercigonja – OK Kapela</v>
      </c>
      <c r="L260" s="45" t="str">
        <f t="shared" si="11"/>
        <v>Lucija – Hercigonja</v>
      </c>
      <c r="N260" s="103"/>
      <c r="O260" s="104"/>
      <c r="P260" s="105"/>
    </row>
    <row r="261" spans="2:16" x14ac:dyDescent="0.25">
      <c r="B261" s="103">
        <v>1437</v>
      </c>
      <c r="C261" s="104" t="s">
        <v>3823</v>
      </c>
      <c r="D261" s="104" t="s">
        <v>1993</v>
      </c>
      <c r="E261" s="104" t="s">
        <v>530</v>
      </c>
      <c r="F261" s="105" t="s">
        <v>3094</v>
      </c>
      <c r="H261" s="45" t="str">
        <f t="shared" si="9"/>
        <v>Pia – Hercigonja – OK Kapela – Ž21B</v>
      </c>
      <c r="J261" s="45" t="str">
        <f t="shared" si="10"/>
        <v>Pia – Hercigonja – OK Kapela</v>
      </c>
      <c r="L261" s="45" t="str">
        <f t="shared" si="11"/>
        <v>Pia – Hercigonja</v>
      </c>
      <c r="N261" s="103"/>
      <c r="O261" s="104"/>
      <c r="P261" s="105"/>
    </row>
    <row r="262" spans="2:16" x14ac:dyDescent="0.25">
      <c r="B262" s="103">
        <v>1861</v>
      </c>
      <c r="C262" s="104" t="s">
        <v>882</v>
      </c>
      <c r="D262" s="104" t="s">
        <v>881</v>
      </c>
      <c r="E262" s="104" t="s">
        <v>530</v>
      </c>
      <c r="F262" s="105" t="s">
        <v>886</v>
      </c>
      <c r="H262" s="45" t="str">
        <f t="shared" si="9"/>
        <v>Andraž – Hribar – OK Kapela – M21A</v>
      </c>
      <c r="J262" s="45" t="str">
        <f t="shared" si="10"/>
        <v>Andraž – Hribar – OK Kapela</v>
      </c>
      <c r="L262" s="45" t="str">
        <f t="shared" si="11"/>
        <v>Andraž – Hribar</v>
      </c>
      <c r="N262" s="103"/>
      <c r="O262" s="104"/>
      <c r="P262" s="105"/>
    </row>
    <row r="263" spans="2:16" x14ac:dyDescent="0.25">
      <c r="B263" s="103">
        <v>1961</v>
      </c>
      <c r="C263" s="104" t="s">
        <v>1180</v>
      </c>
      <c r="D263" s="104" t="s">
        <v>881</v>
      </c>
      <c r="E263" s="104" t="s">
        <v>530</v>
      </c>
      <c r="F263" s="105"/>
      <c r="H263" s="45" t="str">
        <f t="shared" si="9"/>
        <v>Dominik – Hribar – OK Kapela</v>
      </c>
      <c r="J263" s="45" t="str">
        <f t="shared" si="10"/>
        <v>Dominik – Hribar – OK Kapela</v>
      </c>
      <c r="L263" s="45" t="str">
        <f t="shared" si="11"/>
        <v>Dominik – Hribar</v>
      </c>
      <c r="N263" s="103"/>
      <c r="O263" s="104"/>
      <c r="P263" s="105"/>
    </row>
    <row r="264" spans="2:16" x14ac:dyDescent="0.25">
      <c r="B264" s="103">
        <v>1954</v>
      </c>
      <c r="C264" s="104" t="s">
        <v>2485</v>
      </c>
      <c r="D264" s="104" t="s">
        <v>3913</v>
      </c>
      <c r="E264" s="104" t="s">
        <v>530</v>
      </c>
      <c r="F264" s="105"/>
      <c r="H264" s="45" t="str">
        <f t="shared" si="9"/>
        <v>Iva – Hruškar – OK Kapela</v>
      </c>
      <c r="J264" s="45" t="str">
        <f t="shared" si="10"/>
        <v>Iva – Hruškar – OK Kapela</v>
      </c>
      <c r="L264" s="45" t="str">
        <f t="shared" si="11"/>
        <v>Iva – Hruškar</v>
      </c>
      <c r="N264" s="103"/>
      <c r="O264" s="104"/>
      <c r="P264" s="105"/>
    </row>
    <row r="265" spans="2:16" x14ac:dyDescent="0.25">
      <c r="B265" s="103">
        <v>1865</v>
      </c>
      <c r="C265" s="104" t="s">
        <v>3262</v>
      </c>
      <c r="D265" s="104" t="s">
        <v>3914</v>
      </c>
      <c r="E265" s="104" t="s">
        <v>530</v>
      </c>
      <c r="F265" s="105" t="s">
        <v>3094</v>
      </c>
      <c r="H265" s="45" t="str">
        <f t="shared" si="9"/>
        <v>Željka – Ilijašev – OK Kapela – Ž21B</v>
      </c>
      <c r="J265" s="45" t="str">
        <f t="shared" si="10"/>
        <v>Željka – Ilijašev – OK Kapela</v>
      </c>
      <c r="L265" s="45" t="str">
        <f t="shared" si="11"/>
        <v>Željka – Ilijašev</v>
      </c>
      <c r="N265" s="103"/>
      <c r="O265" s="104"/>
      <c r="P265" s="105"/>
    </row>
    <row r="266" spans="2:16" x14ac:dyDescent="0.25">
      <c r="B266" s="103">
        <v>1792</v>
      </c>
      <c r="C266" s="104" t="s">
        <v>3915</v>
      </c>
      <c r="D266" s="104" t="s">
        <v>3806</v>
      </c>
      <c r="E266" s="104" t="s">
        <v>530</v>
      </c>
      <c r="F266" s="105"/>
      <c r="H266" s="45" t="str">
        <f t="shared" si="9"/>
        <v>Ružica – Jakopec – OK Kapela</v>
      </c>
      <c r="J266" s="45" t="str">
        <f t="shared" si="10"/>
        <v>Ružica – Jakopec – OK Kapela</v>
      </c>
      <c r="L266" s="45" t="str">
        <f t="shared" si="11"/>
        <v>Ružica – Jakopec</v>
      </c>
      <c r="N266" s="103"/>
      <c r="O266" s="104"/>
      <c r="P266" s="105"/>
    </row>
    <row r="267" spans="2:16" x14ac:dyDescent="0.25">
      <c r="B267" s="103">
        <v>1128</v>
      </c>
      <c r="C267" s="104" t="s">
        <v>3560</v>
      </c>
      <c r="D267" s="104" t="s">
        <v>3559</v>
      </c>
      <c r="E267" s="104" t="s">
        <v>530</v>
      </c>
      <c r="F267" s="105" t="s">
        <v>3443</v>
      </c>
      <c r="H267" s="45" t="str">
        <f t="shared" ref="H267:H330" si="12">IF(C267="","",C267) &amp; IF(D267="",""," – " &amp; D267) &amp; IF(E267="",""," – " &amp; E267) &amp; IF(F267="",""," – " &amp; F267)</f>
        <v>Marija – Jazvić Mioković – OK Kapela – Ž45</v>
      </c>
      <c r="J267" s="45" t="str">
        <f t="shared" ref="J267:J330" si="13">IF(C267="","",C267) &amp; IF(D267="",""," – " &amp; D267) &amp; IF(E267="",""," – " &amp; E267)</f>
        <v>Marija – Jazvić Mioković – OK Kapela</v>
      </c>
      <c r="L267" s="45" t="str">
        <f t="shared" ref="L267:L330" si="14">IF(C267="","",C267) &amp; IF(D267="",""," – " &amp; D267)</f>
        <v>Marija – Jazvić Mioković</v>
      </c>
      <c r="N267" s="103"/>
      <c r="O267" s="104"/>
      <c r="P267" s="105"/>
    </row>
    <row r="268" spans="2:16" x14ac:dyDescent="0.25">
      <c r="B268" s="103">
        <v>1514</v>
      </c>
      <c r="C268" s="104" t="s">
        <v>1126</v>
      </c>
      <c r="D268" s="104" t="s">
        <v>1125</v>
      </c>
      <c r="E268" s="104" t="s">
        <v>530</v>
      </c>
      <c r="F268" s="105" t="s">
        <v>1130</v>
      </c>
      <c r="H268" s="45" t="str">
        <f t="shared" si="12"/>
        <v>Ivor – Jelić – OK Kapela – M21B</v>
      </c>
      <c r="J268" s="45" t="str">
        <f t="shared" si="13"/>
        <v>Ivor – Jelić – OK Kapela</v>
      </c>
      <c r="L268" s="45" t="str">
        <f t="shared" si="14"/>
        <v>Ivor – Jelić</v>
      </c>
      <c r="N268" s="103"/>
      <c r="O268" s="104"/>
      <c r="P268" s="105"/>
    </row>
    <row r="269" spans="2:16" x14ac:dyDescent="0.25">
      <c r="B269" s="103">
        <v>1188</v>
      </c>
      <c r="C269" s="104" t="s">
        <v>1524</v>
      </c>
      <c r="D269" s="104" t="s">
        <v>1125</v>
      </c>
      <c r="E269" s="104" t="s">
        <v>530</v>
      </c>
      <c r="F269" s="105" t="s">
        <v>2195</v>
      </c>
      <c r="H269" s="45" t="str">
        <f t="shared" si="12"/>
        <v>Mladen – Jelić – OK Kapela – M55</v>
      </c>
      <c r="J269" s="45" t="str">
        <f t="shared" si="13"/>
        <v>Mladen – Jelić – OK Kapela</v>
      </c>
      <c r="L269" s="45" t="str">
        <f t="shared" si="14"/>
        <v>Mladen – Jelić</v>
      </c>
      <c r="N269" s="103"/>
      <c r="O269" s="104"/>
      <c r="P269" s="105"/>
    </row>
    <row r="270" spans="2:16" x14ac:dyDescent="0.25">
      <c r="B270" s="103">
        <v>1465</v>
      </c>
      <c r="C270" s="104" t="s">
        <v>3024</v>
      </c>
      <c r="D270" s="104" t="s">
        <v>3023</v>
      </c>
      <c r="E270" s="104" t="s">
        <v>530</v>
      </c>
      <c r="F270" s="105" t="s">
        <v>3001</v>
      </c>
      <c r="H270" s="45" t="str">
        <f t="shared" si="12"/>
        <v>Olga – Jerković Perić – OK Kapela – Ž21A</v>
      </c>
      <c r="J270" s="45" t="str">
        <f t="shared" si="13"/>
        <v>Olga – Jerković Perić – OK Kapela</v>
      </c>
      <c r="L270" s="45" t="str">
        <f t="shared" si="14"/>
        <v>Olga – Jerković Perić</v>
      </c>
      <c r="N270" s="103"/>
      <c r="O270" s="104"/>
      <c r="P270" s="105"/>
    </row>
    <row r="271" spans="2:16" x14ac:dyDescent="0.25">
      <c r="B271" s="103">
        <v>1955</v>
      </c>
      <c r="C271" s="104" t="s">
        <v>438</v>
      </c>
      <c r="D271" s="104" t="s">
        <v>3916</v>
      </c>
      <c r="E271" s="104" t="s">
        <v>530</v>
      </c>
      <c r="F271" s="105"/>
      <c r="H271" s="45" t="str">
        <f t="shared" si="12"/>
        <v>Ivan – Juričić – OK Kapela</v>
      </c>
      <c r="J271" s="45" t="str">
        <f t="shared" si="13"/>
        <v>Ivan – Juričić – OK Kapela</v>
      </c>
      <c r="L271" s="45" t="str">
        <f t="shared" si="14"/>
        <v>Ivan – Juričić</v>
      </c>
      <c r="N271" s="103"/>
      <c r="O271" s="104"/>
      <c r="P271" s="105"/>
    </row>
    <row r="272" spans="2:16" x14ac:dyDescent="0.25">
      <c r="B272" s="103">
        <v>1081</v>
      </c>
      <c r="C272" s="104" t="s">
        <v>1074</v>
      </c>
      <c r="D272" s="104" t="s">
        <v>3917</v>
      </c>
      <c r="E272" s="104" t="s">
        <v>530</v>
      </c>
      <c r="F272" s="105" t="s">
        <v>886</v>
      </c>
      <c r="H272" s="45" t="str">
        <f t="shared" si="12"/>
        <v>Vedran – Kaldi – OK Kapela – M21A</v>
      </c>
      <c r="J272" s="45" t="str">
        <f t="shared" si="13"/>
        <v>Vedran – Kaldi – OK Kapela</v>
      </c>
      <c r="L272" s="45" t="str">
        <f t="shared" si="14"/>
        <v>Vedran – Kaldi</v>
      </c>
      <c r="N272" s="103"/>
      <c r="O272" s="104"/>
      <c r="P272" s="105"/>
    </row>
    <row r="273" spans="2:16" x14ac:dyDescent="0.25">
      <c r="B273" s="103">
        <v>1184</v>
      </c>
      <c r="C273" s="104" t="s">
        <v>3763</v>
      </c>
      <c r="D273" s="104" t="s">
        <v>3918</v>
      </c>
      <c r="E273" s="104" t="s">
        <v>530</v>
      </c>
      <c r="F273" s="105" t="s">
        <v>3094</v>
      </c>
      <c r="H273" s="45" t="str">
        <f t="shared" si="12"/>
        <v>Irena – Kasaš Spasić – OK Kapela – Ž21B</v>
      </c>
      <c r="J273" s="45" t="str">
        <f t="shared" si="13"/>
        <v>Irena – Kasaš Spasić – OK Kapela</v>
      </c>
      <c r="L273" s="45" t="str">
        <f t="shared" si="14"/>
        <v>Irena – Kasaš Spasić</v>
      </c>
      <c r="N273" s="103"/>
      <c r="O273" s="104"/>
      <c r="P273" s="105"/>
    </row>
    <row r="274" spans="2:16" x14ac:dyDescent="0.25">
      <c r="B274" s="103">
        <v>1232</v>
      </c>
      <c r="C274" s="104" t="s">
        <v>3919</v>
      </c>
      <c r="D274" s="104" t="s">
        <v>3920</v>
      </c>
      <c r="E274" s="104" t="s">
        <v>530</v>
      </c>
      <c r="F274" s="105"/>
      <c r="H274" s="45" t="str">
        <f t="shared" si="12"/>
        <v>Tamara – Kefeček – OK Kapela</v>
      </c>
      <c r="J274" s="45" t="str">
        <f t="shared" si="13"/>
        <v>Tamara – Kefeček – OK Kapela</v>
      </c>
      <c r="L274" s="45" t="str">
        <f t="shared" si="14"/>
        <v>Tamara – Kefeček</v>
      </c>
      <c r="N274" s="103"/>
      <c r="O274" s="104"/>
      <c r="P274" s="105"/>
    </row>
    <row r="275" spans="2:16" x14ac:dyDescent="0.25">
      <c r="B275" s="103">
        <v>1871</v>
      </c>
      <c r="C275" s="104" t="s">
        <v>1393</v>
      </c>
      <c r="D275" s="104" t="s">
        <v>1392</v>
      </c>
      <c r="E275" s="104" t="s">
        <v>530</v>
      </c>
      <c r="F275" s="105" t="s">
        <v>1130</v>
      </c>
      <c r="H275" s="45" t="str">
        <f t="shared" si="12"/>
        <v>Vjekoslav – Klarić – OK Kapela – M21B</v>
      </c>
      <c r="J275" s="45" t="str">
        <f t="shared" si="13"/>
        <v>Vjekoslav – Klarić – OK Kapela</v>
      </c>
      <c r="L275" s="45" t="str">
        <f t="shared" si="14"/>
        <v>Vjekoslav – Klarić</v>
      </c>
      <c r="N275" s="103"/>
      <c r="O275" s="104"/>
      <c r="P275" s="105"/>
    </row>
    <row r="276" spans="2:16" x14ac:dyDescent="0.25">
      <c r="B276" s="103">
        <v>1483</v>
      </c>
      <c r="C276" s="104" t="s">
        <v>3060</v>
      </c>
      <c r="D276" s="104" t="s">
        <v>1221</v>
      </c>
      <c r="E276" s="104" t="s">
        <v>530</v>
      </c>
      <c r="F276" s="105" t="s">
        <v>3001</v>
      </c>
      <c r="H276" s="45" t="str">
        <f t="shared" si="12"/>
        <v>Ines – Kos – OK Kapela – Ž21A</v>
      </c>
      <c r="J276" s="45" t="str">
        <f t="shared" si="13"/>
        <v>Ines – Kos – OK Kapela</v>
      </c>
      <c r="L276" s="45" t="str">
        <f t="shared" si="14"/>
        <v>Ines – Kos</v>
      </c>
      <c r="N276" s="103"/>
      <c r="O276" s="104"/>
      <c r="P276" s="105"/>
    </row>
    <row r="277" spans="2:16" x14ac:dyDescent="0.25">
      <c r="B277" s="103">
        <v>1204</v>
      </c>
      <c r="C277" s="104" t="s">
        <v>2785</v>
      </c>
      <c r="D277" s="104" t="s">
        <v>2784</v>
      </c>
      <c r="E277" s="104" t="s">
        <v>530</v>
      </c>
      <c r="F277" s="105" t="s">
        <v>2766</v>
      </c>
      <c r="H277" s="45" t="str">
        <f t="shared" si="12"/>
        <v>Wanda – Kovač – OK Kapela – Ž16</v>
      </c>
      <c r="J277" s="45" t="str">
        <f t="shared" si="13"/>
        <v>Wanda – Kovač – OK Kapela</v>
      </c>
      <c r="L277" s="45" t="str">
        <f t="shared" si="14"/>
        <v>Wanda – Kovač</v>
      </c>
      <c r="N277" s="103"/>
      <c r="O277" s="104"/>
      <c r="P277" s="105"/>
    </row>
    <row r="278" spans="2:16" x14ac:dyDescent="0.25">
      <c r="B278" s="103">
        <v>1150</v>
      </c>
      <c r="C278" s="104" t="s">
        <v>3921</v>
      </c>
      <c r="D278" s="104" t="s">
        <v>3922</v>
      </c>
      <c r="E278" s="104" t="s">
        <v>530</v>
      </c>
      <c r="F278" s="105" t="s">
        <v>1130</v>
      </c>
      <c r="H278" s="45" t="str">
        <f t="shared" si="12"/>
        <v>Dragan – Kovačević – OK Kapela – M21B</v>
      </c>
      <c r="J278" s="45" t="str">
        <f t="shared" si="13"/>
        <v>Dragan – Kovačević – OK Kapela</v>
      </c>
      <c r="L278" s="45" t="str">
        <f t="shared" si="14"/>
        <v>Dragan – Kovačević</v>
      </c>
      <c r="N278" s="103"/>
      <c r="O278" s="104"/>
      <c r="P278" s="105"/>
    </row>
    <row r="279" spans="2:16" x14ac:dyDescent="0.25">
      <c r="B279" s="103">
        <v>1541</v>
      </c>
      <c r="C279" s="104" t="s">
        <v>2742</v>
      </c>
      <c r="D279" s="104" t="s">
        <v>3337</v>
      </c>
      <c r="E279" s="104" t="s">
        <v>530</v>
      </c>
      <c r="F279" s="105" t="s">
        <v>3265</v>
      </c>
      <c r="H279" s="45" t="str">
        <f t="shared" si="12"/>
        <v>Monika – Kovaljesko – OK Kapela – Ž35</v>
      </c>
      <c r="J279" s="45" t="str">
        <f t="shared" si="13"/>
        <v>Monika – Kovaljesko – OK Kapela</v>
      </c>
      <c r="L279" s="45" t="str">
        <f t="shared" si="14"/>
        <v>Monika – Kovaljesko</v>
      </c>
      <c r="N279" s="103"/>
      <c r="O279" s="104"/>
      <c r="P279" s="105"/>
    </row>
    <row r="280" spans="2:16" x14ac:dyDescent="0.25">
      <c r="B280" s="103">
        <v>1331</v>
      </c>
      <c r="C280" s="104" t="s">
        <v>3392</v>
      </c>
      <c r="D280" s="104" t="s">
        <v>3391</v>
      </c>
      <c r="E280" s="104" t="s">
        <v>530</v>
      </c>
      <c r="F280" s="105" t="s">
        <v>3265</v>
      </c>
      <c r="H280" s="45" t="str">
        <f t="shared" si="12"/>
        <v>Aida – Krkić Drobić – OK Kapela – Ž35</v>
      </c>
      <c r="J280" s="45" t="str">
        <f t="shared" si="13"/>
        <v>Aida – Krkić Drobić – OK Kapela</v>
      </c>
      <c r="L280" s="45" t="str">
        <f t="shared" si="14"/>
        <v>Aida – Krkić Drobić</v>
      </c>
      <c r="N280" s="103"/>
      <c r="O280" s="104"/>
      <c r="P280" s="105"/>
    </row>
    <row r="281" spans="2:16" x14ac:dyDescent="0.25">
      <c r="B281" s="103">
        <v>1265</v>
      </c>
      <c r="C281" s="104" t="s">
        <v>3923</v>
      </c>
      <c r="D281" s="104" t="s">
        <v>3924</v>
      </c>
      <c r="E281" s="104" t="s">
        <v>530</v>
      </c>
      <c r="F281" s="105" t="s">
        <v>3001</v>
      </c>
      <c r="H281" s="45" t="str">
        <f t="shared" si="12"/>
        <v>Dorotea – Kutleša – OK Kapela – Ž21A</v>
      </c>
      <c r="J281" s="45" t="str">
        <f t="shared" si="13"/>
        <v>Dorotea – Kutleša – OK Kapela</v>
      </c>
      <c r="L281" s="45" t="str">
        <f t="shared" si="14"/>
        <v>Dorotea – Kutleša</v>
      </c>
      <c r="N281" s="103"/>
      <c r="O281" s="104"/>
      <c r="P281" s="105"/>
    </row>
    <row r="282" spans="2:16" x14ac:dyDescent="0.25">
      <c r="B282" s="103">
        <v>1476</v>
      </c>
      <c r="C282" s="104" t="s">
        <v>2537</v>
      </c>
      <c r="D282" s="104" t="s">
        <v>3192</v>
      </c>
      <c r="E282" s="104" t="s">
        <v>530</v>
      </c>
      <c r="F282" s="105" t="s">
        <v>3094</v>
      </c>
      <c r="H282" s="45" t="str">
        <f t="shared" si="12"/>
        <v>Sandra – Latinger – OK Kapela – Ž21B</v>
      </c>
      <c r="J282" s="45" t="str">
        <f t="shared" si="13"/>
        <v>Sandra – Latinger – OK Kapela</v>
      </c>
      <c r="L282" s="45" t="str">
        <f t="shared" si="14"/>
        <v>Sandra – Latinger</v>
      </c>
      <c r="N282" s="103"/>
      <c r="O282" s="104"/>
      <c r="P282" s="105"/>
    </row>
    <row r="283" spans="2:16" x14ac:dyDescent="0.25">
      <c r="B283" s="103">
        <v>1135</v>
      </c>
      <c r="C283" s="104" t="s">
        <v>3925</v>
      </c>
      <c r="D283" s="104" t="s">
        <v>3926</v>
      </c>
      <c r="E283" s="104" t="s">
        <v>530</v>
      </c>
      <c r="F283" s="105" t="s">
        <v>3265</v>
      </c>
      <c r="H283" s="45" t="str">
        <f t="shared" si="12"/>
        <v>Slađana – Lučić – OK Kapela – Ž35</v>
      </c>
      <c r="J283" s="45" t="str">
        <f t="shared" si="13"/>
        <v>Slađana – Lučić – OK Kapela</v>
      </c>
      <c r="L283" s="45" t="str">
        <f t="shared" si="14"/>
        <v>Slađana – Lučić</v>
      </c>
      <c r="N283" s="103"/>
      <c r="O283" s="104"/>
      <c r="P283" s="105"/>
    </row>
    <row r="284" spans="2:16" x14ac:dyDescent="0.25">
      <c r="B284" s="103">
        <v>1302</v>
      </c>
      <c r="C284" s="104" t="s">
        <v>1364</v>
      </c>
      <c r="D284" s="104" t="s">
        <v>1234</v>
      </c>
      <c r="E284" s="104" t="s">
        <v>530</v>
      </c>
      <c r="F284" s="105" t="s">
        <v>1130</v>
      </c>
      <c r="H284" s="45" t="str">
        <f t="shared" si="12"/>
        <v>Domagoj – Malović – OK Kapela – M21B</v>
      </c>
      <c r="J284" s="45" t="str">
        <f t="shared" si="13"/>
        <v>Domagoj – Malović – OK Kapela</v>
      </c>
      <c r="L284" s="45" t="str">
        <f t="shared" si="14"/>
        <v>Domagoj – Malović</v>
      </c>
      <c r="N284" s="103"/>
      <c r="O284" s="104"/>
      <c r="P284" s="105"/>
    </row>
    <row r="285" spans="2:16" x14ac:dyDescent="0.25">
      <c r="B285" s="103">
        <v>1948</v>
      </c>
      <c r="C285" s="104" t="s">
        <v>438</v>
      </c>
      <c r="D285" s="104" t="s">
        <v>1234</v>
      </c>
      <c r="E285" s="104" t="s">
        <v>530</v>
      </c>
      <c r="F285" s="105"/>
      <c r="H285" s="45" t="str">
        <f t="shared" si="12"/>
        <v>Ivan – Malović – OK Kapela</v>
      </c>
      <c r="J285" s="45" t="str">
        <f t="shared" si="13"/>
        <v>Ivan – Malović – OK Kapela</v>
      </c>
      <c r="L285" s="45" t="str">
        <f t="shared" si="14"/>
        <v>Ivan – Malović</v>
      </c>
      <c r="N285" s="103"/>
      <c r="O285" s="104"/>
      <c r="P285" s="105"/>
    </row>
    <row r="286" spans="2:16" x14ac:dyDescent="0.25">
      <c r="B286" s="103">
        <v>1488</v>
      </c>
      <c r="C286" s="104" t="s">
        <v>2437</v>
      </c>
      <c r="D286" s="104" t="s">
        <v>3814</v>
      </c>
      <c r="E286" s="104" t="s">
        <v>530</v>
      </c>
      <c r="F286" s="105" t="s">
        <v>3265</v>
      </c>
      <c r="H286" s="45" t="str">
        <f t="shared" si="12"/>
        <v>Ana – Mandić – OK Kapela – Ž35</v>
      </c>
      <c r="J286" s="45" t="str">
        <f t="shared" si="13"/>
        <v>Ana – Mandić – OK Kapela</v>
      </c>
      <c r="L286" s="45" t="str">
        <f t="shared" si="14"/>
        <v>Ana – Mandić</v>
      </c>
      <c r="N286" s="103"/>
      <c r="O286" s="104"/>
      <c r="P286" s="105"/>
    </row>
    <row r="287" spans="2:16" x14ac:dyDescent="0.25">
      <c r="B287" s="103">
        <v>1866</v>
      </c>
      <c r="C287" s="104" t="s">
        <v>3239</v>
      </c>
      <c r="D287" s="104" t="s">
        <v>525</v>
      </c>
      <c r="E287" s="104" t="s">
        <v>530</v>
      </c>
      <c r="F287" s="105" t="s">
        <v>3094</v>
      </c>
      <c r="H287" s="45" t="str">
        <f t="shared" si="12"/>
        <v>Martina – Martin – OK Kapela – Ž21B</v>
      </c>
      <c r="J287" s="45" t="str">
        <f t="shared" si="13"/>
        <v>Martina – Martin – OK Kapela</v>
      </c>
      <c r="L287" s="45" t="str">
        <f t="shared" si="14"/>
        <v>Martina – Martin</v>
      </c>
      <c r="N287" s="103"/>
      <c r="O287" s="104"/>
      <c r="P287" s="105"/>
    </row>
    <row r="288" spans="2:16" x14ac:dyDescent="0.25">
      <c r="B288" s="103">
        <v>1108</v>
      </c>
      <c r="C288" s="104" t="s">
        <v>525</v>
      </c>
      <c r="D288" s="104" t="s">
        <v>524</v>
      </c>
      <c r="E288" s="104" t="s">
        <v>530</v>
      </c>
      <c r="F288" s="105" t="s">
        <v>487</v>
      </c>
      <c r="H288" s="45" t="str">
        <f t="shared" si="12"/>
        <v>Martin – Meštrović – OK Kapela – M14</v>
      </c>
      <c r="J288" s="45" t="str">
        <f t="shared" si="13"/>
        <v>Martin – Meštrović – OK Kapela</v>
      </c>
      <c r="L288" s="45" t="str">
        <f t="shared" si="14"/>
        <v>Martin – Meštrović</v>
      </c>
      <c r="N288" s="103"/>
      <c r="O288" s="104"/>
      <c r="P288" s="105"/>
    </row>
    <row r="289" spans="2:16" x14ac:dyDescent="0.25">
      <c r="B289" s="103">
        <v>1367</v>
      </c>
      <c r="C289" s="104" t="s">
        <v>1029</v>
      </c>
      <c r="D289" s="104" t="s">
        <v>524</v>
      </c>
      <c r="E289" s="104" t="s">
        <v>530</v>
      </c>
      <c r="F289" s="105" t="s">
        <v>1575</v>
      </c>
      <c r="H289" s="45" t="str">
        <f t="shared" si="12"/>
        <v>Tomislav – Meštrović – OK Kapela – M35</v>
      </c>
      <c r="J289" s="45" t="str">
        <f t="shared" si="13"/>
        <v>Tomislav – Meštrović – OK Kapela</v>
      </c>
      <c r="L289" s="45" t="str">
        <f t="shared" si="14"/>
        <v>Tomislav – Meštrović</v>
      </c>
      <c r="N289" s="103"/>
      <c r="O289" s="104"/>
      <c r="P289" s="105"/>
    </row>
    <row r="290" spans="2:16" x14ac:dyDescent="0.25">
      <c r="B290" s="103">
        <v>1786</v>
      </c>
      <c r="C290" s="104" t="s">
        <v>2448</v>
      </c>
      <c r="D290" s="104" t="s">
        <v>3927</v>
      </c>
      <c r="E290" s="104" t="s">
        <v>530</v>
      </c>
      <c r="F290" s="105" t="s">
        <v>3094</v>
      </c>
      <c r="H290" s="45" t="str">
        <f t="shared" si="12"/>
        <v>Ivana – Mikulinjak – OK Kapela – Ž21B</v>
      </c>
      <c r="J290" s="45" t="str">
        <f t="shared" si="13"/>
        <v>Ivana – Mikulinjak – OK Kapela</v>
      </c>
      <c r="L290" s="45" t="str">
        <f t="shared" si="14"/>
        <v>Ivana – Mikulinjak</v>
      </c>
      <c r="N290" s="103"/>
      <c r="O290" s="104"/>
      <c r="P290" s="105"/>
    </row>
    <row r="291" spans="2:16" x14ac:dyDescent="0.25">
      <c r="B291" s="103">
        <v>1092</v>
      </c>
      <c r="C291" s="104" t="s">
        <v>2565</v>
      </c>
      <c r="D291" s="104" t="s">
        <v>3928</v>
      </c>
      <c r="E291" s="104" t="s">
        <v>530</v>
      </c>
      <c r="F291" s="105" t="s">
        <v>3265</v>
      </c>
      <c r="H291" s="45" t="str">
        <f t="shared" si="12"/>
        <v>Lucija – Milas – OK Kapela – Ž35</v>
      </c>
      <c r="J291" s="45" t="str">
        <f t="shared" si="13"/>
        <v>Lucija – Milas – OK Kapela</v>
      </c>
      <c r="L291" s="45" t="str">
        <f t="shared" si="14"/>
        <v>Lucija – Milas</v>
      </c>
      <c r="N291" s="103"/>
      <c r="O291" s="104"/>
      <c r="P291" s="105"/>
    </row>
    <row r="292" spans="2:16" x14ac:dyDescent="0.25">
      <c r="B292" s="103">
        <v>1964</v>
      </c>
      <c r="C292" s="104" t="s">
        <v>2537</v>
      </c>
      <c r="D292" s="104" t="s">
        <v>2578</v>
      </c>
      <c r="E292" s="104" t="s">
        <v>530</v>
      </c>
      <c r="F292" s="105"/>
      <c r="H292" s="45" t="str">
        <f t="shared" si="12"/>
        <v>Sandra – Miletić – OK Kapela</v>
      </c>
      <c r="J292" s="45" t="str">
        <f t="shared" si="13"/>
        <v>Sandra – Miletić – OK Kapela</v>
      </c>
      <c r="L292" s="45" t="str">
        <f t="shared" si="14"/>
        <v>Sandra – Miletić</v>
      </c>
      <c r="N292" s="103"/>
      <c r="O292" s="104"/>
      <c r="P292" s="105"/>
    </row>
    <row r="293" spans="2:16" x14ac:dyDescent="0.25">
      <c r="B293" s="103">
        <v>1754</v>
      </c>
      <c r="C293" s="104" t="s">
        <v>2882</v>
      </c>
      <c r="D293" s="104" t="s">
        <v>3230</v>
      </c>
      <c r="E293" s="104" t="s">
        <v>530</v>
      </c>
      <c r="F293" s="105"/>
      <c r="H293" s="45" t="str">
        <f t="shared" si="12"/>
        <v>Ira – Miličević – OK Kapela</v>
      </c>
      <c r="J293" s="45" t="str">
        <f t="shared" si="13"/>
        <v>Ira – Miličević – OK Kapela</v>
      </c>
      <c r="L293" s="45" t="str">
        <f t="shared" si="14"/>
        <v>Ira – Miličević</v>
      </c>
      <c r="N293" s="103"/>
      <c r="O293" s="104"/>
      <c r="P293" s="105"/>
    </row>
    <row r="294" spans="2:16" x14ac:dyDescent="0.25">
      <c r="B294" s="103">
        <v>1430</v>
      </c>
      <c r="C294" s="104" t="s">
        <v>2245</v>
      </c>
      <c r="D294" s="104" t="s">
        <v>2244</v>
      </c>
      <c r="E294" s="104" t="s">
        <v>530</v>
      </c>
      <c r="F294" s="105" t="s">
        <v>2195</v>
      </c>
      <c r="H294" s="45" t="str">
        <f t="shared" si="12"/>
        <v>Mile – Mioković – OK Kapela – M55</v>
      </c>
      <c r="J294" s="45" t="str">
        <f t="shared" si="13"/>
        <v>Mile – Mioković – OK Kapela</v>
      </c>
      <c r="L294" s="45" t="str">
        <f t="shared" si="14"/>
        <v>Mile – Mioković</v>
      </c>
      <c r="N294" s="103"/>
      <c r="O294" s="104"/>
      <c r="P294" s="105"/>
    </row>
    <row r="295" spans="2:16" x14ac:dyDescent="0.25">
      <c r="B295" s="103">
        <v>1243</v>
      </c>
      <c r="C295" s="104" t="s">
        <v>2893</v>
      </c>
      <c r="D295" s="104" t="s">
        <v>2244</v>
      </c>
      <c r="E295" s="104" t="s">
        <v>530</v>
      </c>
      <c r="F295" s="105" t="s">
        <v>2766</v>
      </c>
      <c r="H295" s="45" t="str">
        <f t="shared" si="12"/>
        <v>Nina – Mioković – OK Kapela – Ž16</v>
      </c>
      <c r="J295" s="45" t="str">
        <f t="shared" si="13"/>
        <v>Nina – Mioković – OK Kapela</v>
      </c>
      <c r="L295" s="45" t="str">
        <f t="shared" si="14"/>
        <v>Nina – Mioković</v>
      </c>
      <c r="N295" s="103"/>
      <c r="O295" s="104"/>
      <c r="P295" s="105"/>
    </row>
    <row r="296" spans="2:16" x14ac:dyDescent="0.25">
      <c r="B296" s="103">
        <v>1516</v>
      </c>
      <c r="C296" s="104" t="s">
        <v>405</v>
      </c>
      <c r="D296" s="104" t="s">
        <v>2107</v>
      </c>
      <c r="E296" s="104" t="s">
        <v>530</v>
      </c>
      <c r="F296" s="105" t="s">
        <v>1909</v>
      </c>
      <c r="H296" s="45" t="str">
        <f t="shared" si="12"/>
        <v>Mario – Nimac – OK Kapela – M45</v>
      </c>
      <c r="J296" s="45" t="str">
        <f t="shared" si="13"/>
        <v>Mario – Nimac – OK Kapela</v>
      </c>
      <c r="L296" s="45" t="str">
        <f t="shared" si="14"/>
        <v>Mario – Nimac</v>
      </c>
      <c r="N296" s="103"/>
      <c r="O296" s="104"/>
      <c r="P296" s="105"/>
    </row>
    <row r="297" spans="2:16" x14ac:dyDescent="0.25">
      <c r="B297" s="103">
        <v>1787</v>
      </c>
      <c r="C297" s="104" t="s">
        <v>3929</v>
      </c>
      <c r="D297" s="104" t="s">
        <v>3930</v>
      </c>
      <c r="E297" s="104" t="s">
        <v>530</v>
      </c>
      <c r="F297" s="105"/>
      <c r="H297" s="45" t="str">
        <f t="shared" si="12"/>
        <v>Silvije – Nosić – OK Kapela</v>
      </c>
      <c r="J297" s="45" t="str">
        <f t="shared" si="13"/>
        <v>Silvije – Nosić – OK Kapela</v>
      </c>
      <c r="L297" s="45" t="str">
        <f t="shared" si="14"/>
        <v>Silvije – Nosić</v>
      </c>
      <c r="N297" s="103"/>
      <c r="O297" s="104"/>
      <c r="P297" s="105"/>
    </row>
    <row r="298" spans="2:16" x14ac:dyDescent="0.25">
      <c r="B298" s="103">
        <v>1258</v>
      </c>
      <c r="C298" s="104" t="s">
        <v>3931</v>
      </c>
      <c r="D298" s="104" t="s">
        <v>3932</v>
      </c>
      <c r="E298" s="104" t="s">
        <v>530</v>
      </c>
      <c r="F298" s="105" t="s">
        <v>2732</v>
      </c>
      <c r="H298" s="45" t="str">
        <f t="shared" si="12"/>
        <v>Anja Vita – Ogorelec – OK Kapela – Ž14</v>
      </c>
      <c r="J298" s="45" t="str">
        <f t="shared" si="13"/>
        <v>Anja Vita – Ogorelec – OK Kapela</v>
      </c>
      <c r="L298" s="45" t="str">
        <f t="shared" si="14"/>
        <v>Anja Vita – Ogorelec</v>
      </c>
      <c r="N298" s="103"/>
      <c r="O298" s="104"/>
      <c r="P298" s="105"/>
    </row>
    <row r="299" spans="2:16" x14ac:dyDescent="0.25">
      <c r="B299" s="103">
        <v>1670</v>
      </c>
      <c r="C299" s="104" t="s">
        <v>3925</v>
      </c>
      <c r="D299" s="104" t="s">
        <v>3933</v>
      </c>
      <c r="E299" s="104" t="s">
        <v>530</v>
      </c>
      <c r="F299" s="105"/>
      <c r="H299" s="45" t="str">
        <f t="shared" si="12"/>
        <v>Slađana – Ovčarić – OK Kapela</v>
      </c>
      <c r="J299" s="45" t="str">
        <f t="shared" si="13"/>
        <v>Slađana – Ovčarić – OK Kapela</v>
      </c>
      <c r="L299" s="45" t="str">
        <f t="shared" si="14"/>
        <v>Slađana – Ovčarić</v>
      </c>
      <c r="N299" s="103"/>
      <c r="O299" s="104"/>
      <c r="P299" s="105"/>
    </row>
    <row r="300" spans="2:16" x14ac:dyDescent="0.25">
      <c r="B300" s="103">
        <v>1212</v>
      </c>
      <c r="C300" s="104" t="s">
        <v>3024</v>
      </c>
      <c r="D300" s="104" t="s">
        <v>3102</v>
      </c>
      <c r="E300" s="104" t="s">
        <v>530</v>
      </c>
      <c r="F300" s="105" t="s">
        <v>3094</v>
      </c>
      <c r="H300" s="45" t="str">
        <f t="shared" si="12"/>
        <v>Olga – Pajnić – OK Kapela – Ž21B</v>
      </c>
      <c r="J300" s="45" t="str">
        <f t="shared" si="13"/>
        <v>Olga – Pajnić – OK Kapela</v>
      </c>
      <c r="L300" s="45" t="str">
        <f t="shared" si="14"/>
        <v>Olga – Pajnić</v>
      </c>
      <c r="N300" s="103"/>
      <c r="O300" s="104"/>
      <c r="P300" s="105"/>
    </row>
    <row r="301" spans="2:16" x14ac:dyDescent="0.25">
      <c r="B301" s="103">
        <v>1294</v>
      </c>
      <c r="C301" s="104" t="s">
        <v>1663</v>
      </c>
      <c r="D301" s="104" t="s">
        <v>3934</v>
      </c>
      <c r="E301" s="104" t="s">
        <v>530</v>
      </c>
      <c r="F301" s="105" t="s">
        <v>886</v>
      </c>
      <c r="H301" s="45" t="str">
        <f t="shared" si="12"/>
        <v>Krunoslav – Peh – OK Kapela – M21A</v>
      </c>
      <c r="J301" s="45" t="str">
        <f t="shared" si="13"/>
        <v>Krunoslav – Peh – OK Kapela</v>
      </c>
      <c r="L301" s="45" t="str">
        <f t="shared" si="14"/>
        <v>Krunoslav – Peh</v>
      </c>
      <c r="N301" s="103"/>
      <c r="O301" s="104"/>
      <c r="P301" s="105"/>
    </row>
    <row r="302" spans="2:16" x14ac:dyDescent="0.25">
      <c r="B302" s="103">
        <v>1211</v>
      </c>
      <c r="C302" s="104" t="s">
        <v>2048</v>
      </c>
      <c r="D302" s="104" t="s">
        <v>2047</v>
      </c>
      <c r="E302" s="104" t="s">
        <v>530</v>
      </c>
      <c r="F302" s="105" t="s">
        <v>1909</v>
      </c>
      <c r="H302" s="45" t="str">
        <f t="shared" si="12"/>
        <v>Ivan Ivo – Penić – OK Kapela – M45</v>
      </c>
      <c r="J302" s="45" t="str">
        <f t="shared" si="13"/>
        <v>Ivan Ivo – Penić – OK Kapela</v>
      </c>
      <c r="L302" s="45" t="str">
        <f t="shared" si="14"/>
        <v>Ivan Ivo – Penić</v>
      </c>
      <c r="N302" s="103"/>
      <c r="O302" s="104"/>
      <c r="P302" s="105"/>
    </row>
    <row r="303" spans="2:16" x14ac:dyDescent="0.25">
      <c r="B303" s="103">
        <v>1019</v>
      </c>
      <c r="C303" s="104" t="s">
        <v>2912</v>
      </c>
      <c r="D303" s="104" t="s">
        <v>3864</v>
      </c>
      <c r="E303" s="104" t="s">
        <v>530</v>
      </c>
      <c r="F303" s="105" t="s">
        <v>3619</v>
      </c>
      <c r="H303" s="45" t="str">
        <f t="shared" si="12"/>
        <v>Jelena – Perić – OK Kapela – Ž55</v>
      </c>
      <c r="J303" s="45" t="str">
        <f t="shared" si="13"/>
        <v>Jelena – Perić – OK Kapela</v>
      </c>
      <c r="L303" s="45" t="str">
        <f t="shared" si="14"/>
        <v>Jelena – Perić</v>
      </c>
      <c r="N303" s="103"/>
      <c r="O303" s="104"/>
      <c r="P303" s="105"/>
    </row>
    <row r="304" spans="2:16" x14ac:dyDescent="0.25">
      <c r="B304" s="103">
        <v>1962</v>
      </c>
      <c r="C304" s="104" t="s">
        <v>2485</v>
      </c>
      <c r="D304" s="104" t="s">
        <v>2484</v>
      </c>
      <c r="E304" s="104" t="s">
        <v>530</v>
      </c>
      <c r="F304" s="105"/>
      <c r="H304" s="45" t="str">
        <f t="shared" si="12"/>
        <v>Iva – Pintur – OK Kapela</v>
      </c>
      <c r="J304" s="45" t="str">
        <f t="shared" si="13"/>
        <v>Iva – Pintur – OK Kapela</v>
      </c>
      <c r="L304" s="45" t="str">
        <f t="shared" si="14"/>
        <v>Iva – Pintur</v>
      </c>
      <c r="N304" s="103"/>
      <c r="O304" s="104"/>
      <c r="P304" s="105"/>
    </row>
    <row r="305" spans="2:16" x14ac:dyDescent="0.25">
      <c r="B305" s="103">
        <v>1560</v>
      </c>
      <c r="C305" s="104" t="s">
        <v>2595</v>
      </c>
      <c r="D305" s="104" t="s">
        <v>3935</v>
      </c>
      <c r="E305" s="104" t="s">
        <v>530</v>
      </c>
      <c r="F305" s="105" t="s">
        <v>3094</v>
      </c>
      <c r="H305" s="45" t="str">
        <f t="shared" si="12"/>
        <v>Maja – Pirija – OK Kapela – Ž21B</v>
      </c>
      <c r="J305" s="45" t="str">
        <f t="shared" si="13"/>
        <v>Maja – Pirija – OK Kapela</v>
      </c>
      <c r="L305" s="45" t="str">
        <f t="shared" si="14"/>
        <v>Maja – Pirija</v>
      </c>
      <c r="N305" s="103"/>
      <c r="O305" s="104"/>
      <c r="P305" s="105"/>
    </row>
    <row r="306" spans="2:16" x14ac:dyDescent="0.25">
      <c r="B306" s="103">
        <v>1222</v>
      </c>
      <c r="C306" s="104" t="s">
        <v>3301</v>
      </c>
      <c r="D306" s="104" t="s">
        <v>3300</v>
      </c>
      <c r="E306" s="104" t="s">
        <v>530</v>
      </c>
      <c r="F306" s="105" t="s">
        <v>3265</v>
      </c>
      <c r="H306" s="45" t="str">
        <f t="shared" si="12"/>
        <v>Antea – Popović – OK Kapela – Ž35</v>
      </c>
      <c r="J306" s="45" t="str">
        <f t="shared" si="13"/>
        <v>Antea – Popović – OK Kapela</v>
      </c>
      <c r="L306" s="45" t="str">
        <f t="shared" si="14"/>
        <v>Antea – Popović</v>
      </c>
      <c r="N306" s="103"/>
      <c r="O306" s="104"/>
      <c r="P306" s="105"/>
    </row>
    <row r="307" spans="2:16" x14ac:dyDescent="0.25">
      <c r="B307" s="103">
        <v>1500</v>
      </c>
      <c r="C307" s="104" t="s">
        <v>438</v>
      </c>
      <c r="D307" s="104" t="s">
        <v>2036</v>
      </c>
      <c r="E307" s="104" t="s">
        <v>530</v>
      </c>
      <c r="F307" s="105" t="s">
        <v>1909</v>
      </c>
      <c r="H307" s="45" t="str">
        <f t="shared" si="12"/>
        <v>Ivan – Posinjak – OK Kapela – M45</v>
      </c>
      <c r="J307" s="45" t="str">
        <f t="shared" si="13"/>
        <v>Ivan – Posinjak – OK Kapela</v>
      </c>
      <c r="L307" s="45" t="str">
        <f t="shared" si="14"/>
        <v>Ivan – Posinjak</v>
      </c>
      <c r="N307" s="103"/>
      <c r="O307" s="104"/>
      <c r="P307" s="105"/>
    </row>
    <row r="308" spans="2:16" x14ac:dyDescent="0.25">
      <c r="B308" s="103">
        <v>1869</v>
      </c>
      <c r="C308" s="104" t="s">
        <v>3522</v>
      </c>
      <c r="D308" s="104" t="s">
        <v>3936</v>
      </c>
      <c r="E308" s="104" t="s">
        <v>530</v>
      </c>
      <c r="F308" s="105" t="s">
        <v>3094</v>
      </c>
      <c r="H308" s="45" t="str">
        <f t="shared" si="12"/>
        <v>Nataša – Preis-Bedenik – OK Kapela – Ž21B</v>
      </c>
      <c r="J308" s="45" t="str">
        <f t="shared" si="13"/>
        <v>Nataša – Preis-Bedenik – OK Kapela</v>
      </c>
      <c r="L308" s="45" t="str">
        <f t="shared" si="14"/>
        <v>Nataša – Preis-Bedenik</v>
      </c>
      <c r="N308" s="103"/>
      <c r="O308" s="104"/>
      <c r="P308" s="105"/>
    </row>
    <row r="309" spans="2:16" x14ac:dyDescent="0.25">
      <c r="B309" s="103">
        <v>1350</v>
      </c>
      <c r="C309" s="104" t="s">
        <v>1209</v>
      </c>
      <c r="D309" s="104" t="s">
        <v>1208</v>
      </c>
      <c r="E309" s="104" t="s">
        <v>530</v>
      </c>
      <c r="F309" s="105" t="s">
        <v>1130</v>
      </c>
      <c r="H309" s="45" t="str">
        <f t="shared" si="12"/>
        <v>Branimir – Putniković – OK Kapela – M21B</v>
      </c>
      <c r="J309" s="45" t="str">
        <f t="shared" si="13"/>
        <v>Branimir – Putniković – OK Kapela</v>
      </c>
      <c r="L309" s="45" t="str">
        <f t="shared" si="14"/>
        <v>Branimir – Putniković</v>
      </c>
      <c r="N309" s="103"/>
      <c r="O309" s="104"/>
      <c r="P309" s="105"/>
    </row>
    <row r="310" spans="2:16" x14ac:dyDescent="0.25">
      <c r="B310" s="103">
        <v>1363</v>
      </c>
      <c r="C310" s="104" t="s">
        <v>2207</v>
      </c>
      <c r="D310" s="104" t="s">
        <v>2278</v>
      </c>
      <c r="E310" s="104" t="s">
        <v>530</v>
      </c>
      <c r="F310" s="105" t="s">
        <v>2195</v>
      </c>
      <c r="H310" s="45" t="str">
        <f t="shared" si="12"/>
        <v>Darko – Raškaj – OK Kapela – M55</v>
      </c>
      <c r="J310" s="45" t="str">
        <f t="shared" si="13"/>
        <v>Darko – Raškaj – OK Kapela</v>
      </c>
      <c r="L310" s="45" t="str">
        <f t="shared" si="14"/>
        <v>Darko – Raškaj</v>
      </c>
      <c r="N310" s="103"/>
      <c r="O310" s="104"/>
      <c r="P310" s="105"/>
    </row>
    <row r="311" spans="2:16" x14ac:dyDescent="0.25">
      <c r="B311" s="103">
        <v>1546</v>
      </c>
      <c r="C311" s="104" t="s">
        <v>741</v>
      </c>
      <c r="D311" s="104" t="s">
        <v>3937</v>
      </c>
      <c r="E311" s="104" t="s">
        <v>530</v>
      </c>
      <c r="F311" s="105" t="s">
        <v>1575</v>
      </c>
      <c r="H311" s="45" t="str">
        <f t="shared" si="12"/>
        <v>Goran – Rihter – OK Kapela – M35</v>
      </c>
      <c r="J311" s="45" t="str">
        <f t="shared" si="13"/>
        <v>Goran – Rihter – OK Kapela</v>
      </c>
      <c r="L311" s="45" t="str">
        <f t="shared" si="14"/>
        <v>Goran – Rihter</v>
      </c>
      <c r="N311" s="103"/>
      <c r="O311" s="104"/>
      <c r="P311" s="105"/>
    </row>
    <row r="312" spans="2:16" x14ac:dyDescent="0.25">
      <c r="B312" s="103">
        <v>1788</v>
      </c>
      <c r="C312" s="104" t="s">
        <v>1336</v>
      </c>
      <c r="D312" s="104" t="s">
        <v>3938</v>
      </c>
      <c r="E312" s="104" t="s">
        <v>530</v>
      </c>
      <c r="F312" s="105"/>
      <c r="H312" s="45" t="str">
        <f t="shared" si="12"/>
        <v>Dario – Rocco – OK Kapela</v>
      </c>
      <c r="J312" s="45" t="str">
        <f t="shared" si="13"/>
        <v>Dario – Rocco – OK Kapela</v>
      </c>
      <c r="L312" s="45" t="str">
        <f t="shared" si="14"/>
        <v>Dario – Rocco</v>
      </c>
      <c r="N312" s="103"/>
      <c r="O312" s="104"/>
      <c r="P312" s="105"/>
    </row>
    <row r="313" spans="2:16" x14ac:dyDescent="0.25">
      <c r="B313" s="103">
        <v>1789</v>
      </c>
      <c r="C313" s="104" t="s">
        <v>1180</v>
      </c>
      <c r="D313" s="104" t="s">
        <v>3939</v>
      </c>
      <c r="E313" s="104" t="s">
        <v>530</v>
      </c>
      <c r="F313" s="105"/>
      <c r="H313" s="45" t="str">
        <f t="shared" si="12"/>
        <v>Dominik – Sabljak – OK Kapela</v>
      </c>
      <c r="J313" s="45" t="str">
        <f t="shared" si="13"/>
        <v>Dominik – Sabljak – OK Kapela</v>
      </c>
      <c r="L313" s="45" t="str">
        <f t="shared" si="14"/>
        <v>Dominik – Sabljak</v>
      </c>
      <c r="N313" s="103"/>
      <c r="O313" s="104"/>
      <c r="P313" s="105"/>
    </row>
    <row r="314" spans="2:16" x14ac:dyDescent="0.25">
      <c r="B314" s="103">
        <v>1790</v>
      </c>
      <c r="C314" s="104" t="s">
        <v>1074</v>
      </c>
      <c r="D314" s="104" t="s">
        <v>3940</v>
      </c>
      <c r="E314" s="104" t="s">
        <v>530</v>
      </c>
      <c r="F314" s="105"/>
      <c r="H314" s="45" t="str">
        <f t="shared" si="12"/>
        <v>Vedran – Sabljić – OK Kapela</v>
      </c>
      <c r="J314" s="45" t="str">
        <f t="shared" si="13"/>
        <v>Vedran – Sabljić – OK Kapela</v>
      </c>
      <c r="L314" s="45" t="str">
        <f t="shared" si="14"/>
        <v>Vedran – Sabljić</v>
      </c>
      <c r="N314" s="103"/>
      <c r="O314" s="104"/>
      <c r="P314" s="105"/>
    </row>
    <row r="315" spans="2:16" x14ac:dyDescent="0.25">
      <c r="B315" s="103">
        <v>1479</v>
      </c>
      <c r="C315" s="104" t="s">
        <v>1336</v>
      </c>
      <c r="D315" s="104" t="s">
        <v>3941</v>
      </c>
      <c r="E315" s="104" t="s">
        <v>530</v>
      </c>
      <c r="F315" s="105" t="s">
        <v>2195</v>
      </c>
      <c r="H315" s="45" t="str">
        <f t="shared" si="12"/>
        <v>Dario – Sekušak – OK Kapela – M55</v>
      </c>
      <c r="J315" s="45" t="str">
        <f t="shared" si="13"/>
        <v>Dario – Sekušak – OK Kapela</v>
      </c>
      <c r="L315" s="45" t="str">
        <f t="shared" si="14"/>
        <v>Dario – Sekušak</v>
      </c>
      <c r="N315" s="103"/>
      <c r="O315" s="104"/>
      <c r="P315" s="105"/>
    </row>
    <row r="316" spans="2:16" x14ac:dyDescent="0.25">
      <c r="B316" s="103">
        <v>1565</v>
      </c>
      <c r="C316" s="104" t="s">
        <v>2448</v>
      </c>
      <c r="D316" s="104" t="s">
        <v>3942</v>
      </c>
      <c r="E316" s="104" t="s">
        <v>530</v>
      </c>
      <c r="F316" s="105" t="s">
        <v>3265</v>
      </c>
      <c r="H316" s="45" t="str">
        <f t="shared" si="12"/>
        <v>Ivana – Sertić – OK Kapela – Ž35</v>
      </c>
      <c r="J316" s="45" t="str">
        <f t="shared" si="13"/>
        <v>Ivana – Sertić – OK Kapela</v>
      </c>
      <c r="L316" s="45" t="str">
        <f t="shared" si="14"/>
        <v>Ivana – Sertić</v>
      </c>
      <c r="N316" s="103"/>
      <c r="O316" s="104"/>
      <c r="P316" s="105"/>
    </row>
    <row r="317" spans="2:16" x14ac:dyDescent="0.25">
      <c r="B317" s="103">
        <v>1791</v>
      </c>
      <c r="C317" s="104" t="s">
        <v>2437</v>
      </c>
      <c r="D317" s="104" t="s">
        <v>3943</v>
      </c>
      <c r="E317" s="104" t="s">
        <v>530</v>
      </c>
      <c r="F317" s="105"/>
      <c r="H317" s="45" t="str">
        <f t="shared" si="12"/>
        <v>Ana – Simon – OK Kapela</v>
      </c>
      <c r="J317" s="45" t="str">
        <f t="shared" si="13"/>
        <v>Ana – Simon – OK Kapela</v>
      </c>
      <c r="L317" s="45" t="str">
        <f t="shared" si="14"/>
        <v>Ana – Simon</v>
      </c>
      <c r="N317" s="103"/>
      <c r="O317" s="104"/>
      <c r="P317" s="105"/>
    </row>
    <row r="318" spans="2:16" x14ac:dyDescent="0.25">
      <c r="B318" s="103">
        <v>1963</v>
      </c>
      <c r="C318" s="104" t="s">
        <v>2437</v>
      </c>
      <c r="D318" s="104" t="s">
        <v>2436</v>
      </c>
      <c r="E318" s="104" t="s">
        <v>530</v>
      </c>
      <c r="F318" s="105"/>
      <c r="H318" s="45" t="str">
        <f t="shared" si="12"/>
        <v>Ana – Šiprak Stastny – OK Kapela</v>
      </c>
      <c r="J318" s="45" t="str">
        <f t="shared" si="13"/>
        <v>Ana – Šiprak Stastny – OK Kapela</v>
      </c>
      <c r="L318" s="45" t="str">
        <f t="shared" si="14"/>
        <v>Ana – Šiprak Stastny</v>
      </c>
      <c r="N318" s="103"/>
      <c r="O318" s="109"/>
      <c r="P318" s="105"/>
    </row>
    <row r="319" spans="2:16" x14ac:dyDescent="0.25">
      <c r="B319" s="103">
        <v>1581</v>
      </c>
      <c r="C319" s="104" t="s">
        <v>1497</v>
      </c>
      <c r="D319" s="104" t="s">
        <v>3944</v>
      </c>
      <c r="E319" s="104" t="s">
        <v>530</v>
      </c>
      <c r="F319" s="105"/>
      <c r="H319" s="45" t="str">
        <f t="shared" si="12"/>
        <v>Nikola – Škorić – OK Kapela</v>
      </c>
      <c r="J319" s="45" t="str">
        <f t="shared" si="13"/>
        <v>Nikola – Škorić – OK Kapela</v>
      </c>
      <c r="L319" s="45" t="str">
        <f t="shared" si="14"/>
        <v>Nikola – Škorić</v>
      </c>
      <c r="N319" s="103"/>
      <c r="O319" s="104"/>
      <c r="P319" s="105"/>
    </row>
    <row r="320" spans="2:16" x14ac:dyDescent="0.25">
      <c r="B320" s="103">
        <v>1417</v>
      </c>
      <c r="C320" s="104" t="s">
        <v>3253</v>
      </c>
      <c r="D320" s="104" t="s">
        <v>3945</v>
      </c>
      <c r="E320" s="104" t="s">
        <v>530</v>
      </c>
      <c r="F320" s="105" t="s">
        <v>3443</v>
      </c>
      <c r="H320" s="45" t="str">
        <f t="shared" si="12"/>
        <v>Marina – Šojat – OK Kapela – Ž45</v>
      </c>
      <c r="J320" s="45" t="str">
        <f t="shared" si="13"/>
        <v>Marina – Šojat – OK Kapela</v>
      </c>
      <c r="L320" s="45" t="str">
        <f t="shared" si="14"/>
        <v>Marina – Šojat</v>
      </c>
      <c r="N320" s="103"/>
      <c r="O320" s="104"/>
      <c r="P320" s="105"/>
    </row>
    <row r="321" spans="2:16" x14ac:dyDescent="0.25">
      <c r="B321" s="103">
        <v>1282</v>
      </c>
      <c r="C321" s="104" t="s">
        <v>1955</v>
      </c>
      <c r="D321" s="104" t="s">
        <v>3946</v>
      </c>
      <c r="E321" s="104" t="s">
        <v>530</v>
      </c>
      <c r="F321" s="105" t="s">
        <v>1575</v>
      </c>
      <c r="H321" s="45" t="str">
        <f t="shared" si="12"/>
        <v>Vladimir – Spasić – OK Kapela – M35</v>
      </c>
      <c r="J321" s="45" t="str">
        <f t="shared" si="13"/>
        <v>Vladimir – Spasić – OK Kapela</v>
      </c>
      <c r="L321" s="45" t="str">
        <f t="shared" si="14"/>
        <v>Vladimir – Spasić</v>
      </c>
      <c r="N321" s="103"/>
      <c r="O321" s="104"/>
      <c r="P321" s="105"/>
    </row>
    <row r="322" spans="2:16" x14ac:dyDescent="0.25">
      <c r="B322" s="103">
        <v>1358</v>
      </c>
      <c r="C322" s="104" t="s">
        <v>2257</v>
      </c>
      <c r="D322" s="104" t="s">
        <v>2256</v>
      </c>
      <c r="E322" s="104" t="s">
        <v>530</v>
      </c>
      <c r="F322" s="105" t="s">
        <v>2195</v>
      </c>
      <c r="H322" s="45" t="str">
        <f t="shared" si="12"/>
        <v>Krešo – Špoljar – OK Kapela – M55</v>
      </c>
      <c r="J322" s="45" t="str">
        <f t="shared" si="13"/>
        <v>Krešo – Špoljar – OK Kapela</v>
      </c>
      <c r="L322" s="45" t="str">
        <f t="shared" si="14"/>
        <v>Krešo – Špoljar</v>
      </c>
      <c r="N322" s="103"/>
      <c r="O322" s="104"/>
      <c r="P322" s="105"/>
    </row>
    <row r="323" spans="2:16" x14ac:dyDescent="0.25">
      <c r="B323" s="103">
        <v>1032</v>
      </c>
      <c r="C323" s="104" t="s">
        <v>3152</v>
      </c>
      <c r="D323" s="104" t="s">
        <v>3151</v>
      </c>
      <c r="E323" s="104" t="s">
        <v>530</v>
      </c>
      <c r="F323" s="105" t="s">
        <v>3094</v>
      </c>
      <c r="H323" s="45" t="str">
        <f t="shared" si="12"/>
        <v>Suzana – Stanić – OK Kapela – Ž21B</v>
      </c>
      <c r="J323" s="45" t="str">
        <f t="shared" si="13"/>
        <v>Suzana – Stanić – OK Kapela</v>
      </c>
      <c r="L323" s="45" t="str">
        <f t="shared" si="14"/>
        <v>Suzana – Stanić</v>
      </c>
      <c r="N323" s="103"/>
      <c r="O323" s="104"/>
      <c r="P323" s="105"/>
    </row>
    <row r="324" spans="2:16" x14ac:dyDescent="0.25">
      <c r="B324" s="103">
        <v>1348</v>
      </c>
      <c r="C324" s="104" t="s">
        <v>3776</v>
      </c>
      <c r="D324" s="104" t="s">
        <v>3947</v>
      </c>
      <c r="E324" s="104" t="s">
        <v>530</v>
      </c>
      <c r="F324" s="105" t="s">
        <v>1130</v>
      </c>
      <c r="H324" s="45" t="str">
        <f t="shared" si="12"/>
        <v>Bruno – Stanković – OK Kapela – M21B</v>
      </c>
      <c r="J324" s="45" t="str">
        <f t="shared" si="13"/>
        <v>Bruno – Stanković – OK Kapela</v>
      </c>
      <c r="L324" s="45" t="str">
        <f t="shared" si="14"/>
        <v>Bruno – Stanković</v>
      </c>
      <c r="N324" s="103"/>
      <c r="O324" s="104"/>
      <c r="P324" s="105"/>
    </row>
    <row r="325" spans="2:16" x14ac:dyDescent="0.25">
      <c r="B325" s="103">
        <v>1872</v>
      </c>
      <c r="C325" s="104" t="s">
        <v>2448</v>
      </c>
      <c r="D325" s="104" t="s">
        <v>1903</v>
      </c>
      <c r="E325" s="104" t="s">
        <v>530</v>
      </c>
      <c r="F325" s="105" t="s">
        <v>3094</v>
      </c>
      <c r="H325" s="45" t="str">
        <f t="shared" si="12"/>
        <v>Ivana – Stankovski – OK Kapela – Ž21B</v>
      </c>
      <c r="J325" s="45" t="str">
        <f t="shared" si="13"/>
        <v>Ivana – Stankovski – OK Kapela</v>
      </c>
      <c r="L325" s="45" t="str">
        <f t="shared" si="14"/>
        <v>Ivana – Stankovski</v>
      </c>
      <c r="N325" s="103"/>
      <c r="O325" s="104"/>
      <c r="P325" s="105"/>
    </row>
    <row r="326" spans="2:16" x14ac:dyDescent="0.25">
      <c r="B326" s="103">
        <v>1499</v>
      </c>
      <c r="C326" s="104" t="s">
        <v>1713</v>
      </c>
      <c r="D326" s="104" t="s">
        <v>1712</v>
      </c>
      <c r="E326" s="104" t="s">
        <v>530</v>
      </c>
      <c r="F326" s="105" t="s">
        <v>1575</v>
      </c>
      <c r="H326" s="45" t="str">
        <f t="shared" si="12"/>
        <v>Vanja – Suhina – OK Kapela – M35</v>
      </c>
      <c r="J326" s="45" t="str">
        <f t="shared" si="13"/>
        <v>Vanja – Suhina – OK Kapela</v>
      </c>
      <c r="L326" s="45" t="str">
        <f t="shared" si="14"/>
        <v>Vanja – Suhina</v>
      </c>
      <c r="N326" s="103"/>
      <c r="O326" s="104"/>
      <c r="P326" s="105"/>
    </row>
    <row r="327" spans="2:16" x14ac:dyDescent="0.25">
      <c r="B327" s="103">
        <v>1487</v>
      </c>
      <c r="C327" s="104" t="s">
        <v>2207</v>
      </c>
      <c r="D327" s="104" t="s">
        <v>3948</v>
      </c>
      <c r="E327" s="104" t="s">
        <v>530</v>
      </c>
      <c r="F327" s="105" t="s">
        <v>1575</v>
      </c>
      <c r="H327" s="45" t="str">
        <f t="shared" si="12"/>
        <v>Darko – Surjan – OK Kapela – M35</v>
      </c>
      <c r="J327" s="45" t="str">
        <f t="shared" si="13"/>
        <v>Darko – Surjan – OK Kapela</v>
      </c>
      <c r="L327" s="45" t="str">
        <f t="shared" si="14"/>
        <v>Darko – Surjan</v>
      </c>
      <c r="N327" s="103"/>
      <c r="O327" s="104"/>
      <c r="P327" s="105"/>
    </row>
    <row r="328" spans="2:16" x14ac:dyDescent="0.25">
      <c r="B328" s="103">
        <v>1420</v>
      </c>
      <c r="C328" s="104" t="s">
        <v>1249</v>
      </c>
      <c r="D328" s="104" t="s">
        <v>1248</v>
      </c>
      <c r="E328" s="104" t="s">
        <v>530</v>
      </c>
      <c r="F328" s="105" t="s">
        <v>1130</v>
      </c>
      <c r="H328" s="45" t="str">
        <f t="shared" si="12"/>
        <v>Zdravko – Tonković – OK Kapela – M21B</v>
      </c>
      <c r="J328" s="45" t="str">
        <f t="shared" si="13"/>
        <v>Zdravko – Tonković – OK Kapela</v>
      </c>
      <c r="L328" s="45" t="str">
        <f t="shared" si="14"/>
        <v>Zdravko – Tonković</v>
      </c>
      <c r="N328" s="103"/>
      <c r="O328" s="104"/>
      <c r="P328" s="105"/>
    </row>
    <row r="329" spans="2:16" x14ac:dyDescent="0.25">
      <c r="B329" s="103">
        <v>1072</v>
      </c>
      <c r="C329" s="104" t="s">
        <v>2175</v>
      </c>
      <c r="D329" s="104" t="s">
        <v>2174</v>
      </c>
      <c r="E329" s="104" t="s">
        <v>530</v>
      </c>
      <c r="F329" s="105" t="s">
        <v>1909</v>
      </c>
      <c r="H329" s="45" t="str">
        <f t="shared" si="12"/>
        <v>Vlatko – Tounec – OK Kapela – M45</v>
      </c>
      <c r="J329" s="45" t="str">
        <f t="shared" si="13"/>
        <v>Vlatko – Tounec – OK Kapela</v>
      </c>
      <c r="L329" s="45" t="str">
        <f t="shared" si="14"/>
        <v>Vlatko – Tounec</v>
      </c>
      <c r="N329" s="103"/>
      <c r="O329" s="104"/>
      <c r="P329" s="105"/>
    </row>
    <row r="330" spans="2:16" x14ac:dyDescent="0.25">
      <c r="B330" s="103">
        <v>1126</v>
      </c>
      <c r="C330" s="104" t="s">
        <v>1955</v>
      </c>
      <c r="D330" s="104" t="s">
        <v>1954</v>
      </c>
      <c r="E330" s="104" t="s">
        <v>530</v>
      </c>
      <c r="F330" s="105" t="s">
        <v>1909</v>
      </c>
      <c r="H330" s="45" t="str">
        <f t="shared" si="12"/>
        <v>Vladimir – Trivunović – OK Kapela – M45</v>
      </c>
      <c r="J330" s="45" t="str">
        <f t="shared" si="13"/>
        <v>Vladimir – Trivunović – OK Kapela</v>
      </c>
      <c r="L330" s="45" t="str">
        <f t="shared" si="14"/>
        <v>Vladimir – Trivunović</v>
      </c>
      <c r="N330" s="103"/>
      <c r="O330" s="104"/>
      <c r="P330" s="105"/>
    </row>
    <row r="331" spans="2:16" x14ac:dyDescent="0.25">
      <c r="B331" s="103">
        <v>1319</v>
      </c>
      <c r="C331" s="104" t="s">
        <v>2448</v>
      </c>
      <c r="D331" s="104" t="s">
        <v>3949</v>
      </c>
      <c r="E331" s="104" t="s">
        <v>530</v>
      </c>
      <c r="F331" s="105" t="s">
        <v>3094</v>
      </c>
      <c r="H331" s="45" t="str">
        <f t="shared" ref="H331:H394" si="15">IF(C331="","",C331) &amp; IF(D331="",""," – " &amp; D331) &amp; IF(E331="",""," – " &amp; E331) &amp; IF(F331="",""," – " &amp; F331)</f>
        <v>Ivana – Ulrich Cvenić – OK Kapela – Ž21B</v>
      </c>
      <c r="J331" s="45" t="str">
        <f t="shared" ref="J331:J394" si="16">IF(C331="","",C331) &amp; IF(D331="",""," – " &amp; D331) &amp; IF(E331="",""," – " &amp; E331)</f>
        <v>Ivana – Ulrich Cvenić – OK Kapela</v>
      </c>
      <c r="L331" s="45" t="str">
        <f t="shared" ref="L331:L394" si="17">IF(C331="","",C331) &amp; IF(D331="",""," – " &amp; D331)</f>
        <v>Ivana – Ulrich Cvenić</v>
      </c>
      <c r="N331" s="103"/>
      <c r="O331" s="104"/>
      <c r="P331" s="105"/>
    </row>
    <row r="332" spans="2:16" x14ac:dyDescent="0.25">
      <c r="B332" s="103">
        <v>1083</v>
      </c>
      <c r="C332" s="104" t="s">
        <v>3950</v>
      </c>
      <c r="D332" s="104" t="s">
        <v>2814</v>
      </c>
      <c r="E332" s="104" t="s">
        <v>530</v>
      </c>
      <c r="F332" s="105" t="s">
        <v>364</v>
      </c>
      <c r="H332" s="45" t="str">
        <f t="shared" si="15"/>
        <v>Fabijan – Vidaković – OK Kapela – M12</v>
      </c>
      <c r="J332" s="45" t="str">
        <f t="shared" si="16"/>
        <v>Fabijan – Vidaković – OK Kapela</v>
      </c>
      <c r="L332" s="45" t="str">
        <f t="shared" si="17"/>
        <v>Fabijan – Vidaković</v>
      </c>
      <c r="N332" s="103"/>
      <c r="O332" s="104"/>
      <c r="P332" s="105"/>
    </row>
    <row r="333" spans="2:16" x14ac:dyDescent="0.25">
      <c r="B333" s="103">
        <v>1259</v>
      </c>
      <c r="C333" s="104" t="s">
        <v>2815</v>
      </c>
      <c r="D333" s="104" t="s">
        <v>2814</v>
      </c>
      <c r="E333" s="104" t="s">
        <v>530</v>
      </c>
      <c r="F333" s="105" t="s">
        <v>2766</v>
      </c>
      <c r="H333" s="45" t="str">
        <f t="shared" si="15"/>
        <v>Majda – Vidaković – OK Kapela – Ž16</v>
      </c>
      <c r="J333" s="45" t="str">
        <f t="shared" si="16"/>
        <v>Majda – Vidaković – OK Kapela</v>
      </c>
      <c r="L333" s="45" t="str">
        <f t="shared" si="17"/>
        <v>Majda – Vidaković</v>
      </c>
      <c r="N333" s="103"/>
      <c r="O333" s="104"/>
      <c r="P333" s="105"/>
    </row>
    <row r="334" spans="2:16" x14ac:dyDescent="0.25">
      <c r="B334" s="103">
        <v>1398</v>
      </c>
      <c r="C334" s="104" t="s">
        <v>3951</v>
      </c>
      <c r="D334" s="104" t="s">
        <v>2814</v>
      </c>
      <c r="E334" s="104" t="s">
        <v>530</v>
      </c>
      <c r="F334" s="105" t="s">
        <v>1130</v>
      </c>
      <c r="H334" s="45" t="str">
        <f t="shared" si="15"/>
        <v>Zvonko – Vidaković – OK Kapela – M21B</v>
      </c>
      <c r="J334" s="45" t="str">
        <f t="shared" si="16"/>
        <v>Zvonko – Vidaković – OK Kapela</v>
      </c>
      <c r="L334" s="45" t="str">
        <f t="shared" si="17"/>
        <v>Zvonko – Vidaković</v>
      </c>
      <c r="N334" s="103"/>
      <c r="O334" s="104"/>
      <c r="P334" s="105"/>
    </row>
    <row r="335" spans="2:16" x14ac:dyDescent="0.25">
      <c r="B335" s="103">
        <v>1089</v>
      </c>
      <c r="C335" s="104" t="s">
        <v>1336</v>
      </c>
      <c r="D335" s="104" t="s">
        <v>1335</v>
      </c>
      <c r="E335" s="104" t="s">
        <v>530</v>
      </c>
      <c r="F335" s="105" t="s">
        <v>1130</v>
      </c>
      <c r="H335" s="45" t="str">
        <f t="shared" si="15"/>
        <v>Dario – Vodopija – OK Kapela – M21B</v>
      </c>
      <c r="J335" s="45" t="str">
        <f t="shared" si="16"/>
        <v>Dario – Vodopija – OK Kapela</v>
      </c>
      <c r="L335" s="45" t="str">
        <f t="shared" si="17"/>
        <v>Dario – Vodopija</v>
      </c>
      <c r="N335" s="103"/>
      <c r="O335" s="104"/>
      <c r="P335" s="105"/>
    </row>
    <row r="336" spans="2:16" x14ac:dyDescent="0.25">
      <c r="B336" s="103">
        <v>1498</v>
      </c>
      <c r="C336" s="104" t="s">
        <v>741</v>
      </c>
      <c r="D336" s="104" t="s">
        <v>1335</v>
      </c>
      <c r="E336" s="104" t="s">
        <v>530</v>
      </c>
      <c r="F336" s="105" t="s">
        <v>1575</v>
      </c>
      <c r="H336" s="45" t="str">
        <f t="shared" si="15"/>
        <v>Goran – Vodopija – OK Kapela – M35</v>
      </c>
      <c r="J336" s="45" t="str">
        <f t="shared" si="16"/>
        <v>Goran – Vodopija – OK Kapela</v>
      </c>
      <c r="L336" s="45" t="str">
        <f t="shared" si="17"/>
        <v>Goran – Vodopija</v>
      </c>
      <c r="N336" s="103"/>
      <c r="O336" s="104"/>
      <c r="P336" s="105"/>
    </row>
    <row r="337" spans="2:16" x14ac:dyDescent="0.25">
      <c r="B337" s="103">
        <v>1388</v>
      </c>
      <c r="C337" s="104" t="s">
        <v>1944</v>
      </c>
      <c r="D337" s="104" t="s">
        <v>1745</v>
      </c>
      <c r="E337" s="104" t="s">
        <v>530</v>
      </c>
      <c r="F337" s="105" t="s">
        <v>2195</v>
      </c>
      <c r="H337" s="45" t="str">
        <f t="shared" si="15"/>
        <v>Robert – Vuk – OK Kapela – M55</v>
      </c>
      <c r="J337" s="45" t="str">
        <f t="shared" si="16"/>
        <v>Robert – Vuk – OK Kapela</v>
      </c>
      <c r="L337" s="45" t="str">
        <f t="shared" si="17"/>
        <v>Robert – Vuk</v>
      </c>
      <c r="N337" s="103"/>
      <c r="O337" s="104"/>
      <c r="P337" s="105"/>
    </row>
    <row r="338" spans="2:16" x14ac:dyDescent="0.25">
      <c r="B338" s="103">
        <v>1053</v>
      </c>
      <c r="C338" s="104" t="s">
        <v>3484</v>
      </c>
      <c r="D338" s="104" t="s">
        <v>1745</v>
      </c>
      <c r="E338" s="104" t="s">
        <v>530</v>
      </c>
      <c r="F338" s="105" t="s">
        <v>3443</v>
      </c>
      <c r="H338" s="45" t="str">
        <f t="shared" si="15"/>
        <v>Srebrenka – Vuk – OK Kapela – Ž45</v>
      </c>
      <c r="J338" s="45" t="str">
        <f t="shared" si="16"/>
        <v>Srebrenka – Vuk – OK Kapela</v>
      </c>
      <c r="L338" s="45" t="str">
        <f t="shared" si="17"/>
        <v>Srebrenka – Vuk</v>
      </c>
      <c r="N338" s="103"/>
      <c r="O338" s="104"/>
      <c r="P338" s="105"/>
    </row>
    <row r="339" spans="2:16" x14ac:dyDescent="0.25">
      <c r="B339" s="103">
        <v>1960</v>
      </c>
      <c r="C339" s="104" t="s">
        <v>525</v>
      </c>
      <c r="D339" s="104" t="s">
        <v>2591</v>
      </c>
      <c r="E339" s="104" t="s">
        <v>530</v>
      </c>
      <c r="F339" s="105"/>
      <c r="H339" s="45" t="str">
        <f t="shared" si="15"/>
        <v>Martin – Vukmanović – OK Kapela</v>
      </c>
      <c r="J339" s="45" t="str">
        <f t="shared" si="16"/>
        <v>Martin – Vukmanović – OK Kapela</v>
      </c>
      <c r="L339" s="45" t="str">
        <f t="shared" si="17"/>
        <v>Martin – Vukmanović</v>
      </c>
      <c r="N339" s="103"/>
      <c r="O339" s="104"/>
      <c r="P339" s="105"/>
    </row>
    <row r="340" spans="2:16" x14ac:dyDescent="0.25">
      <c r="B340" s="103">
        <v>1075</v>
      </c>
      <c r="C340" s="104" t="s">
        <v>1524</v>
      </c>
      <c r="D340" s="104" t="s">
        <v>2591</v>
      </c>
      <c r="E340" s="104" t="s">
        <v>530</v>
      </c>
      <c r="F340" s="105" t="s">
        <v>1909</v>
      </c>
      <c r="H340" s="45" t="str">
        <f t="shared" si="15"/>
        <v>Mladen – Vukmanović – OK Kapela – M45</v>
      </c>
      <c r="J340" s="45" t="str">
        <f t="shared" si="16"/>
        <v>Mladen – Vukmanović – OK Kapela</v>
      </c>
      <c r="L340" s="45" t="str">
        <f t="shared" si="17"/>
        <v>Mladen – Vukmanović</v>
      </c>
      <c r="N340" s="103"/>
      <c r="O340" s="104"/>
      <c r="P340" s="105"/>
    </row>
    <row r="341" spans="2:16" x14ac:dyDescent="0.25">
      <c r="B341" s="103">
        <v>1094</v>
      </c>
      <c r="C341" s="104" t="s">
        <v>3012</v>
      </c>
      <c r="D341" s="104" t="s">
        <v>2591</v>
      </c>
      <c r="E341" s="104" t="s">
        <v>530</v>
      </c>
      <c r="F341" s="105" t="s">
        <v>3001</v>
      </c>
      <c r="H341" s="45" t="str">
        <f t="shared" si="15"/>
        <v>Vinka – Vukmanović – OK Kapela – Ž21A</v>
      </c>
      <c r="J341" s="45" t="str">
        <f t="shared" si="16"/>
        <v>Vinka – Vukmanović – OK Kapela</v>
      </c>
      <c r="L341" s="45" t="str">
        <f t="shared" si="17"/>
        <v>Vinka – Vukmanović</v>
      </c>
      <c r="N341" s="103"/>
      <c r="O341" s="104"/>
      <c r="P341" s="105"/>
    </row>
    <row r="342" spans="2:16" x14ac:dyDescent="0.25">
      <c r="B342" s="103">
        <v>1382</v>
      </c>
      <c r="C342" s="104" t="s">
        <v>3952</v>
      </c>
      <c r="D342" s="104" t="s">
        <v>3953</v>
      </c>
      <c r="E342" s="104" t="s">
        <v>530</v>
      </c>
      <c r="F342" s="105" t="s">
        <v>652</v>
      </c>
      <c r="H342" s="45" t="str">
        <f t="shared" si="15"/>
        <v>Bepo – Željem – OK Kapela – M16</v>
      </c>
      <c r="J342" s="45" t="str">
        <f t="shared" si="16"/>
        <v>Bepo – Željem – OK Kapela</v>
      </c>
      <c r="L342" s="45" t="str">
        <f t="shared" si="17"/>
        <v>Bepo – Željem</v>
      </c>
      <c r="N342" s="103"/>
      <c r="O342" s="104"/>
      <c r="P342" s="105"/>
    </row>
    <row r="343" spans="2:16" x14ac:dyDescent="0.25">
      <c r="B343" s="103">
        <v>1449</v>
      </c>
      <c r="C343" s="104" t="s">
        <v>3827</v>
      </c>
      <c r="D343" s="104" t="s">
        <v>3953</v>
      </c>
      <c r="E343" s="104" t="s">
        <v>530</v>
      </c>
      <c r="F343" s="105" t="s">
        <v>1130</v>
      </c>
      <c r="H343" s="45" t="str">
        <f t="shared" si="15"/>
        <v>Roko – Željem – OK Kapela – M21B</v>
      </c>
      <c r="J343" s="45" t="str">
        <f t="shared" si="16"/>
        <v>Roko – Željem – OK Kapela</v>
      </c>
      <c r="L343" s="45" t="str">
        <f t="shared" si="17"/>
        <v>Roko – Željem</v>
      </c>
      <c r="N343" s="103"/>
      <c r="O343" s="104"/>
      <c r="P343" s="105"/>
    </row>
    <row r="344" spans="2:16" x14ac:dyDescent="0.25">
      <c r="B344" s="103">
        <v>1061</v>
      </c>
      <c r="C344" s="104" t="s">
        <v>1955</v>
      </c>
      <c r="D344" s="104" t="s">
        <v>3954</v>
      </c>
      <c r="E344" s="104" t="s">
        <v>530</v>
      </c>
      <c r="F344" s="105" t="s">
        <v>1130</v>
      </c>
      <c r="H344" s="45" t="str">
        <f t="shared" si="15"/>
        <v>Vladimir – Ževrnja – OK Kapela – M21B</v>
      </c>
      <c r="J344" s="45" t="str">
        <f t="shared" si="16"/>
        <v>Vladimir – Ževrnja – OK Kapela</v>
      </c>
      <c r="L344" s="45" t="str">
        <f t="shared" si="17"/>
        <v>Vladimir – Ževrnja</v>
      </c>
      <c r="N344" s="103"/>
      <c r="O344" s="104"/>
      <c r="P344" s="105"/>
    </row>
    <row r="345" spans="2:16" x14ac:dyDescent="0.25">
      <c r="B345" s="103">
        <v>1275</v>
      </c>
      <c r="C345" s="104" t="s">
        <v>3955</v>
      </c>
      <c r="D345" s="104" t="s">
        <v>3956</v>
      </c>
      <c r="E345" s="104" t="s">
        <v>530</v>
      </c>
      <c r="F345" s="105" t="s">
        <v>3265</v>
      </c>
      <c r="H345" s="45" t="str">
        <f t="shared" si="15"/>
        <v>Marijana – Žgela Putniković – OK Kapela – Ž35</v>
      </c>
      <c r="J345" s="45" t="str">
        <f t="shared" si="16"/>
        <v>Marijana – Žgela Putniković – OK Kapela</v>
      </c>
      <c r="L345" s="45" t="str">
        <f t="shared" si="17"/>
        <v>Marijana – Žgela Putniković</v>
      </c>
      <c r="N345" s="103"/>
      <c r="O345" s="104"/>
      <c r="P345" s="105"/>
    </row>
    <row r="346" spans="2:16" x14ac:dyDescent="0.25">
      <c r="B346" s="103">
        <v>1950</v>
      </c>
      <c r="C346" s="104" t="s">
        <v>2448</v>
      </c>
      <c r="D346" s="104" t="s">
        <v>2447</v>
      </c>
      <c r="E346" s="104" t="s">
        <v>530</v>
      </c>
      <c r="F346" s="105"/>
      <c r="H346" s="45" t="str">
        <f t="shared" si="15"/>
        <v>Ivana – Žitnik – OK Kapela</v>
      </c>
      <c r="J346" s="45" t="str">
        <f t="shared" si="16"/>
        <v>Ivana – Žitnik – OK Kapela</v>
      </c>
      <c r="L346" s="45" t="str">
        <f t="shared" si="17"/>
        <v>Ivana – Žitnik</v>
      </c>
      <c r="N346" s="103"/>
      <c r="O346" s="104"/>
      <c r="P346" s="105"/>
    </row>
    <row r="347" spans="2:16" x14ac:dyDescent="0.25">
      <c r="B347" s="103">
        <v>1656</v>
      </c>
      <c r="C347" s="104" t="s">
        <v>3600</v>
      </c>
      <c r="D347" s="104" t="s">
        <v>3957</v>
      </c>
      <c r="E347" s="104" t="s">
        <v>456</v>
      </c>
      <c r="F347" s="105"/>
      <c r="H347" s="45" t="str">
        <f t="shared" si="15"/>
        <v>Sanja – Benaković – OK Maksimir</v>
      </c>
      <c r="J347" s="45" t="str">
        <f t="shared" si="16"/>
        <v>Sanja – Benaković – OK Maksimir</v>
      </c>
      <c r="L347" s="45" t="str">
        <f t="shared" si="17"/>
        <v>Sanja – Benaković</v>
      </c>
      <c r="N347" s="103"/>
      <c r="O347" s="104"/>
      <c r="P347" s="105"/>
    </row>
    <row r="348" spans="2:16" x14ac:dyDescent="0.25">
      <c r="B348" s="103">
        <v>1060</v>
      </c>
      <c r="C348" s="104" t="s">
        <v>2413</v>
      </c>
      <c r="D348" s="104" t="s">
        <v>2412</v>
      </c>
      <c r="E348" s="104" t="s">
        <v>456</v>
      </c>
      <c r="F348" s="105" t="s">
        <v>2403</v>
      </c>
      <c r="H348" s="45" t="str">
        <f t="shared" si="15"/>
        <v>Radovan – Čepelak – OK Maksimir – M70</v>
      </c>
      <c r="J348" s="45" t="str">
        <f t="shared" si="16"/>
        <v>Radovan – Čepelak – OK Maksimir</v>
      </c>
      <c r="L348" s="45" t="str">
        <f t="shared" si="17"/>
        <v>Radovan – Čepelak</v>
      </c>
      <c r="N348" s="103"/>
      <c r="O348" s="104"/>
      <c r="P348" s="105"/>
    </row>
    <row r="349" spans="2:16" x14ac:dyDescent="0.25">
      <c r="B349" s="103">
        <v>1062</v>
      </c>
      <c r="C349" s="104" t="s">
        <v>3310</v>
      </c>
      <c r="D349" s="104" t="s">
        <v>3309</v>
      </c>
      <c r="E349" s="104" t="s">
        <v>456</v>
      </c>
      <c r="F349" s="105" t="s">
        <v>3265</v>
      </c>
      <c r="H349" s="45" t="str">
        <f t="shared" si="15"/>
        <v>Fabiana – Cini – OK Maksimir – Ž35</v>
      </c>
      <c r="J349" s="45" t="str">
        <f t="shared" si="16"/>
        <v>Fabiana – Cini – OK Maksimir</v>
      </c>
      <c r="L349" s="45" t="str">
        <f t="shared" si="17"/>
        <v>Fabiana – Cini</v>
      </c>
      <c r="N349" s="103"/>
      <c r="O349" s="104"/>
      <c r="P349" s="105"/>
    </row>
    <row r="350" spans="2:16" x14ac:dyDescent="0.25">
      <c r="B350" s="103">
        <v>1593</v>
      </c>
      <c r="C350" s="104" t="s">
        <v>3743</v>
      </c>
      <c r="D350" s="104" t="s">
        <v>3958</v>
      </c>
      <c r="E350" s="104" t="s">
        <v>456</v>
      </c>
      <c r="F350" s="105"/>
      <c r="H350" s="45" t="str">
        <f t="shared" si="15"/>
        <v>Matej – Čović – OK Maksimir</v>
      </c>
      <c r="J350" s="45" t="str">
        <f t="shared" si="16"/>
        <v>Matej – Čović – OK Maksimir</v>
      </c>
      <c r="L350" s="45" t="str">
        <f t="shared" si="17"/>
        <v>Matej – Čović</v>
      </c>
      <c r="N350" s="103"/>
      <c r="O350" s="104"/>
      <c r="P350" s="105"/>
    </row>
    <row r="351" spans="2:16" x14ac:dyDescent="0.25">
      <c r="B351" s="103">
        <v>1354</v>
      </c>
      <c r="C351" s="104" t="s">
        <v>1524</v>
      </c>
      <c r="D351" s="104" t="s">
        <v>3959</v>
      </c>
      <c r="E351" s="104" t="s">
        <v>456</v>
      </c>
      <c r="F351" s="105" t="s">
        <v>2403</v>
      </c>
      <c r="H351" s="45" t="str">
        <f t="shared" si="15"/>
        <v>Mladen – Debić – OK Maksimir – M70</v>
      </c>
      <c r="J351" s="45" t="str">
        <f t="shared" si="16"/>
        <v>Mladen – Debić – OK Maksimir</v>
      </c>
      <c r="L351" s="45" t="str">
        <f t="shared" si="17"/>
        <v>Mladen – Debić</v>
      </c>
      <c r="N351" s="103"/>
      <c r="O351" s="104"/>
      <c r="P351" s="105"/>
    </row>
    <row r="352" spans="2:16" x14ac:dyDescent="0.25">
      <c r="B352" s="103">
        <v>1418</v>
      </c>
      <c r="C352" s="104" t="s">
        <v>453</v>
      </c>
      <c r="D352" s="104" t="s">
        <v>1592</v>
      </c>
      <c r="E352" s="104" t="s">
        <v>456</v>
      </c>
      <c r="F352" s="105" t="s">
        <v>1575</v>
      </c>
      <c r="H352" s="45" t="str">
        <f t="shared" si="15"/>
        <v>Petar – Delić – OK Maksimir – M35</v>
      </c>
      <c r="J352" s="45" t="str">
        <f t="shared" si="16"/>
        <v>Petar – Delić – OK Maksimir</v>
      </c>
      <c r="L352" s="45" t="str">
        <f t="shared" si="17"/>
        <v>Petar – Delić</v>
      </c>
      <c r="N352" s="103"/>
      <c r="O352" s="104"/>
      <c r="P352" s="105"/>
    </row>
    <row r="353" spans="2:16" x14ac:dyDescent="0.25">
      <c r="B353" s="103">
        <v>1369</v>
      </c>
      <c r="C353" s="104" t="s">
        <v>3960</v>
      </c>
      <c r="D353" s="104" t="s">
        <v>3961</v>
      </c>
      <c r="E353" s="104" t="s">
        <v>456</v>
      </c>
      <c r="F353" s="105" t="s">
        <v>3094</v>
      </c>
      <c r="H353" s="45" t="str">
        <f t="shared" si="15"/>
        <v>Doroteja – Držaić – OK Maksimir – Ž21B</v>
      </c>
      <c r="J353" s="45" t="str">
        <f t="shared" si="16"/>
        <v>Doroteja – Držaić – OK Maksimir</v>
      </c>
      <c r="L353" s="45" t="str">
        <f t="shared" si="17"/>
        <v>Doroteja – Držaić</v>
      </c>
      <c r="N353" s="103"/>
      <c r="O353" s="104"/>
      <c r="P353" s="105"/>
    </row>
    <row r="354" spans="2:16" x14ac:dyDescent="0.25">
      <c r="B354" s="103">
        <v>1618</v>
      </c>
      <c r="C354" s="104" t="s">
        <v>3962</v>
      </c>
      <c r="D354" s="104" t="s">
        <v>3963</v>
      </c>
      <c r="E354" s="104" t="s">
        <v>456</v>
      </c>
      <c r="F354" s="105"/>
      <c r="H354" s="45" t="str">
        <f t="shared" si="15"/>
        <v>Hanna – Fejzić – OK Maksimir</v>
      </c>
      <c r="J354" s="45" t="str">
        <f t="shared" si="16"/>
        <v>Hanna – Fejzić – OK Maksimir</v>
      </c>
      <c r="L354" s="45" t="str">
        <f t="shared" si="17"/>
        <v>Hanna – Fejzić</v>
      </c>
      <c r="N354" s="103"/>
      <c r="O354" s="104"/>
      <c r="P354" s="105"/>
    </row>
    <row r="355" spans="2:16" x14ac:dyDescent="0.25">
      <c r="B355" s="103">
        <v>1202</v>
      </c>
      <c r="C355" s="104" t="s">
        <v>3964</v>
      </c>
      <c r="D355" s="104" t="s">
        <v>3965</v>
      </c>
      <c r="E355" s="104" t="s">
        <v>456</v>
      </c>
      <c r="F355" s="105" t="s">
        <v>3001</v>
      </c>
      <c r="H355" s="45" t="str">
        <f t="shared" si="15"/>
        <v>Margaux Marthe Marie – Grioche – OK Maksimir – Ž21A</v>
      </c>
      <c r="J355" s="45" t="str">
        <f t="shared" si="16"/>
        <v>Margaux Marthe Marie – Grioche – OK Maksimir</v>
      </c>
      <c r="L355" s="45" t="str">
        <f t="shared" si="17"/>
        <v>Margaux Marthe Marie – Grioche</v>
      </c>
      <c r="N355" s="103"/>
      <c r="O355" s="104"/>
      <c r="P355" s="105"/>
    </row>
    <row r="356" spans="2:16" x14ac:dyDescent="0.25">
      <c r="B356" s="103">
        <v>1286</v>
      </c>
      <c r="C356" s="104" t="s">
        <v>3966</v>
      </c>
      <c r="D356" s="104" t="s">
        <v>3967</v>
      </c>
      <c r="E356" s="104" t="s">
        <v>456</v>
      </c>
      <c r="F356" s="105"/>
      <c r="H356" s="45" t="str">
        <f t="shared" si="15"/>
        <v>Tajana – Holjevac-Gagulić – OK Maksimir</v>
      </c>
      <c r="J356" s="45" t="str">
        <f t="shared" si="16"/>
        <v>Tajana – Holjevac-Gagulić – OK Maksimir</v>
      </c>
      <c r="L356" s="45" t="str">
        <f t="shared" si="17"/>
        <v>Tajana – Holjevac-Gagulić</v>
      </c>
      <c r="N356" s="103"/>
      <c r="O356" s="104"/>
      <c r="P356" s="105"/>
    </row>
    <row r="357" spans="2:16" x14ac:dyDescent="0.25">
      <c r="B357" s="103">
        <v>1130</v>
      </c>
      <c r="C357" s="104" t="s">
        <v>941</v>
      </c>
      <c r="D357" s="104" t="s">
        <v>940</v>
      </c>
      <c r="E357" s="104" t="s">
        <v>456</v>
      </c>
      <c r="F357" s="105" t="s">
        <v>886</v>
      </c>
      <c r="H357" s="45" t="str">
        <f t="shared" si="15"/>
        <v>Lobel – Horvat – OK Maksimir – M21A</v>
      </c>
      <c r="J357" s="45" t="str">
        <f t="shared" si="16"/>
        <v>Lobel – Horvat – OK Maksimir</v>
      </c>
      <c r="L357" s="45" t="str">
        <f t="shared" si="17"/>
        <v>Lobel – Horvat</v>
      </c>
      <c r="N357" s="103"/>
      <c r="O357" s="104"/>
      <c r="P357" s="105"/>
    </row>
    <row r="358" spans="2:16" x14ac:dyDescent="0.25">
      <c r="B358" s="103">
        <v>1959</v>
      </c>
      <c r="C358" s="104" t="s">
        <v>3239</v>
      </c>
      <c r="D358" s="104" t="s">
        <v>940</v>
      </c>
      <c r="E358" s="104" t="s">
        <v>456</v>
      </c>
      <c r="F358" s="105"/>
      <c r="H358" s="45" t="str">
        <f t="shared" si="15"/>
        <v>Martina – Horvat – OK Maksimir</v>
      </c>
      <c r="J358" s="45" t="str">
        <f t="shared" si="16"/>
        <v>Martina – Horvat – OK Maksimir</v>
      </c>
      <c r="L358" s="45" t="str">
        <f t="shared" si="17"/>
        <v>Martina – Horvat</v>
      </c>
      <c r="N358" s="103"/>
      <c r="O358" s="104"/>
      <c r="P358" s="105"/>
    </row>
    <row r="359" spans="2:16" x14ac:dyDescent="0.25">
      <c r="B359" s="103">
        <v>1515</v>
      </c>
      <c r="C359" s="104" t="s">
        <v>2623</v>
      </c>
      <c r="D359" s="104" t="s">
        <v>940</v>
      </c>
      <c r="E359" s="104" t="s">
        <v>456</v>
      </c>
      <c r="F359" s="105" t="s">
        <v>3443</v>
      </c>
      <c r="H359" s="45" t="str">
        <f t="shared" si="15"/>
        <v>Mirjana – Horvat – OK Maksimir – Ž45</v>
      </c>
      <c r="J359" s="45" t="str">
        <f t="shared" si="16"/>
        <v>Mirjana – Horvat – OK Maksimir</v>
      </c>
      <c r="L359" s="45" t="str">
        <f t="shared" si="17"/>
        <v>Mirjana – Horvat</v>
      </c>
      <c r="N359" s="103"/>
      <c r="O359" s="104"/>
      <c r="P359" s="105"/>
    </row>
    <row r="360" spans="2:16" x14ac:dyDescent="0.25">
      <c r="B360" s="103">
        <v>1109</v>
      </c>
      <c r="C360" s="104" t="s">
        <v>2226</v>
      </c>
      <c r="D360" s="104" t="s">
        <v>940</v>
      </c>
      <c r="E360" s="104" t="s">
        <v>456</v>
      </c>
      <c r="F360" s="105" t="s">
        <v>2195</v>
      </c>
      <c r="H360" s="45" t="str">
        <f t="shared" si="15"/>
        <v>Saša – Horvat – OK Maksimir – M55</v>
      </c>
      <c r="J360" s="45" t="str">
        <f t="shared" si="16"/>
        <v>Saša – Horvat – OK Maksimir</v>
      </c>
      <c r="L360" s="45" t="str">
        <f t="shared" si="17"/>
        <v>Saša – Horvat</v>
      </c>
      <c r="N360" s="103"/>
      <c r="O360" s="104"/>
      <c r="P360" s="105"/>
    </row>
    <row r="361" spans="2:16" x14ac:dyDescent="0.25">
      <c r="B361" s="103">
        <v>1223</v>
      </c>
      <c r="C361" s="104" t="s">
        <v>3968</v>
      </c>
      <c r="D361" s="104" t="s">
        <v>940</v>
      </c>
      <c r="E361" s="104" t="s">
        <v>456</v>
      </c>
      <c r="F361" s="105" t="s">
        <v>886</v>
      </c>
      <c r="H361" s="45" t="str">
        <f t="shared" si="15"/>
        <v>Vjeran – Horvat – OK Maksimir – M21A</v>
      </c>
      <c r="J361" s="45" t="str">
        <f t="shared" si="16"/>
        <v>Vjeran – Horvat – OK Maksimir</v>
      </c>
      <c r="L361" s="45" t="str">
        <f t="shared" si="17"/>
        <v>Vjeran – Horvat</v>
      </c>
      <c r="N361" s="103"/>
      <c r="O361" s="104"/>
      <c r="P361" s="105"/>
    </row>
    <row r="362" spans="2:16" x14ac:dyDescent="0.25">
      <c r="B362" s="103">
        <v>1372</v>
      </c>
      <c r="C362" s="104" t="s">
        <v>3462</v>
      </c>
      <c r="D362" s="104" t="s">
        <v>3461</v>
      </c>
      <c r="E362" s="104" t="s">
        <v>456</v>
      </c>
      <c r="F362" s="105" t="s">
        <v>3443</v>
      </c>
      <c r="H362" s="45" t="str">
        <f t="shared" si="15"/>
        <v>Mirka – Jakšić – OK Maksimir – Ž45</v>
      </c>
      <c r="J362" s="45" t="str">
        <f t="shared" si="16"/>
        <v>Mirka – Jakšić – OK Maksimir</v>
      </c>
      <c r="L362" s="45" t="str">
        <f t="shared" si="17"/>
        <v>Mirka – Jakšić</v>
      </c>
      <c r="N362" s="103"/>
      <c r="O362" s="104"/>
      <c r="P362" s="105"/>
    </row>
    <row r="363" spans="2:16" x14ac:dyDescent="0.25">
      <c r="B363" s="103">
        <v>1228</v>
      </c>
      <c r="C363" s="104" t="s">
        <v>3140</v>
      </c>
      <c r="D363" s="104" t="s">
        <v>3969</v>
      </c>
      <c r="E363" s="104" t="s">
        <v>456</v>
      </c>
      <c r="F363" s="105" t="s">
        <v>3443</v>
      </c>
      <c r="H363" s="45" t="str">
        <f t="shared" si="15"/>
        <v>Višnja – Kabalin Borenić – OK Maksimir – Ž45</v>
      </c>
      <c r="J363" s="45" t="str">
        <f t="shared" si="16"/>
        <v>Višnja – Kabalin Borenić – OK Maksimir</v>
      </c>
      <c r="L363" s="45" t="str">
        <f t="shared" si="17"/>
        <v>Višnja – Kabalin Borenić</v>
      </c>
      <c r="N363" s="103"/>
      <c r="O363" s="104"/>
      <c r="P363" s="105"/>
    </row>
    <row r="364" spans="2:16" x14ac:dyDescent="0.25">
      <c r="B364" s="103">
        <v>1404</v>
      </c>
      <c r="C364" s="104" t="s">
        <v>3970</v>
      </c>
      <c r="D364" s="104" t="s">
        <v>452</v>
      </c>
      <c r="E364" s="104" t="s">
        <v>456</v>
      </c>
      <c r="F364" s="105" t="s">
        <v>2637</v>
      </c>
      <c r="H364" s="45" t="str">
        <f t="shared" si="15"/>
        <v>Greta – Kaniški – OK Maksimir – Ž12</v>
      </c>
      <c r="J364" s="45" t="str">
        <f t="shared" si="16"/>
        <v>Greta – Kaniški – OK Maksimir</v>
      </c>
      <c r="L364" s="45" t="str">
        <f t="shared" si="17"/>
        <v>Greta – Kaniški</v>
      </c>
      <c r="N364" s="103"/>
      <c r="O364" s="104"/>
      <c r="P364" s="105"/>
    </row>
    <row r="365" spans="2:16" x14ac:dyDescent="0.25">
      <c r="B365" s="103">
        <v>1439</v>
      </c>
      <c r="C365" s="104" t="s">
        <v>3971</v>
      </c>
      <c r="D365" s="104" t="s">
        <v>452</v>
      </c>
      <c r="E365" s="104" t="s">
        <v>456</v>
      </c>
      <c r="F365" s="105" t="s">
        <v>2928</v>
      </c>
      <c r="H365" s="45" t="str">
        <f t="shared" si="15"/>
        <v>Laura – Kaniški – OK Maksimir – Ž20</v>
      </c>
      <c r="J365" s="45" t="str">
        <f t="shared" si="16"/>
        <v>Laura – Kaniški – OK Maksimir</v>
      </c>
      <c r="L365" s="45" t="str">
        <f t="shared" si="17"/>
        <v>Laura – Kaniški</v>
      </c>
      <c r="N365" s="103"/>
      <c r="O365" s="104"/>
      <c r="P365" s="105"/>
    </row>
    <row r="366" spans="2:16" x14ac:dyDescent="0.25">
      <c r="B366" s="103">
        <v>1321</v>
      </c>
      <c r="C366" s="104" t="s">
        <v>453</v>
      </c>
      <c r="D366" s="104" t="s">
        <v>452</v>
      </c>
      <c r="E366" s="104" t="s">
        <v>456</v>
      </c>
      <c r="F366" s="105" t="s">
        <v>364</v>
      </c>
      <c r="H366" s="45" t="str">
        <f t="shared" si="15"/>
        <v>Petar – Kaniški – OK Maksimir – M12</v>
      </c>
      <c r="J366" s="45" t="str">
        <f t="shared" si="16"/>
        <v>Petar – Kaniški – OK Maksimir</v>
      </c>
      <c r="L366" s="45" t="str">
        <f t="shared" si="17"/>
        <v>Petar – Kaniški</v>
      </c>
      <c r="N366" s="103"/>
      <c r="O366" s="104"/>
      <c r="P366" s="105"/>
    </row>
    <row r="367" spans="2:16" x14ac:dyDescent="0.25">
      <c r="B367" s="103">
        <v>1475</v>
      </c>
      <c r="C367" s="104" t="s">
        <v>1944</v>
      </c>
      <c r="D367" s="104" t="s">
        <v>452</v>
      </c>
      <c r="E367" s="104" t="s">
        <v>456</v>
      </c>
      <c r="F367" s="105" t="s">
        <v>1909</v>
      </c>
      <c r="H367" s="45" t="str">
        <f t="shared" si="15"/>
        <v>Robert – Kaniški – OK Maksimir – M45</v>
      </c>
      <c r="J367" s="45" t="str">
        <f t="shared" si="16"/>
        <v>Robert – Kaniški – OK Maksimir</v>
      </c>
      <c r="L367" s="45" t="str">
        <f t="shared" si="17"/>
        <v>Robert – Kaniški</v>
      </c>
      <c r="N367" s="103"/>
      <c r="O367" s="104"/>
      <c r="P367" s="105"/>
    </row>
    <row r="368" spans="2:16" x14ac:dyDescent="0.25">
      <c r="B368" s="103">
        <v>1138</v>
      </c>
      <c r="C368" s="104" t="s">
        <v>1029</v>
      </c>
      <c r="D368" s="104" t="s">
        <v>452</v>
      </c>
      <c r="E368" s="104" t="s">
        <v>456</v>
      </c>
      <c r="F368" s="105"/>
      <c r="H368" s="45" t="str">
        <f t="shared" si="15"/>
        <v>Tomislav – Kaniški – OK Maksimir</v>
      </c>
      <c r="J368" s="45" t="str">
        <f t="shared" si="16"/>
        <v>Tomislav – Kaniški – OK Maksimir</v>
      </c>
      <c r="L368" s="45" t="str">
        <f t="shared" si="17"/>
        <v>Tomislav – Kaniški</v>
      </c>
      <c r="N368" s="103"/>
      <c r="O368" s="104"/>
      <c r="P368" s="105"/>
    </row>
    <row r="369" spans="2:16" x14ac:dyDescent="0.25">
      <c r="B369" s="103">
        <v>1535</v>
      </c>
      <c r="C369" s="104" t="s">
        <v>1180</v>
      </c>
      <c r="D369" s="104" t="s">
        <v>3972</v>
      </c>
      <c r="E369" s="104" t="s">
        <v>456</v>
      </c>
      <c r="F369" s="105" t="s">
        <v>886</v>
      </c>
      <c r="H369" s="45" t="str">
        <f t="shared" si="15"/>
        <v>Dominik – Kirin – OK Maksimir – M21A</v>
      </c>
      <c r="J369" s="45" t="str">
        <f t="shared" si="16"/>
        <v>Dominik – Kirin – OK Maksimir</v>
      </c>
      <c r="L369" s="45" t="str">
        <f t="shared" si="17"/>
        <v>Dominik – Kirin</v>
      </c>
      <c r="N369" s="103"/>
      <c r="O369" s="104"/>
      <c r="P369" s="105"/>
    </row>
    <row r="370" spans="2:16" x14ac:dyDescent="0.25">
      <c r="B370" s="103">
        <v>1176</v>
      </c>
      <c r="C370" s="104" t="s">
        <v>1180</v>
      </c>
      <c r="D370" s="104" t="s">
        <v>1179</v>
      </c>
      <c r="E370" s="104" t="s">
        <v>456</v>
      </c>
      <c r="F370" s="105" t="s">
        <v>1130</v>
      </c>
      <c r="H370" s="45" t="str">
        <f t="shared" si="15"/>
        <v>Dominik – Klasić – OK Maksimir – M21B</v>
      </c>
      <c r="J370" s="45" t="str">
        <f t="shared" si="16"/>
        <v>Dominik – Klasić – OK Maksimir</v>
      </c>
      <c r="L370" s="45" t="str">
        <f t="shared" si="17"/>
        <v>Dominik – Klasić</v>
      </c>
      <c r="N370" s="103"/>
      <c r="O370" s="104"/>
      <c r="P370" s="105"/>
    </row>
    <row r="371" spans="2:16" x14ac:dyDescent="0.25">
      <c r="B371" s="103">
        <v>1337</v>
      </c>
      <c r="C371" s="104" t="s">
        <v>3973</v>
      </c>
      <c r="D371" s="104" t="s">
        <v>3974</v>
      </c>
      <c r="E371" s="104" t="s">
        <v>456</v>
      </c>
      <c r="F371" s="105" t="s">
        <v>3094</v>
      </c>
      <c r="H371" s="45" t="str">
        <f t="shared" si="15"/>
        <v>Kyra – Krahenbuhl – OK Maksimir – Ž21B</v>
      </c>
      <c r="J371" s="45" t="str">
        <f t="shared" si="16"/>
        <v>Kyra – Krahenbuhl – OK Maksimir</v>
      </c>
      <c r="L371" s="45" t="str">
        <f t="shared" si="17"/>
        <v>Kyra – Krahenbuhl</v>
      </c>
      <c r="N371" s="103"/>
      <c r="O371" s="104"/>
      <c r="P371" s="105"/>
    </row>
    <row r="372" spans="2:16" x14ac:dyDescent="0.25">
      <c r="B372" s="103">
        <v>1225</v>
      </c>
      <c r="C372" s="104" t="s">
        <v>3533</v>
      </c>
      <c r="D372" s="104" t="s">
        <v>3532</v>
      </c>
      <c r="E372" s="104" t="s">
        <v>456</v>
      </c>
      <c r="F372" s="105" t="s">
        <v>3443</v>
      </c>
      <c r="H372" s="45" t="str">
        <f t="shared" si="15"/>
        <v>Evelyn – Kraintz – OK Maksimir – Ž45</v>
      </c>
      <c r="J372" s="45" t="str">
        <f t="shared" si="16"/>
        <v>Evelyn – Kraintz – OK Maksimir</v>
      </c>
      <c r="L372" s="45" t="str">
        <f t="shared" si="17"/>
        <v>Evelyn – Kraintz</v>
      </c>
      <c r="N372" s="103"/>
      <c r="O372" s="104"/>
      <c r="P372" s="105"/>
    </row>
    <row r="373" spans="2:16" x14ac:dyDescent="0.25">
      <c r="B373" s="103">
        <v>1250</v>
      </c>
      <c r="C373" s="104" t="s">
        <v>3975</v>
      </c>
      <c r="D373" s="104" t="s">
        <v>3976</v>
      </c>
      <c r="E373" s="104" t="s">
        <v>456</v>
      </c>
      <c r="F373" s="105" t="s">
        <v>2367</v>
      </c>
      <c r="H373" s="45" t="str">
        <f t="shared" si="15"/>
        <v>Antun Zoran – Krivokapić – OK Maksimir – M65</v>
      </c>
      <c r="J373" s="45" t="str">
        <f t="shared" si="16"/>
        <v>Antun Zoran – Krivokapić – OK Maksimir</v>
      </c>
      <c r="L373" s="45" t="str">
        <f t="shared" si="17"/>
        <v>Antun Zoran – Krivokapić</v>
      </c>
      <c r="N373" s="103"/>
      <c r="O373" s="104"/>
      <c r="P373" s="105"/>
    </row>
    <row r="374" spans="2:16" x14ac:dyDescent="0.25">
      <c r="B374" s="103">
        <v>1655</v>
      </c>
      <c r="C374" s="104" t="s">
        <v>2623</v>
      </c>
      <c r="D374" s="104" t="s">
        <v>3977</v>
      </c>
      <c r="E374" s="104" t="s">
        <v>456</v>
      </c>
      <c r="F374" s="105"/>
      <c r="H374" s="45" t="str">
        <f t="shared" si="15"/>
        <v>Mirjana – Marchiotti – OK Maksimir</v>
      </c>
      <c r="J374" s="45" t="str">
        <f t="shared" si="16"/>
        <v>Mirjana – Marchiotti – OK Maksimir</v>
      </c>
      <c r="L374" s="45" t="str">
        <f t="shared" si="17"/>
        <v>Mirjana – Marchiotti</v>
      </c>
      <c r="N374" s="103"/>
      <c r="O374" s="104"/>
      <c r="P374" s="105"/>
    </row>
    <row r="375" spans="2:16" x14ac:dyDescent="0.25">
      <c r="B375" s="103">
        <v>1755</v>
      </c>
      <c r="C375" s="104" t="s">
        <v>3978</v>
      </c>
      <c r="D375" s="104" t="s">
        <v>3979</v>
      </c>
      <c r="E375" s="104" t="s">
        <v>456</v>
      </c>
      <c r="F375" s="105"/>
      <c r="H375" s="45" t="str">
        <f t="shared" si="15"/>
        <v>Asmir – Mašić – OK Maksimir</v>
      </c>
      <c r="J375" s="45" t="str">
        <f t="shared" si="16"/>
        <v>Asmir – Mašić – OK Maksimir</v>
      </c>
      <c r="L375" s="45" t="str">
        <f t="shared" si="17"/>
        <v>Asmir – Mašić</v>
      </c>
      <c r="N375" s="103"/>
      <c r="O375" s="104"/>
      <c r="P375" s="105"/>
    </row>
    <row r="376" spans="2:16" x14ac:dyDescent="0.25">
      <c r="B376" s="103">
        <v>1562</v>
      </c>
      <c r="C376" s="104" t="s">
        <v>2207</v>
      </c>
      <c r="D376" s="104" t="s">
        <v>2206</v>
      </c>
      <c r="E376" s="104" t="s">
        <v>456</v>
      </c>
      <c r="F376" s="105" t="s">
        <v>2195</v>
      </c>
      <c r="H376" s="45" t="str">
        <f t="shared" si="15"/>
        <v>Darko – Merunka – OK Maksimir – M55</v>
      </c>
      <c r="J376" s="45" t="str">
        <f t="shared" si="16"/>
        <v>Darko – Merunka – OK Maksimir</v>
      </c>
      <c r="L376" s="45" t="str">
        <f t="shared" si="17"/>
        <v>Darko – Merunka</v>
      </c>
      <c r="N376" s="103"/>
      <c r="O376" s="104"/>
      <c r="P376" s="105"/>
    </row>
    <row r="377" spans="2:16" x14ac:dyDescent="0.25">
      <c r="B377" s="103">
        <v>1608</v>
      </c>
      <c r="C377" s="104" t="s">
        <v>3980</v>
      </c>
      <c r="D377" s="104" t="s">
        <v>3981</v>
      </c>
      <c r="E377" s="104" t="s">
        <v>456</v>
      </c>
      <c r="F377" s="105"/>
      <c r="H377" s="45" t="str">
        <f t="shared" si="15"/>
        <v>Alan – Omerčić – OK Maksimir</v>
      </c>
      <c r="J377" s="45" t="str">
        <f t="shared" si="16"/>
        <v>Alan – Omerčić – OK Maksimir</v>
      </c>
      <c r="L377" s="45" t="str">
        <f t="shared" si="17"/>
        <v>Alan – Omerčić</v>
      </c>
      <c r="N377" s="103"/>
      <c r="O377" s="104"/>
      <c r="P377" s="105"/>
    </row>
    <row r="378" spans="2:16" x14ac:dyDescent="0.25">
      <c r="B378" s="103">
        <v>1617</v>
      </c>
      <c r="C378" s="104" t="s">
        <v>3844</v>
      </c>
      <c r="D378" s="104" t="s">
        <v>3981</v>
      </c>
      <c r="E378" s="104" t="s">
        <v>456</v>
      </c>
      <c r="F378" s="105"/>
      <c r="H378" s="45" t="str">
        <f t="shared" si="15"/>
        <v>Helena – Omerčić – OK Maksimir</v>
      </c>
      <c r="J378" s="45" t="str">
        <f t="shared" si="16"/>
        <v>Helena – Omerčić – OK Maksimir</v>
      </c>
      <c r="L378" s="45" t="str">
        <f t="shared" si="17"/>
        <v>Helena – Omerčić</v>
      </c>
      <c r="N378" s="103"/>
      <c r="O378" s="104"/>
      <c r="P378" s="105"/>
    </row>
    <row r="379" spans="2:16" x14ac:dyDescent="0.25">
      <c r="B379" s="103">
        <v>1351</v>
      </c>
      <c r="C379" s="104" t="s">
        <v>3982</v>
      </c>
      <c r="D379" s="104" t="s">
        <v>3983</v>
      </c>
      <c r="E379" s="104" t="s">
        <v>456</v>
      </c>
      <c r="F379" s="105"/>
      <c r="H379" s="45" t="str">
        <f t="shared" si="15"/>
        <v>Lorena – Orešković – OK Maksimir</v>
      </c>
      <c r="J379" s="45" t="str">
        <f t="shared" si="16"/>
        <v>Lorena – Orešković – OK Maksimir</v>
      </c>
      <c r="L379" s="45" t="str">
        <f t="shared" si="17"/>
        <v>Lorena – Orešković</v>
      </c>
      <c r="N379" s="103"/>
      <c r="O379" s="104"/>
      <c r="P379" s="105"/>
    </row>
    <row r="380" spans="2:16" x14ac:dyDescent="0.25">
      <c r="B380" s="103">
        <v>1965</v>
      </c>
      <c r="C380" s="104" t="s">
        <v>3984</v>
      </c>
      <c r="D380" s="104" t="s">
        <v>3985</v>
      </c>
      <c r="E380" s="104" t="s">
        <v>456</v>
      </c>
      <c r="F380" s="105"/>
      <c r="H380" s="45" t="str">
        <f t="shared" si="15"/>
        <v>Florian – Pigac – OK Maksimir</v>
      </c>
      <c r="J380" s="45" t="str">
        <f t="shared" si="16"/>
        <v>Florian – Pigac – OK Maksimir</v>
      </c>
      <c r="L380" s="45" t="str">
        <f t="shared" si="17"/>
        <v>Florian – Pigac</v>
      </c>
      <c r="N380" s="103"/>
      <c r="O380" s="104"/>
      <c r="P380" s="105"/>
    </row>
    <row r="381" spans="2:16" x14ac:dyDescent="0.25">
      <c r="B381" s="103">
        <v>1949</v>
      </c>
      <c r="C381" s="104" t="s">
        <v>1547</v>
      </c>
      <c r="D381" s="104" t="s">
        <v>3986</v>
      </c>
      <c r="E381" s="104" t="s">
        <v>456</v>
      </c>
      <c r="F381" s="105"/>
      <c r="H381" s="45" t="str">
        <f t="shared" si="15"/>
        <v>Ante – Raguž – OK Maksimir</v>
      </c>
      <c r="J381" s="45" t="str">
        <f t="shared" si="16"/>
        <v>Ante – Raguž – OK Maksimir</v>
      </c>
      <c r="L381" s="45" t="str">
        <f t="shared" si="17"/>
        <v>Ante – Raguž</v>
      </c>
      <c r="N381" s="103"/>
      <c r="O381" s="104"/>
      <c r="P381" s="105"/>
    </row>
    <row r="382" spans="2:16" x14ac:dyDescent="0.25">
      <c r="B382" s="103">
        <v>1137</v>
      </c>
      <c r="C382" s="104" t="s">
        <v>3816</v>
      </c>
      <c r="D382" s="104" t="s">
        <v>3987</v>
      </c>
      <c r="E382" s="104" t="s">
        <v>456</v>
      </c>
      <c r="F382" s="105" t="s">
        <v>3265</v>
      </c>
      <c r="H382" s="45" t="str">
        <f t="shared" si="15"/>
        <v>Dunja – Riet, van de – OK Maksimir – Ž35</v>
      </c>
      <c r="J382" s="45" t="str">
        <f t="shared" si="16"/>
        <v>Dunja – Riet, van de – OK Maksimir</v>
      </c>
      <c r="L382" s="45" t="str">
        <f t="shared" si="17"/>
        <v>Dunja – Riet, van de</v>
      </c>
      <c r="N382" s="103"/>
      <c r="O382" s="104"/>
      <c r="P382" s="105"/>
    </row>
    <row r="383" spans="2:16" x14ac:dyDescent="0.25">
      <c r="B383" s="103">
        <v>1014</v>
      </c>
      <c r="C383" s="104" t="s">
        <v>3988</v>
      </c>
      <c r="D383" s="104" t="s">
        <v>3987</v>
      </c>
      <c r="E383" s="104" t="s">
        <v>456</v>
      </c>
      <c r="F383" s="105"/>
      <c r="H383" s="45" t="str">
        <f t="shared" si="15"/>
        <v>Gerrit – Riet, van de – OK Maksimir</v>
      </c>
      <c r="J383" s="45" t="str">
        <f t="shared" si="16"/>
        <v>Gerrit – Riet, van de – OK Maksimir</v>
      </c>
      <c r="L383" s="45" t="str">
        <f t="shared" si="17"/>
        <v>Gerrit – Riet, van de</v>
      </c>
      <c r="N383" s="103"/>
      <c r="O383" s="104"/>
      <c r="P383" s="105"/>
    </row>
    <row r="384" spans="2:16" x14ac:dyDescent="0.25">
      <c r="B384" s="103">
        <v>1520</v>
      </c>
      <c r="C384" s="104" t="s">
        <v>3989</v>
      </c>
      <c r="D384" s="104" t="s">
        <v>3990</v>
      </c>
      <c r="E384" s="104" t="s">
        <v>456</v>
      </c>
      <c r="F384" s="105" t="s">
        <v>1909</v>
      </c>
      <c r="H384" s="45" t="str">
        <f t="shared" si="15"/>
        <v>Radenko – Romanović – OK Maksimir – M45</v>
      </c>
      <c r="J384" s="45" t="str">
        <f t="shared" si="16"/>
        <v>Radenko – Romanović – OK Maksimir</v>
      </c>
      <c r="L384" s="45" t="str">
        <f t="shared" si="17"/>
        <v>Radenko – Romanović</v>
      </c>
      <c r="N384" s="103"/>
      <c r="O384" s="104"/>
      <c r="P384" s="105"/>
    </row>
    <row r="385" spans="2:16" x14ac:dyDescent="0.25">
      <c r="B385" s="103">
        <v>1383</v>
      </c>
      <c r="C385" s="104" t="s">
        <v>2525</v>
      </c>
      <c r="D385" s="104" t="s">
        <v>3991</v>
      </c>
      <c r="E385" s="104" t="s">
        <v>456</v>
      </c>
      <c r="F385" s="105" t="s">
        <v>3001</v>
      </c>
      <c r="H385" s="45" t="str">
        <f t="shared" si="15"/>
        <v>Nika – Sakar – OK Maksimir – Ž21A</v>
      </c>
      <c r="J385" s="45" t="str">
        <f t="shared" si="16"/>
        <v>Nika – Sakar – OK Maksimir</v>
      </c>
      <c r="L385" s="45" t="str">
        <f t="shared" si="17"/>
        <v>Nika – Sakar</v>
      </c>
      <c r="N385" s="103"/>
      <c r="O385" s="104"/>
      <c r="P385" s="105"/>
    </row>
    <row r="386" spans="2:16" x14ac:dyDescent="0.25">
      <c r="B386" s="103">
        <v>1345</v>
      </c>
      <c r="C386" s="104" t="s">
        <v>3788</v>
      </c>
      <c r="D386" s="104" t="s">
        <v>3992</v>
      </c>
      <c r="E386" s="104" t="s">
        <v>456</v>
      </c>
      <c r="F386" s="105" t="s">
        <v>3001</v>
      </c>
      <c r="H386" s="45" t="str">
        <f t="shared" si="15"/>
        <v>Tena – Sakar Vukić – OK Maksimir – Ž21A</v>
      </c>
      <c r="J386" s="45" t="str">
        <f t="shared" si="16"/>
        <v>Tena – Sakar Vukić – OK Maksimir</v>
      </c>
      <c r="L386" s="45" t="str">
        <f t="shared" si="17"/>
        <v>Tena – Sakar Vukić</v>
      </c>
      <c r="N386" s="103"/>
      <c r="O386" s="104"/>
      <c r="P386" s="105"/>
    </row>
    <row r="387" spans="2:16" x14ac:dyDescent="0.25">
      <c r="B387" s="103">
        <v>1937</v>
      </c>
      <c r="C387" s="104" t="s">
        <v>1336</v>
      </c>
      <c r="D387" s="104" t="s">
        <v>2457</v>
      </c>
      <c r="E387" s="104" t="s">
        <v>456</v>
      </c>
      <c r="F387" s="105" t="s">
        <v>1130</v>
      </c>
      <c r="H387" s="45" t="str">
        <f t="shared" si="15"/>
        <v>Dario – Šimatić – OK Maksimir – M21B</v>
      </c>
      <c r="J387" s="45" t="str">
        <f t="shared" si="16"/>
        <v>Dario – Šimatić – OK Maksimir</v>
      </c>
      <c r="L387" s="45" t="str">
        <f t="shared" si="17"/>
        <v>Dario – Šimatić</v>
      </c>
      <c r="N387" s="103"/>
      <c r="O387" s="104"/>
      <c r="P387" s="105"/>
    </row>
    <row r="388" spans="2:16" x14ac:dyDescent="0.25">
      <c r="B388" s="103">
        <v>1134</v>
      </c>
      <c r="C388" s="104" t="s">
        <v>3993</v>
      </c>
      <c r="D388" s="104" t="s">
        <v>3994</v>
      </c>
      <c r="E388" s="104" t="s">
        <v>456</v>
      </c>
      <c r="F388" s="105" t="s">
        <v>1909</v>
      </c>
      <c r="H388" s="45" t="str">
        <f t="shared" si="15"/>
        <v>Andrej – Smerke – OK Maksimir – M45</v>
      </c>
      <c r="J388" s="45" t="str">
        <f t="shared" si="16"/>
        <v>Andrej – Smerke – OK Maksimir</v>
      </c>
      <c r="L388" s="45" t="str">
        <f t="shared" si="17"/>
        <v>Andrej – Smerke</v>
      </c>
      <c r="N388" s="103"/>
      <c r="O388" s="104"/>
      <c r="P388" s="105"/>
    </row>
    <row r="389" spans="2:16" x14ac:dyDescent="0.25">
      <c r="B389" s="103">
        <v>1143</v>
      </c>
      <c r="C389" s="104" t="s">
        <v>3995</v>
      </c>
      <c r="D389" s="104" t="s">
        <v>2191</v>
      </c>
      <c r="E389" s="104" t="s">
        <v>456</v>
      </c>
      <c r="F389" s="105" t="s">
        <v>886</v>
      </c>
      <c r="H389" s="45" t="str">
        <f t="shared" si="15"/>
        <v>Andro Vladimir – Štambuk – OK Maksimir – M21A</v>
      </c>
      <c r="J389" s="45" t="str">
        <f t="shared" si="16"/>
        <v>Andro Vladimir – Štambuk – OK Maksimir</v>
      </c>
      <c r="L389" s="45" t="str">
        <f t="shared" si="17"/>
        <v>Andro Vladimir – Štambuk</v>
      </c>
      <c r="N389" s="103"/>
      <c r="O389" s="104"/>
      <c r="P389" s="105"/>
    </row>
    <row r="390" spans="2:16" x14ac:dyDescent="0.25">
      <c r="B390" s="103">
        <v>1158</v>
      </c>
      <c r="C390" s="104" t="s">
        <v>2485</v>
      </c>
      <c r="D390" s="104" t="s">
        <v>2191</v>
      </c>
      <c r="E390" s="104" t="s">
        <v>456</v>
      </c>
      <c r="F390" s="105" t="s">
        <v>3001</v>
      </c>
      <c r="H390" s="45" t="str">
        <f t="shared" si="15"/>
        <v>Iva – Štambuk – OK Maksimir – Ž21A</v>
      </c>
      <c r="J390" s="45" t="str">
        <f t="shared" si="16"/>
        <v>Iva – Štambuk – OK Maksimir</v>
      </c>
      <c r="L390" s="45" t="str">
        <f t="shared" si="17"/>
        <v>Iva – Štambuk</v>
      </c>
      <c r="N390" s="103"/>
      <c r="O390" s="104"/>
      <c r="P390" s="105"/>
    </row>
    <row r="391" spans="2:16" x14ac:dyDescent="0.25">
      <c r="B391" s="103">
        <v>1349</v>
      </c>
      <c r="C391" s="104" t="s">
        <v>405</v>
      </c>
      <c r="D391" s="104" t="s">
        <v>2191</v>
      </c>
      <c r="E391" s="104" t="s">
        <v>456</v>
      </c>
      <c r="F391" s="105" t="s">
        <v>886</v>
      </c>
      <c r="H391" s="45" t="str">
        <f t="shared" si="15"/>
        <v>Mario – Štambuk – OK Maksimir – M21A</v>
      </c>
      <c r="J391" s="45" t="str">
        <f t="shared" si="16"/>
        <v>Mario – Štambuk – OK Maksimir</v>
      </c>
      <c r="L391" s="45" t="str">
        <f t="shared" si="17"/>
        <v>Mario – Štambuk</v>
      </c>
      <c r="N391" s="103"/>
      <c r="O391" s="104"/>
      <c r="P391" s="105"/>
    </row>
    <row r="392" spans="2:16" x14ac:dyDescent="0.25">
      <c r="B392" s="103">
        <v>1257</v>
      </c>
      <c r="C392" s="104" t="s">
        <v>453</v>
      </c>
      <c r="D392" s="104" t="s">
        <v>670</v>
      </c>
      <c r="E392" s="104" t="s">
        <v>456</v>
      </c>
      <c r="F392" s="105" t="s">
        <v>2195</v>
      </c>
      <c r="H392" s="45" t="str">
        <f t="shared" si="15"/>
        <v>Petar – Strmečki – OK Maksimir – M55</v>
      </c>
      <c r="J392" s="45" t="str">
        <f t="shared" si="16"/>
        <v>Petar – Strmečki – OK Maksimir</v>
      </c>
      <c r="L392" s="45" t="str">
        <f t="shared" si="17"/>
        <v>Petar – Strmečki</v>
      </c>
      <c r="N392" s="103"/>
      <c r="O392" s="104"/>
      <c r="P392" s="105"/>
    </row>
    <row r="393" spans="2:16" x14ac:dyDescent="0.25">
      <c r="B393" s="103">
        <v>1165</v>
      </c>
      <c r="C393" s="104" t="s">
        <v>671</v>
      </c>
      <c r="D393" s="104" t="s">
        <v>670</v>
      </c>
      <c r="E393" s="104" t="s">
        <v>456</v>
      </c>
      <c r="F393" s="105" t="s">
        <v>652</v>
      </c>
      <c r="H393" s="45" t="str">
        <f t="shared" si="15"/>
        <v>Vibor – Strmečki – OK Maksimir – M16</v>
      </c>
      <c r="J393" s="45" t="str">
        <f t="shared" si="16"/>
        <v>Vibor – Strmečki – OK Maksimir</v>
      </c>
      <c r="L393" s="45" t="str">
        <f t="shared" si="17"/>
        <v>Vibor – Strmečki</v>
      </c>
      <c r="N393" s="103"/>
      <c r="O393" s="104"/>
      <c r="P393" s="105"/>
    </row>
    <row r="394" spans="2:16" x14ac:dyDescent="0.25">
      <c r="B394" s="103">
        <v>1276</v>
      </c>
      <c r="C394" s="104" t="s">
        <v>2437</v>
      </c>
      <c r="D394" s="104" t="s">
        <v>2020</v>
      </c>
      <c r="E394" s="104" t="s">
        <v>456</v>
      </c>
      <c r="F394" s="105" t="s">
        <v>3001</v>
      </c>
      <c r="H394" s="45" t="str">
        <f t="shared" si="15"/>
        <v>Ana – Tišljar – OK Maksimir – Ž21A</v>
      </c>
      <c r="J394" s="45" t="str">
        <f t="shared" si="16"/>
        <v>Ana – Tišljar – OK Maksimir</v>
      </c>
      <c r="L394" s="45" t="str">
        <f t="shared" si="17"/>
        <v>Ana – Tišljar</v>
      </c>
      <c r="N394" s="103"/>
      <c r="O394" s="104"/>
      <c r="P394" s="105"/>
    </row>
    <row r="395" spans="2:16" x14ac:dyDescent="0.25">
      <c r="B395" s="103">
        <v>1556</v>
      </c>
      <c r="C395" s="104" t="s">
        <v>1321</v>
      </c>
      <c r="D395" s="104" t="s">
        <v>3996</v>
      </c>
      <c r="E395" s="104" t="s">
        <v>456</v>
      </c>
      <c r="F395" s="105" t="s">
        <v>2403</v>
      </c>
      <c r="H395" s="45" t="str">
        <f t="shared" ref="H395:H458" si="18">IF(C395="","",C395) &amp; IF(D395="",""," – " &amp; D395) &amp; IF(E395="",""," – " &amp; E395) &amp; IF(F395="",""," – " &amp; F395)</f>
        <v>Željko – Ulip – OK Maksimir – M70</v>
      </c>
      <c r="J395" s="45" t="str">
        <f t="shared" ref="J395:J458" si="19">IF(C395="","",C395) &amp; IF(D395="",""," – " &amp; D395) &amp; IF(E395="",""," – " &amp; E395)</f>
        <v>Željko – Ulip – OK Maksimir</v>
      </c>
      <c r="L395" s="45" t="str">
        <f t="shared" ref="L395:L458" si="20">IF(C395="","",C395) &amp; IF(D395="",""," – " &amp; D395)</f>
        <v>Željko – Ulip</v>
      </c>
      <c r="N395" s="103"/>
      <c r="O395" s="104"/>
      <c r="P395" s="105"/>
    </row>
    <row r="396" spans="2:16" x14ac:dyDescent="0.25">
      <c r="B396" s="103">
        <v>1407</v>
      </c>
      <c r="C396" s="104" t="s">
        <v>3997</v>
      </c>
      <c r="D396" s="104" t="s">
        <v>3998</v>
      </c>
      <c r="E396" s="104" t="s">
        <v>456</v>
      </c>
      <c r="F396" s="105" t="s">
        <v>1909</v>
      </c>
      <c r="H396" s="45" t="str">
        <f t="shared" si="18"/>
        <v>Milivoj – Uroić – OK Maksimir – M45</v>
      </c>
      <c r="J396" s="45" t="str">
        <f t="shared" si="19"/>
        <v>Milivoj – Uroić – OK Maksimir</v>
      </c>
      <c r="L396" s="45" t="str">
        <f t="shared" si="20"/>
        <v>Milivoj – Uroić</v>
      </c>
      <c r="N396" s="103"/>
      <c r="O396" s="104"/>
      <c r="P396" s="105"/>
    </row>
    <row r="397" spans="2:16" x14ac:dyDescent="0.25">
      <c r="B397" s="103">
        <v>1456</v>
      </c>
      <c r="C397" s="104" t="s">
        <v>3999</v>
      </c>
      <c r="D397" s="104" t="s">
        <v>4000</v>
      </c>
      <c r="E397" s="104" t="s">
        <v>456</v>
      </c>
      <c r="F397" s="105" t="s">
        <v>2637</v>
      </c>
      <c r="H397" s="45" t="str">
        <f t="shared" si="18"/>
        <v>Beatrice – Velimirović – OK Maksimir – Ž12</v>
      </c>
      <c r="J397" s="45" t="str">
        <f t="shared" si="19"/>
        <v>Beatrice – Velimirović – OK Maksimir</v>
      </c>
      <c r="L397" s="45" t="str">
        <f t="shared" si="20"/>
        <v>Beatrice – Velimirović</v>
      </c>
      <c r="N397" s="103"/>
      <c r="O397" s="104"/>
      <c r="P397" s="105"/>
    </row>
    <row r="398" spans="2:16" x14ac:dyDescent="0.25">
      <c r="B398" s="103">
        <v>1485</v>
      </c>
      <c r="C398" s="104" t="s">
        <v>4001</v>
      </c>
      <c r="D398" s="104" t="s">
        <v>4000</v>
      </c>
      <c r="E398" s="104" t="s">
        <v>456</v>
      </c>
      <c r="F398" s="105" t="s">
        <v>2637</v>
      </c>
      <c r="H398" s="45" t="str">
        <f t="shared" si="18"/>
        <v>Vittoria – Velimirović – OK Maksimir – Ž12</v>
      </c>
      <c r="J398" s="45" t="str">
        <f t="shared" si="19"/>
        <v>Vittoria – Velimirović – OK Maksimir</v>
      </c>
      <c r="L398" s="45" t="str">
        <f t="shared" si="20"/>
        <v>Vittoria – Velimirović</v>
      </c>
      <c r="N398" s="103"/>
      <c r="O398" s="104"/>
      <c r="P398" s="105"/>
    </row>
    <row r="399" spans="2:16" x14ac:dyDescent="0.25">
      <c r="B399" s="103">
        <v>1878</v>
      </c>
      <c r="C399" s="104" t="s">
        <v>3262</v>
      </c>
      <c r="D399" s="104" t="s">
        <v>3677</v>
      </c>
      <c r="E399" s="104" t="s">
        <v>456</v>
      </c>
      <c r="F399" s="105" t="s">
        <v>3680</v>
      </c>
      <c r="H399" s="45" t="str">
        <f t="shared" si="18"/>
        <v>Željka – Vendler Čepelak – OK Maksimir – Ž65</v>
      </c>
      <c r="J399" s="45" t="str">
        <f t="shared" si="19"/>
        <v>Željka – Vendler Čepelak – OK Maksimir</v>
      </c>
      <c r="L399" s="45" t="str">
        <f t="shared" si="20"/>
        <v>Željka – Vendler Čepelak</v>
      </c>
      <c r="N399" s="103"/>
      <c r="O399" s="104"/>
      <c r="P399" s="105"/>
    </row>
    <row r="400" spans="2:16" x14ac:dyDescent="0.25">
      <c r="B400" s="103">
        <v>1313</v>
      </c>
      <c r="C400" s="104" t="s">
        <v>1968</v>
      </c>
      <c r="D400" s="104" t="s">
        <v>728</v>
      </c>
      <c r="E400" s="104" t="s">
        <v>456</v>
      </c>
      <c r="F400" s="105" t="s">
        <v>1909</v>
      </c>
      <c r="H400" s="45" t="str">
        <f t="shared" si="18"/>
        <v>Bojan – Vukelić – OK Maksimir – M45</v>
      </c>
      <c r="J400" s="45" t="str">
        <f t="shared" si="19"/>
        <v>Bojan – Vukelić – OK Maksimir</v>
      </c>
      <c r="L400" s="45" t="str">
        <f t="shared" si="20"/>
        <v>Bojan – Vukelić</v>
      </c>
      <c r="N400" s="103"/>
      <c r="O400" s="104"/>
      <c r="P400" s="105"/>
    </row>
    <row r="401" spans="2:16" x14ac:dyDescent="0.25">
      <c r="B401" s="103">
        <v>1442</v>
      </c>
      <c r="C401" s="104" t="s">
        <v>2647</v>
      </c>
      <c r="D401" s="104" t="s">
        <v>728</v>
      </c>
      <c r="E401" s="104" t="s">
        <v>456</v>
      </c>
      <c r="F401" s="105" t="s">
        <v>2766</v>
      </c>
      <c r="H401" s="45" t="str">
        <f t="shared" si="18"/>
        <v>Dora – Vukelić – OK Maksimir – Ž16</v>
      </c>
      <c r="J401" s="45" t="str">
        <f t="shared" si="19"/>
        <v>Dora – Vukelić – OK Maksimir</v>
      </c>
      <c r="L401" s="45" t="str">
        <f t="shared" si="20"/>
        <v>Dora – Vukelić</v>
      </c>
      <c r="N401" s="103"/>
      <c r="O401" s="104"/>
      <c r="P401" s="105"/>
    </row>
    <row r="402" spans="2:16" x14ac:dyDescent="0.25">
      <c r="B402" s="103">
        <v>1170</v>
      </c>
      <c r="C402" s="104" t="s">
        <v>729</v>
      </c>
      <c r="D402" s="104" t="s">
        <v>728</v>
      </c>
      <c r="E402" s="104" t="s">
        <v>456</v>
      </c>
      <c r="F402" s="105" t="s">
        <v>652</v>
      </c>
      <c r="H402" s="45" t="str">
        <f t="shared" si="18"/>
        <v>Juraj – Vukelić – OK Maksimir – M16</v>
      </c>
      <c r="J402" s="45" t="str">
        <f t="shared" si="19"/>
        <v>Juraj – Vukelić – OK Maksimir</v>
      </c>
      <c r="L402" s="45" t="str">
        <f t="shared" si="20"/>
        <v>Juraj – Vukelić</v>
      </c>
      <c r="N402" s="103"/>
      <c r="O402" s="104"/>
      <c r="P402" s="105"/>
    </row>
    <row r="403" spans="2:16" x14ac:dyDescent="0.25">
      <c r="B403" s="103">
        <v>1091</v>
      </c>
      <c r="C403" s="104" t="s">
        <v>3827</v>
      </c>
      <c r="D403" s="104" t="s">
        <v>4002</v>
      </c>
      <c r="E403" s="104" t="s">
        <v>456</v>
      </c>
      <c r="F403" s="105" t="s">
        <v>364</v>
      </c>
      <c r="H403" s="45" t="str">
        <f t="shared" si="18"/>
        <v>Roko – Vukić – OK Maksimir – M12</v>
      </c>
      <c r="J403" s="45" t="str">
        <f t="shared" si="19"/>
        <v>Roko – Vukić – OK Maksimir</v>
      </c>
      <c r="L403" s="45" t="str">
        <f t="shared" si="20"/>
        <v>Roko – Vukić</v>
      </c>
      <c r="N403" s="103"/>
      <c r="O403" s="104"/>
      <c r="P403" s="105"/>
    </row>
    <row r="404" spans="2:16" x14ac:dyDescent="0.25">
      <c r="B404" s="103">
        <v>1078</v>
      </c>
      <c r="C404" s="104" t="s">
        <v>1321</v>
      </c>
      <c r="D404" s="104" t="s">
        <v>4003</v>
      </c>
      <c r="E404" s="104" t="s">
        <v>3730</v>
      </c>
      <c r="F404" s="105" t="s">
        <v>1909</v>
      </c>
      <c r="H404" s="45" t="str">
        <f t="shared" si="18"/>
        <v>Željko – Antolić – OK Međimurje – M45</v>
      </c>
      <c r="J404" s="45" t="str">
        <f t="shared" si="19"/>
        <v>Željko – Antolić – OK Međimurje</v>
      </c>
      <c r="L404" s="45" t="str">
        <f t="shared" si="20"/>
        <v>Željko – Antolić</v>
      </c>
      <c r="N404" s="103"/>
      <c r="O404" s="104"/>
      <c r="P404" s="105"/>
    </row>
    <row r="405" spans="2:16" x14ac:dyDescent="0.25">
      <c r="B405" s="103">
        <v>1192</v>
      </c>
      <c r="C405" s="104" t="s">
        <v>509</v>
      </c>
      <c r="D405" s="104" t="s">
        <v>4004</v>
      </c>
      <c r="E405" s="104" t="s">
        <v>3730</v>
      </c>
      <c r="F405" s="105" t="s">
        <v>886</v>
      </c>
      <c r="H405" s="45" t="str">
        <f t="shared" si="18"/>
        <v>Luka – Bahun – OK Međimurje – M21A</v>
      </c>
      <c r="J405" s="45" t="str">
        <f t="shared" si="19"/>
        <v>Luka – Bahun – OK Međimurje</v>
      </c>
      <c r="L405" s="45" t="str">
        <f t="shared" si="20"/>
        <v>Luka – Bahun</v>
      </c>
      <c r="N405" s="103"/>
      <c r="O405" s="104"/>
      <c r="P405" s="105"/>
    </row>
    <row r="406" spans="2:16" x14ac:dyDescent="0.25">
      <c r="B406" s="103">
        <v>1196</v>
      </c>
      <c r="C406" s="104" t="s">
        <v>1944</v>
      </c>
      <c r="D406" s="104" t="s">
        <v>4005</v>
      </c>
      <c r="E406" s="104" t="s">
        <v>3730</v>
      </c>
      <c r="F406" s="105" t="s">
        <v>1130</v>
      </c>
      <c r="H406" s="45" t="str">
        <f t="shared" si="18"/>
        <v>Robert – Belović – OK Međimurje – M21B</v>
      </c>
      <c r="J406" s="45" t="str">
        <f t="shared" si="19"/>
        <v>Robert – Belović – OK Međimurje</v>
      </c>
      <c r="L406" s="45" t="str">
        <f t="shared" si="20"/>
        <v>Robert – Belović</v>
      </c>
      <c r="N406" s="103"/>
      <c r="O406" s="104"/>
      <c r="P406" s="105"/>
    </row>
    <row r="407" spans="2:16" x14ac:dyDescent="0.25">
      <c r="B407" s="103">
        <v>1267</v>
      </c>
      <c r="C407" s="104" t="s">
        <v>4006</v>
      </c>
      <c r="D407" s="104" t="s">
        <v>4007</v>
      </c>
      <c r="E407" s="104" t="s">
        <v>3730</v>
      </c>
      <c r="F407" s="105" t="s">
        <v>3443</v>
      </c>
      <c r="H407" s="45" t="str">
        <f t="shared" si="18"/>
        <v>Jasminka – Cindrić Perković – OK Međimurje – Ž45</v>
      </c>
      <c r="J407" s="45" t="str">
        <f t="shared" si="19"/>
        <v>Jasminka – Cindrić Perković – OK Međimurje</v>
      </c>
      <c r="L407" s="45" t="str">
        <f t="shared" si="20"/>
        <v>Jasminka – Cindrić Perković</v>
      </c>
      <c r="N407" s="103"/>
      <c r="O407" s="104"/>
      <c r="P407" s="105"/>
    </row>
    <row r="408" spans="2:16" x14ac:dyDescent="0.25">
      <c r="B408" s="103">
        <v>1555</v>
      </c>
      <c r="C408" s="104" t="s">
        <v>3890</v>
      </c>
      <c r="D408" s="104" t="s">
        <v>4008</v>
      </c>
      <c r="E408" s="104" t="s">
        <v>3730</v>
      </c>
      <c r="F408" s="105" t="s">
        <v>1909</v>
      </c>
      <c r="H408" s="45" t="str">
        <f t="shared" si="18"/>
        <v>Branko – Crljenica – OK Međimurje – M45</v>
      </c>
      <c r="J408" s="45" t="str">
        <f t="shared" si="19"/>
        <v>Branko – Crljenica – OK Međimurje</v>
      </c>
      <c r="L408" s="45" t="str">
        <f t="shared" si="20"/>
        <v>Branko – Crljenica</v>
      </c>
      <c r="N408" s="103"/>
      <c r="O408" s="104"/>
      <c r="P408" s="105"/>
    </row>
    <row r="409" spans="2:16" x14ac:dyDescent="0.25">
      <c r="B409" s="103">
        <v>1558</v>
      </c>
      <c r="C409" s="104" t="s">
        <v>2207</v>
      </c>
      <c r="D409" s="104" t="s">
        <v>4009</v>
      </c>
      <c r="E409" s="104" t="s">
        <v>3730</v>
      </c>
      <c r="F409" s="105" t="s">
        <v>1909</v>
      </c>
      <c r="H409" s="45" t="str">
        <f t="shared" si="18"/>
        <v>Darko – Duhović – OK Međimurje – M45</v>
      </c>
      <c r="J409" s="45" t="str">
        <f t="shared" si="19"/>
        <v>Darko – Duhović – OK Međimurje</v>
      </c>
      <c r="L409" s="45" t="str">
        <f t="shared" si="20"/>
        <v>Darko – Duhović</v>
      </c>
      <c r="N409" s="103"/>
      <c r="O409" s="104"/>
      <c r="P409" s="105"/>
    </row>
    <row r="410" spans="2:16" x14ac:dyDescent="0.25">
      <c r="B410" s="103">
        <v>1127</v>
      </c>
      <c r="C410" s="104" t="s">
        <v>963</v>
      </c>
      <c r="D410" s="104" t="s">
        <v>4010</v>
      </c>
      <c r="E410" s="104" t="s">
        <v>3730</v>
      </c>
      <c r="F410" s="105"/>
      <c r="H410" s="45" t="str">
        <f t="shared" si="18"/>
        <v>Dražen – Henc – OK Međimurje</v>
      </c>
      <c r="J410" s="45" t="str">
        <f t="shared" si="19"/>
        <v>Dražen – Henc – OK Međimurje</v>
      </c>
      <c r="L410" s="45" t="str">
        <f t="shared" si="20"/>
        <v>Dražen – Henc</v>
      </c>
      <c r="N410" s="103"/>
      <c r="O410" s="104"/>
      <c r="P410" s="105"/>
    </row>
    <row r="411" spans="2:16" x14ac:dyDescent="0.25">
      <c r="B411" s="103">
        <v>1399</v>
      </c>
      <c r="C411" s="104" t="s">
        <v>2226</v>
      </c>
      <c r="D411" s="104" t="s">
        <v>940</v>
      </c>
      <c r="E411" s="104" t="s">
        <v>3730</v>
      </c>
      <c r="F411" s="105"/>
      <c r="H411" s="45" t="str">
        <f t="shared" si="18"/>
        <v>Saša – Horvat – OK Međimurje</v>
      </c>
      <c r="J411" s="45" t="str">
        <f t="shared" si="19"/>
        <v>Saša – Horvat – OK Međimurje</v>
      </c>
      <c r="L411" s="45" t="str">
        <f t="shared" si="20"/>
        <v>Saša – Horvat</v>
      </c>
      <c r="N411" s="103"/>
      <c r="O411" s="104"/>
      <c r="P411" s="105"/>
    </row>
    <row r="412" spans="2:16" x14ac:dyDescent="0.25">
      <c r="B412" s="103">
        <v>1318</v>
      </c>
      <c r="C412" s="104" t="s">
        <v>963</v>
      </c>
      <c r="D412" s="104" t="s">
        <v>4011</v>
      </c>
      <c r="E412" s="104" t="s">
        <v>3730</v>
      </c>
      <c r="F412" s="105" t="s">
        <v>2195</v>
      </c>
      <c r="H412" s="45" t="str">
        <f t="shared" si="18"/>
        <v>Dražen – Janžek – OK Međimurje – M55</v>
      </c>
      <c r="J412" s="45" t="str">
        <f t="shared" si="19"/>
        <v>Dražen – Janžek – OK Međimurje</v>
      </c>
      <c r="L412" s="45" t="str">
        <f t="shared" si="20"/>
        <v>Dražen – Janžek</v>
      </c>
      <c r="N412" s="103"/>
      <c r="O412" s="104"/>
      <c r="P412" s="105"/>
    </row>
    <row r="413" spans="2:16" x14ac:dyDescent="0.25">
      <c r="B413" s="103">
        <v>1171</v>
      </c>
      <c r="C413" s="104" t="s">
        <v>4012</v>
      </c>
      <c r="D413" s="104" t="s">
        <v>4011</v>
      </c>
      <c r="E413" s="104" t="s">
        <v>3730</v>
      </c>
      <c r="F413" s="105" t="s">
        <v>1130</v>
      </c>
      <c r="H413" s="45" t="str">
        <f t="shared" si="18"/>
        <v>Gregor – Janžek – OK Međimurje – M21B</v>
      </c>
      <c r="J413" s="45" t="str">
        <f t="shared" si="19"/>
        <v>Gregor – Janžek – OK Međimurje</v>
      </c>
      <c r="L413" s="45" t="str">
        <f t="shared" si="20"/>
        <v>Gregor – Janžek</v>
      </c>
      <c r="N413" s="103"/>
      <c r="O413" s="104"/>
      <c r="P413" s="105"/>
    </row>
    <row r="414" spans="2:16" x14ac:dyDescent="0.25">
      <c r="B414" s="103">
        <v>1507</v>
      </c>
      <c r="C414" s="104" t="s">
        <v>353</v>
      </c>
      <c r="D414" s="104" t="s">
        <v>4011</v>
      </c>
      <c r="E414" s="104" t="s">
        <v>3730</v>
      </c>
      <c r="F414" s="105" t="s">
        <v>1130</v>
      </c>
      <c r="H414" s="45" t="str">
        <f t="shared" si="18"/>
        <v>Lovro – Janžek – OK Međimurje – M21B</v>
      </c>
      <c r="J414" s="45" t="str">
        <f t="shared" si="19"/>
        <v>Lovro – Janžek – OK Međimurje</v>
      </c>
      <c r="L414" s="45" t="str">
        <f t="shared" si="20"/>
        <v>Lovro – Janžek</v>
      </c>
      <c r="N414" s="103"/>
      <c r="O414" s="104"/>
      <c r="P414" s="105"/>
    </row>
    <row r="415" spans="2:16" x14ac:dyDescent="0.25">
      <c r="B415" s="103">
        <v>1384</v>
      </c>
      <c r="C415" s="104" t="s">
        <v>4013</v>
      </c>
      <c r="D415" s="104" t="s">
        <v>4011</v>
      </c>
      <c r="E415" s="104" t="s">
        <v>3730</v>
      </c>
      <c r="F415" s="105" t="s">
        <v>3443</v>
      </c>
      <c r="H415" s="45" t="str">
        <f t="shared" si="18"/>
        <v>Smiljana – Janžek – OK Međimurje – Ž45</v>
      </c>
      <c r="J415" s="45" t="str">
        <f t="shared" si="19"/>
        <v>Smiljana – Janžek – OK Međimurje</v>
      </c>
      <c r="L415" s="45" t="str">
        <f t="shared" si="20"/>
        <v>Smiljana – Janžek</v>
      </c>
      <c r="N415" s="103"/>
      <c r="O415" s="104"/>
      <c r="P415" s="105"/>
    </row>
    <row r="416" spans="2:16" x14ac:dyDescent="0.25">
      <c r="B416" s="103">
        <v>1377</v>
      </c>
      <c r="C416" s="104" t="s">
        <v>1547</v>
      </c>
      <c r="D416" s="104" t="s">
        <v>4014</v>
      </c>
      <c r="E416" s="104" t="s">
        <v>3730</v>
      </c>
      <c r="F416" s="105"/>
      <c r="H416" s="45" t="str">
        <f t="shared" si="18"/>
        <v>Ante – Jović – OK Međimurje</v>
      </c>
      <c r="J416" s="45" t="str">
        <f t="shared" si="19"/>
        <v>Ante – Jović – OK Međimurje</v>
      </c>
      <c r="L416" s="45" t="str">
        <f t="shared" si="20"/>
        <v>Ante – Jović</v>
      </c>
      <c r="N416" s="103"/>
      <c r="O416" s="104"/>
      <c r="P416" s="105"/>
    </row>
    <row r="417" spans="2:16" x14ac:dyDescent="0.25">
      <c r="B417" s="103">
        <v>1400</v>
      </c>
      <c r="C417" s="104" t="s">
        <v>1029</v>
      </c>
      <c r="D417" s="104" t="s">
        <v>4015</v>
      </c>
      <c r="E417" s="104" t="s">
        <v>3730</v>
      </c>
      <c r="F417" s="105"/>
      <c r="H417" s="45" t="str">
        <f t="shared" si="18"/>
        <v>Tomislav – Kelemen – OK Međimurje</v>
      </c>
      <c r="J417" s="45" t="str">
        <f t="shared" si="19"/>
        <v>Tomislav – Kelemen – OK Međimurje</v>
      </c>
      <c r="L417" s="45" t="str">
        <f t="shared" si="20"/>
        <v>Tomislav – Kelemen</v>
      </c>
      <c r="N417" s="103"/>
      <c r="O417" s="104"/>
      <c r="P417" s="105"/>
    </row>
    <row r="418" spans="2:16" x14ac:dyDescent="0.25">
      <c r="B418" s="103">
        <v>1818</v>
      </c>
      <c r="C418" s="104" t="s">
        <v>2207</v>
      </c>
      <c r="D418" s="104" t="s">
        <v>1392</v>
      </c>
      <c r="E418" s="104" t="s">
        <v>3730</v>
      </c>
      <c r="F418" s="105"/>
      <c r="H418" s="45" t="str">
        <f t="shared" si="18"/>
        <v>Darko – Klarić – OK Međimurje</v>
      </c>
      <c r="J418" s="45" t="str">
        <f t="shared" si="19"/>
        <v>Darko – Klarić – OK Međimurje</v>
      </c>
      <c r="L418" s="45" t="str">
        <f t="shared" si="20"/>
        <v>Darko – Klarić</v>
      </c>
      <c r="N418" s="103"/>
      <c r="O418" s="109"/>
      <c r="P418" s="105"/>
    </row>
    <row r="419" spans="2:16" x14ac:dyDescent="0.25">
      <c r="B419" s="103">
        <v>1819</v>
      </c>
      <c r="C419" s="104" t="s">
        <v>605</v>
      </c>
      <c r="D419" s="104" t="s">
        <v>1392</v>
      </c>
      <c r="E419" s="104" t="s">
        <v>3730</v>
      </c>
      <c r="F419" s="105"/>
      <c r="H419" s="45" t="str">
        <f t="shared" si="18"/>
        <v>Marko – Klarić – OK Međimurje</v>
      </c>
      <c r="J419" s="45" t="str">
        <f t="shared" si="19"/>
        <v>Marko – Klarić – OK Međimurje</v>
      </c>
      <c r="L419" s="45" t="str">
        <f t="shared" si="20"/>
        <v>Marko – Klarić</v>
      </c>
      <c r="N419" s="103"/>
      <c r="O419" s="104"/>
      <c r="P419" s="105"/>
    </row>
    <row r="420" spans="2:16" x14ac:dyDescent="0.25">
      <c r="B420" s="103">
        <v>1564</v>
      </c>
      <c r="C420" s="104" t="s">
        <v>4016</v>
      </c>
      <c r="D420" s="104" t="s">
        <v>4017</v>
      </c>
      <c r="E420" s="104" t="s">
        <v>3730</v>
      </c>
      <c r="F420" s="105"/>
      <c r="H420" s="45" t="str">
        <f t="shared" si="18"/>
        <v>Mihaela – Kočila Petković – OK Međimurje</v>
      </c>
      <c r="J420" s="45" t="str">
        <f t="shared" si="19"/>
        <v>Mihaela – Kočila Petković – OK Međimurje</v>
      </c>
      <c r="L420" s="45" t="str">
        <f t="shared" si="20"/>
        <v>Mihaela – Kočila Petković</v>
      </c>
      <c r="N420" s="103"/>
      <c r="O420" s="104"/>
      <c r="P420" s="105"/>
    </row>
    <row r="421" spans="2:16" x14ac:dyDescent="0.25">
      <c r="B421" s="103">
        <v>1365</v>
      </c>
      <c r="C421" s="104" t="s">
        <v>1321</v>
      </c>
      <c r="D421" s="104" t="s">
        <v>4018</v>
      </c>
      <c r="E421" s="104" t="s">
        <v>3730</v>
      </c>
      <c r="F421" s="105" t="s">
        <v>1909</v>
      </c>
      <c r="H421" s="45" t="str">
        <f t="shared" si="18"/>
        <v>Željko – Koščak – OK Međimurje – M45</v>
      </c>
      <c r="J421" s="45" t="str">
        <f t="shared" si="19"/>
        <v>Željko – Koščak – OK Međimurje</v>
      </c>
      <c r="L421" s="45" t="str">
        <f t="shared" si="20"/>
        <v>Željko – Koščak</v>
      </c>
      <c r="N421" s="103"/>
      <c r="O421" s="104"/>
      <c r="P421" s="105"/>
    </row>
    <row r="422" spans="2:16" x14ac:dyDescent="0.25">
      <c r="B422" s="103">
        <v>1161</v>
      </c>
      <c r="C422" s="104" t="s">
        <v>605</v>
      </c>
      <c r="D422" s="104" t="s">
        <v>4019</v>
      </c>
      <c r="E422" s="104" t="s">
        <v>3730</v>
      </c>
      <c r="F422" s="105" t="s">
        <v>1575</v>
      </c>
      <c r="H422" s="45" t="str">
        <f t="shared" si="18"/>
        <v>Marko – Leljak – OK Međimurje – M35</v>
      </c>
      <c r="J422" s="45" t="str">
        <f t="shared" si="19"/>
        <v>Marko – Leljak – OK Međimurje</v>
      </c>
      <c r="L422" s="45" t="str">
        <f t="shared" si="20"/>
        <v>Marko – Leljak</v>
      </c>
      <c r="N422" s="103"/>
      <c r="O422" s="104"/>
      <c r="P422" s="105"/>
    </row>
    <row r="423" spans="2:16" x14ac:dyDescent="0.25">
      <c r="B423" s="103">
        <v>1290</v>
      </c>
      <c r="C423" s="104" t="s">
        <v>2837</v>
      </c>
      <c r="D423" s="104" t="s">
        <v>1932</v>
      </c>
      <c r="E423" s="104" t="s">
        <v>3730</v>
      </c>
      <c r="F423" s="105"/>
      <c r="H423" s="45" t="str">
        <f t="shared" si="18"/>
        <v>Jana – Markulinčić – OK Međimurje</v>
      </c>
      <c r="J423" s="45" t="str">
        <f t="shared" si="19"/>
        <v>Jana – Markulinčić – OK Međimurje</v>
      </c>
      <c r="L423" s="45" t="str">
        <f t="shared" si="20"/>
        <v>Jana – Markulinčić</v>
      </c>
      <c r="N423" s="103"/>
      <c r="O423" s="104"/>
      <c r="P423" s="105"/>
    </row>
    <row r="424" spans="2:16" x14ac:dyDescent="0.25">
      <c r="B424" s="103">
        <v>1064</v>
      </c>
      <c r="C424" s="104" t="s">
        <v>1195</v>
      </c>
      <c r="D424" s="104" t="s">
        <v>1932</v>
      </c>
      <c r="E424" s="104" t="s">
        <v>3730</v>
      </c>
      <c r="F424" s="105"/>
      <c r="H424" s="45" t="str">
        <f t="shared" si="18"/>
        <v>Predrag – Markulinčić – OK Međimurje</v>
      </c>
      <c r="J424" s="45" t="str">
        <f t="shared" si="19"/>
        <v>Predrag – Markulinčić – OK Međimurje</v>
      </c>
      <c r="L424" s="45" t="str">
        <f t="shared" si="20"/>
        <v>Predrag – Markulinčić</v>
      </c>
      <c r="N424" s="103"/>
      <c r="O424" s="104"/>
      <c r="P424" s="105"/>
    </row>
    <row r="425" spans="2:16" x14ac:dyDescent="0.25">
      <c r="B425" s="103">
        <v>1834</v>
      </c>
      <c r="C425" s="104" t="s">
        <v>472</v>
      </c>
      <c r="D425" s="104" t="s">
        <v>4020</v>
      </c>
      <c r="E425" s="104" t="s">
        <v>3730</v>
      </c>
      <c r="F425" s="105"/>
      <c r="H425" s="45" t="str">
        <f t="shared" si="18"/>
        <v>Filip – Mlinarić – OK Međimurje</v>
      </c>
      <c r="J425" s="45" t="str">
        <f t="shared" si="19"/>
        <v>Filip – Mlinarić – OK Međimurje</v>
      </c>
      <c r="L425" s="45" t="str">
        <f t="shared" si="20"/>
        <v>Filip – Mlinarić</v>
      </c>
      <c r="N425" s="103"/>
      <c r="O425" s="104"/>
      <c r="P425" s="105"/>
    </row>
    <row r="426" spans="2:16" x14ac:dyDescent="0.25">
      <c r="B426" s="103">
        <v>1356</v>
      </c>
      <c r="C426" s="104" t="s">
        <v>509</v>
      </c>
      <c r="D426" s="104" t="s">
        <v>4021</v>
      </c>
      <c r="E426" s="104" t="s">
        <v>3730</v>
      </c>
      <c r="F426" s="105"/>
      <c r="H426" s="45" t="str">
        <f t="shared" si="18"/>
        <v>Luka – Novak – OK Međimurje</v>
      </c>
      <c r="J426" s="45" t="str">
        <f t="shared" si="19"/>
        <v>Luka – Novak – OK Međimurje</v>
      </c>
      <c r="L426" s="45" t="str">
        <f t="shared" si="20"/>
        <v>Luka – Novak</v>
      </c>
      <c r="N426" s="103"/>
      <c r="O426" s="104"/>
      <c r="P426" s="105"/>
    </row>
    <row r="427" spans="2:16" x14ac:dyDescent="0.25">
      <c r="B427" s="103">
        <v>1122</v>
      </c>
      <c r="C427" s="104" t="s">
        <v>4022</v>
      </c>
      <c r="D427" s="104" t="s">
        <v>4023</v>
      </c>
      <c r="E427" s="104" t="s">
        <v>3730</v>
      </c>
      <c r="F427" s="105"/>
      <c r="H427" s="45" t="str">
        <f t="shared" si="18"/>
        <v>Ranko – Orehovec – OK Međimurje</v>
      </c>
      <c r="J427" s="45" t="str">
        <f t="shared" si="19"/>
        <v>Ranko – Orehovec – OK Međimurje</v>
      </c>
      <c r="L427" s="45" t="str">
        <f t="shared" si="20"/>
        <v>Ranko – Orehovec</v>
      </c>
      <c r="N427" s="103"/>
      <c r="O427" s="104"/>
      <c r="P427" s="105"/>
    </row>
    <row r="428" spans="2:16" x14ac:dyDescent="0.25">
      <c r="B428" s="103">
        <v>1334</v>
      </c>
      <c r="C428" s="104" t="s">
        <v>1904</v>
      </c>
      <c r="D428" s="104" t="s">
        <v>3753</v>
      </c>
      <c r="E428" s="104" t="s">
        <v>3730</v>
      </c>
      <c r="F428" s="105" t="s">
        <v>1130</v>
      </c>
      <c r="H428" s="45" t="str">
        <f t="shared" si="18"/>
        <v>Dalibor – Perković – OK Međimurje – M21B</v>
      </c>
      <c r="J428" s="45" t="str">
        <f t="shared" si="19"/>
        <v>Dalibor – Perković – OK Međimurje</v>
      </c>
      <c r="L428" s="45" t="str">
        <f t="shared" si="20"/>
        <v>Dalibor – Perković</v>
      </c>
      <c r="N428" s="103"/>
      <c r="O428" s="104"/>
      <c r="P428" s="105"/>
    </row>
    <row r="429" spans="2:16" x14ac:dyDescent="0.25">
      <c r="B429" s="103">
        <v>1327</v>
      </c>
      <c r="C429" s="104" t="s">
        <v>1497</v>
      </c>
      <c r="D429" s="104" t="s">
        <v>4024</v>
      </c>
      <c r="E429" s="104" t="s">
        <v>3730</v>
      </c>
      <c r="F429" s="105"/>
      <c r="H429" s="45" t="str">
        <f t="shared" si="18"/>
        <v>Nikola – Petković – OK Međimurje</v>
      </c>
      <c r="J429" s="45" t="str">
        <f t="shared" si="19"/>
        <v>Nikola – Petković – OK Međimurje</v>
      </c>
      <c r="L429" s="45" t="str">
        <f t="shared" si="20"/>
        <v>Nikola – Petković</v>
      </c>
      <c r="N429" s="103"/>
      <c r="O429" s="104"/>
      <c r="P429" s="105"/>
    </row>
    <row r="430" spans="2:16" x14ac:dyDescent="0.25">
      <c r="B430" s="103">
        <v>1817</v>
      </c>
      <c r="C430" s="104" t="s">
        <v>3890</v>
      </c>
      <c r="D430" s="104" t="s">
        <v>4025</v>
      </c>
      <c r="E430" s="104" t="s">
        <v>3730</v>
      </c>
      <c r="F430" s="105"/>
      <c r="H430" s="45" t="str">
        <f t="shared" si="18"/>
        <v>Branko – Polanec – OK Međimurje</v>
      </c>
      <c r="J430" s="45" t="str">
        <f t="shared" si="19"/>
        <v>Branko – Polanec – OK Međimurje</v>
      </c>
      <c r="L430" s="45" t="str">
        <f t="shared" si="20"/>
        <v>Branko – Polanec</v>
      </c>
      <c r="N430" s="103"/>
      <c r="O430" s="104"/>
      <c r="P430" s="105"/>
    </row>
    <row r="431" spans="2:16" x14ac:dyDescent="0.25">
      <c r="B431" s="103">
        <v>1452</v>
      </c>
      <c r="C431" s="104" t="s">
        <v>2448</v>
      </c>
      <c r="D431" s="104" t="s">
        <v>4026</v>
      </c>
      <c r="E431" s="104" t="s">
        <v>3730</v>
      </c>
      <c r="F431" s="105" t="s">
        <v>3094</v>
      </c>
      <c r="H431" s="45" t="str">
        <f t="shared" si="18"/>
        <v>Ivana – Tkalec – OK Međimurje – Ž21B</v>
      </c>
      <c r="J431" s="45" t="str">
        <f t="shared" si="19"/>
        <v>Ivana – Tkalec – OK Međimurje</v>
      </c>
      <c r="L431" s="45" t="str">
        <f t="shared" si="20"/>
        <v>Ivana – Tkalec</v>
      </c>
      <c r="N431" s="103"/>
      <c r="O431" s="104"/>
      <c r="P431" s="105"/>
    </row>
    <row r="432" spans="2:16" x14ac:dyDescent="0.25">
      <c r="B432" s="103">
        <v>1947</v>
      </c>
      <c r="C432" s="104" t="s">
        <v>476</v>
      </c>
      <c r="D432" s="104" t="s">
        <v>4026</v>
      </c>
      <c r="E432" s="104" t="s">
        <v>3730</v>
      </c>
      <c r="F432" s="105"/>
      <c r="H432" s="45" t="str">
        <f t="shared" si="18"/>
        <v>Jakov – Tkalec – OK Međimurje</v>
      </c>
      <c r="J432" s="45" t="str">
        <f t="shared" si="19"/>
        <v>Jakov – Tkalec – OK Međimurje</v>
      </c>
      <c r="L432" s="45" t="str">
        <f t="shared" si="20"/>
        <v>Jakov – Tkalec</v>
      </c>
      <c r="N432" s="103"/>
      <c r="O432" s="104"/>
      <c r="P432" s="105"/>
    </row>
    <row r="433" spans="2:16" x14ac:dyDescent="0.25">
      <c r="B433" s="103">
        <v>1946</v>
      </c>
      <c r="C433" s="104" t="s">
        <v>2825</v>
      </c>
      <c r="D433" s="104" t="s">
        <v>4026</v>
      </c>
      <c r="E433" s="104" t="s">
        <v>3730</v>
      </c>
      <c r="F433" s="105"/>
      <c r="H433" s="45" t="str">
        <f t="shared" si="18"/>
        <v>Marta – Tkalec – OK Međimurje</v>
      </c>
      <c r="J433" s="45" t="str">
        <f t="shared" si="19"/>
        <v>Marta – Tkalec – OK Međimurje</v>
      </c>
      <c r="L433" s="45" t="str">
        <f t="shared" si="20"/>
        <v>Marta – Tkalec</v>
      </c>
      <c r="N433" s="103"/>
      <c r="O433" s="104"/>
      <c r="P433" s="105"/>
    </row>
    <row r="434" spans="2:16" x14ac:dyDescent="0.25">
      <c r="B434" s="103">
        <v>1820</v>
      </c>
      <c r="C434" s="104" t="s">
        <v>1497</v>
      </c>
      <c r="D434" s="104" t="s">
        <v>4026</v>
      </c>
      <c r="E434" s="104" t="s">
        <v>3730</v>
      </c>
      <c r="F434" s="105"/>
      <c r="H434" s="45" t="str">
        <f t="shared" si="18"/>
        <v>Nikola – Tkalec – OK Međimurje</v>
      </c>
      <c r="J434" s="45" t="str">
        <f t="shared" si="19"/>
        <v>Nikola – Tkalec – OK Međimurje</v>
      </c>
      <c r="L434" s="45" t="str">
        <f t="shared" si="20"/>
        <v>Nikola – Tkalec</v>
      </c>
      <c r="N434" s="103"/>
      <c r="O434" s="104"/>
      <c r="P434" s="105"/>
    </row>
    <row r="435" spans="2:16" x14ac:dyDescent="0.25">
      <c r="B435" s="103">
        <v>1821</v>
      </c>
      <c r="C435" s="104" t="s">
        <v>1944</v>
      </c>
      <c r="D435" s="104" t="s">
        <v>4026</v>
      </c>
      <c r="E435" s="104" t="s">
        <v>3730</v>
      </c>
      <c r="F435" s="105"/>
      <c r="H435" s="45" t="str">
        <f t="shared" si="18"/>
        <v>Robert – Tkalec – OK Međimurje</v>
      </c>
      <c r="J435" s="45" t="str">
        <f t="shared" si="19"/>
        <v>Robert – Tkalec – OK Međimurje</v>
      </c>
      <c r="L435" s="45" t="str">
        <f t="shared" si="20"/>
        <v>Robert – Tkalec</v>
      </c>
      <c r="N435" s="103"/>
      <c r="O435" s="104"/>
      <c r="P435" s="105"/>
    </row>
    <row r="436" spans="2:16" x14ac:dyDescent="0.25">
      <c r="B436" s="103">
        <v>1822</v>
      </c>
      <c r="C436" s="104" t="s">
        <v>1074</v>
      </c>
      <c r="D436" s="104" t="s">
        <v>4026</v>
      </c>
      <c r="E436" s="104" t="s">
        <v>3730</v>
      </c>
      <c r="F436" s="105"/>
      <c r="H436" s="45" t="str">
        <f t="shared" si="18"/>
        <v>Vedran – Tkalec – OK Međimurje</v>
      </c>
      <c r="J436" s="45" t="str">
        <f t="shared" si="19"/>
        <v>Vedran – Tkalec – OK Međimurje</v>
      </c>
      <c r="L436" s="45" t="str">
        <f t="shared" si="20"/>
        <v>Vedran – Tkalec</v>
      </c>
      <c r="N436" s="103"/>
      <c r="O436" s="104"/>
      <c r="P436" s="105"/>
    </row>
    <row r="437" spans="2:16" x14ac:dyDescent="0.25">
      <c r="B437" s="103">
        <v>1090</v>
      </c>
      <c r="C437" s="104" t="s">
        <v>1955</v>
      </c>
      <c r="D437" s="104" t="s">
        <v>4026</v>
      </c>
      <c r="E437" s="104" t="s">
        <v>3730</v>
      </c>
      <c r="F437" s="105" t="s">
        <v>1130</v>
      </c>
      <c r="H437" s="45" t="str">
        <f t="shared" si="18"/>
        <v>Vladimir – Tkalec – OK Međimurje – M21B</v>
      </c>
      <c r="J437" s="45" t="str">
        <f t="shared" si="19"/>
        <v>Vladimir – Tkalec – OK Međimurje</v>
      </c>
      <c r="L437" s="45" t="str">
        <f t="shared" si="20"/>
        <v>Vladimir – Tkalec</v>
      </c>
      <c r="N437" s="103"/>
      <c r="O437" s="104"/>
      <c r="P437" s="105"/>
    </row>
    <row r="438" spans="2:16" x14ac:dyDescent="0.25">
      <c r="B438" s="103">
        <v>1308</v>
      </c>
      <c r="C438" s="104" t="s">
        <v>821</v>
      </c>
      <c r="D438" s="104" t="s">
        <v>4027</v>
      </c>
      <c r="E438" s="104" t="s">
        <v>3730</v>
      </c>
      <c r="F438" s="105"/>
      <c r="H438" s="45" t="str">
        <f t="shared" si="18"/>
        <v>Noa – Turk – OK Međimurje</v>
      </c>
      <c r="J438" s="45" t="str">
        <f t="shared" si="19"/>
        <v>Noa – Turk – OK Međimurje</v>
      </c>
      <c r="L438" s="45" t="str">
        <f t="shared" si="20"/>
        <v>Noa – Turk</v>
      </c>
      <c r="N438" s="103"/>
      <c r="O438" s="104"/>
      <c r="P438" s="105"/>
    </row>
    <row r="439" spans="2:16" x14ac:dyDescent="0.25">
      <c r="B439" s="103">
        <v>1527</v>
      </c>
      <c r="C439" s="104" t="s">
        <v>2602</v>
      </c>
      <c r="D439" s="104" t="s">
        <v>4027</v>
      </c>
      <c r="E439" s="104" t="s">
        <v>3730</v>
      </c>
      <c r="F439" s="105"/>
      <c r="H439" s="45" t="str">
        <f t="shared" si="18"/>
        <v>Petra – Turk – OK Međimurje</v>
      </c>
      <c r="J439" s="45" t="str">
        <f t="shared" si="19"/>
        <v>Petra – Turk – OK Međimurje</v>
      </c>
      <c r="L439" s="45" t="str">
        <f t="shared" si="20"/>
        <v>Petra – Turk</v>
      </c>
      <c r="N439" s="103"/>
      <c r="O439" s="104"/>
      <c r="P439" s="105"/>
    </row>
    <row r="440" spans="2:16" x14ac:dyDescent="0.25">
      <c r="B440" s="103">
        <v>1246</v>
      </c>
      <c r="C440" s="104" t="s">
        <v>4028</v>
      </c>
      <c r="D440" s="104" t="s">
        <v>4029</v>
      </c>
      <c r="E440" s="104" t="s">
        <v>3730</v>
      </c>
      <c r="F440" s="105"/>
      <c r="H440" s="45" t="str">
        <f t="shared" si="18"/>
        <v>Emerik – Večerić – OK Međimurje</v>
      </c>
      <c r="J440" s="45" t="str">
        <f t="shared" si="19"/>
        <v>Emerik – Večerić – OK Međimurje</v>
      </c>
      <c r="L440" s="45" t="str">
        <f t="shared" si="20"/>
        <v>Emerik – Večerić</v>
      </c>
      <c r="N440" s="103"/>
      <c r="O440" s="104"/>
      <c r="P440" s="105"/>
    </row>
    <row r="441" spans="2:16" x14ac:dyDescent="0.25">
      <c r="B441" s="103">
        <v>1823</v>
      </c>
      <c r="C441" s="104" t="s">
        <v>1209</v>
      </c>
      <c r="D441" s="104" t="s">
        <v>4030</v>
      </c>
      <c r="E441" s="104" t="s">
        <v>3730</v>
      </c>
      <c r="F441" s="105"/>
      <c r="H441" s="45" t="str">
        <f t="shared" si="18"/>
        <v>Branimir – Vinko – OK Međimurje</v>
      </c>
      <c r="J441" s="45" t="str">
        <f t="shared" si="19"/>
        <v>Branimir – Vinko – OK Međimurje</v>
      </c>
      <c r="L441" s="45" t="str">
        <f t="shared" si="20"/>
        <v>Branimir – Vinko</v>
      </c>
      <c r="N441" s="103"/>
      <c r="O441" s="104"/>
      <c r="P441" s="105"/>
    </row>
    <row r="442" spans="2:16" x14ac:dyDescent="0.25">
      <c r="B442" s="103">
        <v>1306</v>
      </c>
      <c r="C442" s="104" t="s">
        <v>1955</v>
      </c>
      <c r="D442" s="104" t="s">
        <v>4030</v>
      </c>
      <c r="E442" s="104" t="s">
        <v>3730</v>
      </c>
      <c r="F442" s="105" t="s">
        <v>2195</v>
      </c>
      <c r="H442" s="45" t="str">
        <f t="shared" si="18"/>
        <v>Vladimir – Vinko – OK Međimurje – M55</v>
      </c>
      <c r="J442" s="45" t="str">
        <f t="shared" si="19"/>
        <v>Vladimir – Vinko – OK Međimurje</v>
      </c>
      <c r="L442" s="45" t="str">
        <f t="shared" si="20"/>
        <v>Vladimir – Vinko</v>
      </c>
      <c r="N442" s="103"/>
      <c r="O442" s="104"/>
      <c r="P442" s="105"/>
    </row>
    <row r="443" spans="2:16" x14ac:dyDescent="0.25">
      <c r="B443" s="103">
        <v>1406</v>
      </c>
      <c r="C443" s="104" t="s">
        <v>2448</v>
      </c>
      <c r="D443" s="104" t="s">
        <v>4031</v>
      </c>
      <c r="E443" s="104" t="s">
        <v>3730</v>
      </c>
      <c r="F443" s="105"/>
      <c r="H443" s="45" t="str">
        <f t="shared" si="18"/>
        <v>Ivana – Zeljko – OK Međimurje</v>
      </c>
      <c r="J443" s="45" t="str">
        <f t="shared" si="19"/>
        <v>Ivana – Zeljko – OK Međimurje</v>
      </c>
      <c r="L443" s="45" t="str">
        <f t="shared" si="20"/>
        <v>Ivana – Zeljko</v>
      </c>
      <c r="N443" s="103"/>
      <c r="O443" s="104"/>
      <c r="P443" s="105"/>
    </row>
    <row r="444" spans="2:16" x14ac:dyDescent="0.25">
      <c r="B444" s="103">
        <v>1278</v>
      </c>
      <c r="C444" s="104" t="s">
        <v>3121</v>
      </c>
      <c r="D444" s="104" t="s">
        <v>4032</v>
      </c>
      <c r="E444" s="104" t="s">
        <v>3730</v>
      </c>
      <c r="F444" s="105"/>
      <c r="H444" s="45" t="str">
        <f t="shared" si="18"/>
        <v>Lana – Žnidarić – OK Međimurje</v>
      </c>
      <c r="J444" s="45" t="str">
        <f t="shared" si="19"/>
        <v>Lana – Žnidarić – OK Međimurje</v>
      </c>
      <c r="L444" s="45" t="str">
        <f t="shared" si="20"/>
        <v>Lana – Žnidarić</v>
      </c>
      <c r="N444" s="103"/>
      <c r="O444" s="104"/>
      <c r="P444" s="105"/>
    </row>
    <row r="445" spans="2:16" x14ac:dyDescent="0.25">
      <c r="B445" s="103">
        <v>1687</v>
      </c>
      <c r="C445" s="104" t="s">
        <v>715</v>
      </c>
      <c r="D445" s="104" t="s">
        <v>4033</v>
      </c>
      <c r="E445" s="104" t="s">
        <v>2025</v>
      </c>
      <c r="F445" s="105"/>
      <c r="H445" s="45" t="str">
        <f t="shared" si="18"/>
        <v>Borna – Bašić – OK Orion</v>
      </c>
      <c r="J445" s="45" t="str">
        <f t="shared" si="19"/>
        <v>Borna – Bašić – OK Orion</v>
      </c>
      <c r="L445" s="45" t="str">
        <f t="shared" si="20"/>
        <v>Borna – Bašić</v>
      </c>
      <c r="N445" s="103"/>
      <c r="O445" s="104"/>
      <c r="P445" s="105"/>
    </row>
    <row r="446" spans="2:16" x14ac:dyDescent="0.25">
      <c r="B446" s="103">
        <v>1684</v>
      </c>
      <c r="C446" s="104" t="s">
        <v>4034</v>
      </c>
      <c r="D446" s="104" t="s">
        <v>4033</v>
      </c>
      <c r="E446" s="104" t="s">
        <v>2025</v>
      </c>
      <c r="F446" s="105"/>
      <c r="H446" s="45" t="str">
        <f t="shared" si="18"/>
        <v>Lucia Gianna – Bašić – OK Orion</v>
      </c>
      <c r="J446" s="45" t="str">
        <f t="shared" si="19"/>
        <v>Lucia Gianna – Bašić – OK Orion</v>
      </c>
      <c r="L446" s="45" t="str">
        <f t="shared" si="20"/>
        <v>Lucia Gianna – Bašić</v>
      </c>
      <c r="N446" s="103"/>
      <c r="O446" s="104"/>
      <c r="P446" s="105"/>
    </row>
    <row r="447" spans="2:16" x14ac:dyDescent="0.25">
      <c r="B447" s="103">
        <v>1686</v>
      </c>
      <c r="C447" s="104" t="s">
        <v>870</v>
      </c>
      <c r="D447" s="104" t="s">
        <v>4035</v>
      </c>
      <c r="E447" s="104" t="s">
        <v>2025</v>
      </c>
      <c r="F447" s="105"/>
      <c r="H447" s="45" t="str">
        <f t="shared" si="18"/>
        <v>Antonio – Kralj – OK Orion</v>
      </c>
      <c r="J447" s="45" t="str">
        <f t="shared" si="19"/>
        <v>Antonio – Kralj – OK Orion</v>
      </c>
      <c r="L447" s="45" t="str">
        <f t="shared" si="20"/>
        <v>Antonio – Kralj</v>
      </c>
      <c r="N447" s="103"/>
      <c r="O447" s="104"/>
      <c r="P447" s="105"/>
    </row>
    <row r="448" spans="2:16" x14ac:dyDescent="0.25">
      <c r="B448" s="103">
        <v>1683</v>
      </c>
      <c r="C448" s="104" t="s">
        <v>2485</v>
      </c>
      <c r="D448" s="104" t="s">
        <v>4036</v>
      </c>
      <c r="E448" s="104" t="s">
        <v>2025</v>
      </c>
      <c r="F448" s="105" t="s">
        <v>3094</v>
      </c>
      <c r="H448" s="45" t="str">
        <f t="shared" si="18"/>
        <v>Iva – Renić – OK Orion – Ž21B</v>
      </c>
      <c r="J448" s="45" t="str">
        <f t="shared" si="19"/>
        <v>Iva – Renić – OK Orion</v>
      </c>
      <c r="L448" s="45" t="str">
        <f t="shared" si="20"/>
        <v>Iva – Renić</v>
      </c>
      <c r="N448" s="103"/>
      <c r="O448" s="104"/>
      <c r="P448" s="105"/>
    </row>
    <row r="449" spans="2:16" x14ac:dyDescent="0.25">
      <c r="B449" s="103">
        <v>1685</v>
      </c>
      <c r="C449" s="104" t="s">
        <v>605</v>
      </c>
      <c r="D449" s="104" t="s">
        <v>4036</v>
      </c>
      <c r="E449" s="104" t="s">
        <v>2025</v>
      </c>
      <c r="F449" s="105" t="s">
        <v>1130</v>
      </c>
      <c r="H449" s="45" t="str">
        <f t="shared" si="18"/>
        <v>Marko – Renić – OK Orion – M21B</v>
      </c>
      <c r="J449" s="45" t="str">
        <f t="shared" si="19"/>
        <v>Marko – Renić – OK Orion</v>
      </c>
      <c r="L449" s="45" t="str">
        <f t="shared" si="20"/>
        <v>Marko – Renić</v>
      </c>
      <c r="N449" s="103"/>
      <c r="O449" s="104"/>
      <c r="P449" s="105"/>
    </row>
    <row r="450" spans="2:16" x14ac:dyDescent="0.25">
      <c r="B450" s="103">
        <v>1688</v>
      </c>
      <c r="C450" s="104" t="s">
        <v>4037</v>
      </c>
      <c r="D450" s="104" t="s">
        <v>4036</v>
      </c>
      <c r="E450" s="104" t="s">
        <v>2025</v>
      </c>
      <c r="F450" s="105" t="s">
        <v>652</v>
      </c>
      <c r="H450" s="45" t="str">
        <f t="shared" si="18"/>
        <v>Niko – Renić – OK Orion – M16</v>
      </c>
      <c r="J450" s="45" t="str">
        <f t="shared" si="19"/>
        <v>Niko – Renić – OK Orion</v>
      </c>
      <c r="L450" s="45" t="str">
        <f t="shared" si="20"/>
        <v>Niko – Renić</v>
      </c>
      <c r="N450" s="103"/>
      <c r="O450" s="104"/>
      <c r="P450" s="105"/>
    </row>
    <row r="451" spans="2:16" x14ac:dyDescent="0.25">
      <c r="B451" s="103">
        <v>1680</v>
      </c>
      <c r="C451" s="104" t="s">
        <v>3234</v>
      </c>
      <c r="D451" s="104" t="s">
        <v>4036</v>
      </c>
      <c r="E451" s="104" t="s">
        <v>2025</v>
      </c>
      <c r="F451" s="105" t="s">
        <v>3443</v>
      </c>
      <c r="H451" s="45" t="str">
        <f t="shared" si="18"/>
        <v>Nikolina – Renić – OK Orion – Ž45</v>
      </c>
      <c r="J451" s="45" t="str">
        <f t="shared" si="19"/>
        <v>Nikolina – Renić – OK Orion</v>
      </c>
      <c r="L451" s="45" t="str">
        <f t="shared" si="20"/>
        <v>Nikolina – Renić</v>
      </c>
      <c r="N451" s="103"/>
      <c r="O451" s="104"/>
      <c r="P451" s="105"/>
    </row>
    <row r="452" spans="2:16" x14ac:dyDescent="0.25">
      <c r="B452" s="103">
        <v>1689</v>
      </c>
      <c r="C452" s="104" t="s">
        <v>453</v>
      </c>
      <c r="D452" s="104" t="s">
        <v>4036</v>
      </c>
      <c r="E452" s="104" t="s">
        <v>2025</v>
      </c>
      <c r="F452" s="105" t="s">
        <v>1909</v>
      </c>
      <c r="H452" s="45" t="str">
        <f t="shared" si="18"/>
        <v>Petar – Renić – OK Orion – M45</v>
      </c>
      <c r="J452" s="45" t="str">
        <f t="shared" si="19"/>
        <v>Petar – Renić – OK Orion</v>
      </c>
      <c r="L452" s="45" t="str">
        <f t="shared" si="20"/>
        <v>Petar – Renić</v>
      </c>
      <c r="N452" s="103"/>
      <c r="O452" s="104"/>
      <c r="P452" s="105"/>
    </row>
    <row r="453" spans="2:16" x14ac:dyDescent="0.25">
      <c r="B453" s="103">
        <v>1682</v>
      </c>
      <c r="C453" s="104" t="s">
        <v>4038</v>
      </c>
      <c r="D453" s="104" t="s">
        <v>2020</v>
      </c>
      <c r="E453" s="104" t="s">
        <v>2025</v>
      </c>
      <c r="F453" s="105" t="s">
        <v>1130</v>
      </c>
      <c r="H453" s="45" t="str">
        <f t="shared" si="18"/>
        <v>Antun – Tišljar – OK Orion – M21B</v>
      </c>
      <c r="J453" s="45" t="str">
        <f t="shared" si="19"/>
        <v>Antun – Tišljar – OK Orion</v>
      </c>
      <c r="L453" s="45" t="str">
        <f t="shared" si="20"/>
        <v>Antun – Tišljar</v>
      </c>
      <c r="N453" s="103"/>
      <c r="O453" s="104"/>
      <c r="P453" s="105"/>
    </row>
    <row r="454" spans="2:16" x14ac:dyDescent="0.25">
      <c r="B454" s="103">
        <v>1249</v>
      </c>
      <c r="C454" s="104" t="s">
        <v>2021</v>
      </c>
      <c r="D454" s="104" t="s">
        <v>2020</v>
      </c>
      <c r="E454" s="104" t="s">
        <v>2025</v>
      </c>
      <c r="F454" s="105" t="s">
        <v>1909</v>
      </c>
      <c r="H454" s="45" t="str">
        <f t="shared" si="18"/>
        <v>Ivo – Tišljar – OK Orion – M45</v>
      </c>
      <c r="J454" s="45" t="str">
        <f t="shared" si="19"/>
        <v>Ivo – Tišljar – OK Orion</v>
      </c>
      <c r="L454" s="45" t="str">
        <f t="shared" si="20"/>
        <v>Ivo – Tišljar</v>
      </c>
      <c r="N454" s="103"/>
      <c r="O454" s="104"/>
      <c r="P454" s="105"/>
    </row>
    <row r="455" spans="2:16" x14ac:dyDescent="0.25">
      <c r="B455" s="103">
        <v>1681</v>
      </c>
      <c r="C455" s="104" t="s">
        <v>3560</v>
      </c>
      <c r="D455" s="104" t="s">
        <v>2020</v>
      </c>
      <c r="E455" s="104" t="s">
        <v>2025</v>
      </c>
      <c r="F455" s="105" t="s">
        <v>3094</v>
      </c>
      <c r="H455" s="45" t="str">
        <f t="shared" si="18"/>
        <v>Marija – Tišljar – OK Orion – Ž21B</v>
      </c>
      <c r="J455" s="45" t="str">
        <f t="shared" si="19"/>
        <v>Marija – Tišljar – OK Orion</v>
      </c>
      <c r="L455" s="45" t="str">
        <f t="shared" si="20"/>
        <v>Marija – Tišljar</v>
      </c>
      <c r="N455" s="103"/>
      <c r="O455" s="104"/>
      <c r="P455" s="105"/>
    </row>
    <row r="456" spans="2:16" x14ac:dyDescent="0.25">
      <c r="B456" s="103">
        <v>1155</v>
      </c>
      <c r="C456" s="104" t="s">
        <v>4039</v>
      </c>
      <c r="D456" s="104" t="s">
        <v>2020</v>
      </c>
      <c r="E456" s="104" t="s">
        <v>2025</v>
      </c>
      <c r="F456" s="105" t="s">
        <v>652</v>
      </c>
      <c r="H456" s="45" t="str">
        <f t="shared" si="18"/>
        <v>Mirko – Tišljar – OK Orion – M16</v>
      </c>
      <c r="J456" s="45" t="str">
        <f t="shared" si="19"/>
        <v>Mirko – Tišljar – OK Orion</v>
      </c>
      <c r="L456" s="45" t="str">
        <f t="shared" si="20"/>
        <v>Mirko – Tišljar</v>
      </c>
      <c r="N456" s="103"/>
      <c r="O456" s="104"/>
      <c r="P456" s="105"/>
    </row>
    <row r="457" spans="2:16" x14ac:dyDescent="0.25">
      <c r="B457" s="103">
        <v>1838</v>
      </c>
      <c r="C457" s="104" t="s">
        <v>2437</v>
      </c>
      <c r="D457" s="104" t="s">
        <v>4040</v>
      </c>
      <c r="E457" s="104" t="s">
        <v>1925</v>
      </c>
      <c r="F457" s="105"/>
      <c r="H457" s="45" t="str">
        <f t="shared" si="18"/>
        <v>Ana – Grbac – OK Ris</v>
      </c>
      <c r="J457" s="45" t="str">
        <f t="shared" si="19"/>
        <v>Ana – Grbac – OK Ris</v>
      </c>
      <c r="L457" s="45" t="str">
        <f t="shared" si="20"/>
        <v>Ana – Grbac</v>
      </c>
      <c r="N457" s="103"/>
      <c r="O457" s="104"/>
      <c r="P457" s="105"/>
    </row>
    <row r="458" spans="2:16" x14ac:dyDescent="0.25">
      <c r="B458" s="103">
        <v>1827</v>
      </c>
      <c r="C458" s="104" t="s">
        <v>741</v>
      </c>
      <c r="D458" s="104" t="s">
        <v>4040</v>
      </c>
      <c r="E458" s="104" t="s">
        <v>1925</v>
      </c>
      <c r="F458" s="105"/>
      <c r="H458" s="45" t="str">
        <f t="shared" si="18"/>
        <v>Goran – Grbac – OK Ris</v>
      </c>
      <c r="J458" s="45" t="str">
        <f t="shared" si="19"/>
        <v>Goran – Grbac – OK Ris</v>
      </c>
      <c r="L458" s="45" t="str">
        <f t="shared" si="20"/>
        <v>Goran – Grbac</v>
      </c>
      <c r="N458" s="103"/>
      <c r="O458" s="104"/>
      <c r="P458" s="105"/>
    </row>
    <row r="459" spans="2:16" x14ac:dyDescent="0.25">
      <c r="B459" s="103">
        <v>1830</v>
      </c>
      <c r="C459" s="104" t="s">
        <v>4041</v>
      </c>
      <c r="D459" s="104" t="s">
        <v>1497</v>
      </c>
      <c r="E459" s="104" t="s">
        <v>1925</v>
      </c>
      <c r="F459" s="105"/>
      <c r="H459" s="45" t="str">
        <f t="shared" ref="H459:H522" si="21">IF(C459="","",C459) &amp; IF(D459="",""," – " &amp; D459) &amp; IF(E459="",""," – " &amp; E459) &amp; IF(F459="",""," – " &amp; F459)</f>
        <v>Toni – Nikola – OK Ris</v>
      </c>
      <c r="J459" s="45" t="str">
        <f t="shared" ref="J459:J522" si="22">IF(C459="","",C459) &amp; IF(D459="",""," – " &amp; D459) &amp; IF(E459="",""," – " &amp; E459)</f>
        <v>Toni – Nikola – OK Ris</v>
      </c>
      <c r="L459" s="45" t="str">
        <f t="shared" ref="L459:L522" si="23">IF(C459="","",C459) &amp; IF(D459="",""," – " &amp; D459)</f>
        <v>Toni – Nikola</v>
      </c>
      <c r="N459" s="103"/>
      <c r="O459" s="104"/>
      <c r="P459" s="105"/>
    </row>
    <row r="460" spans="2:16" x14ac:dyDescent="0.25">
      <c r="B460" s="103">
        <v>1966</v>
      </c>
      <c r="C460" s="104" t="s">
        <v>2925</v>
      </c>
      <c r="D460" s="104" t="s">
        <v>1921</v>
      </c>
      <c r="E460" s="104" t="s">
        <v>1925</v>
      </c>
      <c r="F460" s="105"/>
      <c r="H460" s="45" t="str">
        <f t="shared" si="21"/>
        <v>Dorja – Salopek – OK Ris</v>
      </c>
      <c r="J460" s="45" t="str">
        <f t="shared" si="22"/>
        <v>Dorja – Salopek – OK Ris</v>
      </c>
      <c r="L460" s="45" t="str">
        <f t="shared" si="23"/>
        <v>Dorja – Salopek</v>
      </c>
      <c r="N460" s="103"/>
      <c r="O460" s="104"/>
      <c r="P460" s="105"/>
    </row>
    <row r="461" spans="2:16" x14ac:dyDescent="0.25">
      <c r="B461" s="103">
        <v>1835</v>
      </c>
      <c r="C461" s="104" t="s">
        <v>1306</v>
      </c>
      <c r="D461" s="104" t="s">
        <v>1921</v>
      </c>
      <c r="E461" s="104" t="s">
        <v>1925</v>
      </c>
      <c r="F461" s="105"/>
      <c r="H461" s="45" t="str">
        <f t="shared" si="21"/>
        <v>Tihomir – Salopek – OK Ris</v>
      </c>
      <c r="J461" s="45" t="str">
        <f t="shared" si="22"/>
        <v>Tihomir – Salopek – OK Ris</v>
      </c>
      <c r="L461" s="45" t="str">
        <f t="shared" si="23"/>
        <v>Tihomir – Salopek</v>
      </c>
      <c r="N461" s="103"/>
      <c r="O461" s="104"/>
      <c r="P461" s="105"/>
    </row>
    <row r="462" spans="2:16" x14ac:dyDescent="0.25">
      <c r="B462" s="103">
        <v>1832</v>
      </c>
      <c r="C462" s="104" t="s">
        <v>4042</v>
      </c>
      <c r="D462" s="104" t="s">
        <v>1921</v>
      </c>
      <c r="E462" s="104" t="s">
        <v>1925</v>
      </c>
      <c r="F462" s="105"/>
      <c r="H462" s="45" t="str">
        <f t="shared" si="21"/>
        <v>Tihon – Salopek – OK Ris</v>
      </c>
      <c r="J462" s="45" t="str">
        <f t="shared" si="22"/>
        <v>Tihon – Salopek – OK Ris</v>
      </c>
      <c r="L462" s="45" t="str">
        <f t="shared" si="23"/>
        <v>Tihon – Salopek</v>
      </c>
      <c r="N462" s="103"/>
      <c r="O462" s="104"/>
      <c r="P462" s="105"/>
    </row>
    <row r="463" spans="2:16" x14ac:dyDescent="0.25">
      <c r="B463" s="103">
        <v>1833</v>
      </c>
      <c r="C463" s="104" t="s">
        <v>3993</v>
      </c>
      <c r="D463" s="104" t="s">
        <v>4043</v>
      </c>
      <c r="E463" s="104" t="s">
        <v>1925</v>
      </c>
      <c r="F463" s="105"/>
      <c r="H463" s="45" t="str">
        <f t="shared" si="21"/>
        <v>Andrej – Šubat – OK Ris</v>
      </c>
      <c r="J463" s="45" t="str">
        <f t="shared" si="22"/>
        <v>Andrej – Šubat – OK Ris</v>
      </c>
      <c r="L463" s="45" t="str">
        <f t="shared" si="23"/>
        <v>Andrej – Šubat</v>
      </c>
      <c r="N463" s="103"/>
      <c r="O463" s="104"/>
      <c r="P463" s="105"/>
    </row>
    <row r="464" spans="2:16" x14ac:dyDescent="0.25">
      <c r="B464" s="103">
        <v>1831</v>
      </c>
      <c r="C464" s="104" t="s">
        <v>4044</v>
      </c>
      <c r="D464" s="104" t="s">
        <v>4045</v>
      </c>
      <c r="E464" s="104" t="s">
        <v>1925</v>
      </c>
      <c r="F464" s="105"/>
      <c r="H464" s="45" t="str">
        <f t="shared" si="21"/>
        <v>Patricija – Urbanc – OK Ris</v>
      </c>
      <c r="J464" s="45" t="str">
        <f t="shared" si="22"/>
        <v>Patricija – Urbanc – OK Ris</v>
      </c>
      <c r="L464" s="45" t="str">
        <f t="shared" si="23"/>
        <v>Patricija – Urbanc</v>
      </c>
      <c r="N464" s="103"/>
      <c r="O464" s="104"/>
      <c r="P464" s="105"/>
    </row>
    <row r="465" spans="2:16" x14ac:dyDescent="0.25">
      <c r="B465" s="103">
        <v>1634</v>
      </c>
      <c r="C465" s="104" t="s">
        <v>2437</v>
      </c>
      <c r="D465" s="104" t="s">
        <v>4046</v>
      </c>
      <c r="E465" s="104" t="s">
        <v>3731</v>
      </c>
      <c r="F465" s="105" t="s">
        <v>2928</v>
      </c>
      <c r="H465" s="45" t="str">
        <f t="shared" si="21"/>
        <v>Ana – Balaban – OK Sova – Ž20</v>
      </c>
      <c r="J465" s="45" t="str">
        <f t="shared" si="22"/>
        <v>Ana – Balaban – OK Sova</v>
      </c>
      <c r="L465" s="45" t="str">
        <f t="shared" si="23"/>
        <v>Ana – Balaban</v>
      </c>
      <c r="N465" s="103"/>
      <c r="O465" s="104"/>
      <c r="P465" s="105"/>
    </row>
    <row r="466" spans="2:16" x14ac:dyDescent="0.25">
      <c r="B466" s="103">
        <v>1632</v>
      </c>
      <c r="C466" s="104" t="s">
        <v>2485</v>
      </c>
      <c r="D466" s="104" t="s">
        <v>4046</v>
      </c>
      <c r="E466" s="104" t="s">
        <v>3731</v>
      </c>
      <c r="F466" s="105" t="s">
        <v>2766</v>
      </c>
      <c r="H466" s="45" t="str">
        <f t="shared" si="21"/>
        <v>Iva – Balaban – OK Sova – Ž16</v>
      </c>
      <c r="J466" s="45" t="str">
        <f t="shared" si="22"/>
        <v>Iva – Balaban – OK Sova</v>
      </c>
      <c r="L466" s="45" t="str">
        <f t="shared" si="23"/>
        <v>Iva – Balaban</v>
      </c>
      <c r="N466" s="103"/>
      <c r="O466" s="104"/>
      <c r="P466" s="105"/>
    </row>
    <row r="467" spans="2:16" x14ac:dyDescent="0.25">
      <c r="B467" s="103">
        <v>1731</v>
      </c>
      <c r="C467" s="104" t="s">
        <v>4047</v>
      </c>
      <c r="D467" s="104" t="s">
        <v>4048</v>
      </c>
      <c r="E467" s="104" t="s">
        <v>3731</v>
      </c>
      <c r="F467" s="105"/>
      <c r="H467" s="45" t="str">
        <f t="shared" si="21"/>
        <v>Silvija – Balent – OK Sova</v>
      </c>
      <c r="J467" s="45" t="str">
        <f t="shared" si="22"/>
        <v>Silvija – Balent – OK Sova</v>
      </c>
      <c r="L467" s="45" t="str">
        <f t="shared" si="23"/>
        <v>Silvija – Balent</v>
      </c>
      <c r="N467" s="103"/>
      <c r="O467" s="104"/>
      <c r="P467" s="105"/>
    </row>
    <row r="468" spans="2:16" x14ac:dyDescent="0.25">
      <c r="B468" s="103">
        <v>1743</v>
      </c>
      <c r="C468" s="104" t="s">
        <v>2485</v>
      </c>
      <c r="D468" s="104" t="s">
        <v>4049</v>
      </c>
      <c r="E468" s="104" t="s">
        <v>3731</v>
      </c>
      <c r="F468" s="105"/>
      <c r="H468" s="45" t="str">
        <f t="shared" si="21"/>
        <v>Iva – Baržić – OK Sova</v>
      </c>
      <c r="J468" s="45" t="str">
        <f t="shared" si="22"/>
        <v>Iva – Baržić – OK Sova</v>
      </c>
      <c r="L468" s="45" t="str">
        <f t="shared" si="23"/>
        <v>Iva – Baržić</v>
      </c>
      <c r="N468" s="103"/>
      <c r="O468" s="104"/>
      <c r="P468" s="105"/>
    </row>
    <row r="469" spans="2:16" x14ac:dyDescent="0.25">
      <c r="B469" s="103">
        <v>1738</v>
      </c>
      <c r="C469" s="104" t="s">
        <v>1497</v>
      </c>
      <c r="D469" s="104" t="s">
        <v>4050</v>
      </c>
      <c r="E469" s="104" t="s">
        <v>3731</v>
      </c>
      <c r="F469" s="105"/>
      <c r="H469" s="45" t="str">
        <f t="shared" si="21"/>
        <v>Nikola – Bićanić – OK Sova</v>
      </c>
      <c r="J469" s="45" t="str">
        <f t="shared" si="22"/>
        <v>Nikola – Bićanić – OK Sova</v>
      </c>
      <c r="L469" s="45" t="str">
        <f t="shared" si="23"/>
        <v>Nikola – Bićanić</v>
      </c>
      <c r="N469" s="103"/>
      <c r="O469" s="104"/>
      <c r="P469" s="105"/>
    </row>
    <row r="470" spans="2:16" x14ac:dyDescent="0.25">
      <c r="B470" s="103">
        <v>1839</v>
      </c>
      <c r="C470" s="104" t="s">
        <v>405</v>
      </c>
      <c r="D470" s="104" t="s">
        <v>4051</v>
      </c>
      <c r="E470" s="104" t="s">
        <v>3731</v>
      </c>
      <c r="F470" s="105" t="s">
        <v>1130</v>
      </c>
      <c r="H470" s="45" t="str">
        <f t="shared" si="21"/>
        <v>Mario – Bilandžija – OK Sova – M21B</v>
      </c>
      <c r="J470" s="45" t="str">
        <f t="shared" si="22"/>
        <v>Mario – Bilandžija – OK Sova</v>
      </c>
      <c r="L470" s="45" t="str">
        <f t="shared" si="23"/>
        <v>Mario – Bilandžija</v>
      </c>
      <c r="N470" s="103"/>
      <c r="O470" s="104"/>
      <c r="P470" s="105"/>
    </row>
    <row r="471" spans="2:16" x14ac:dyDescent="0.25">
      <c r="B471" s="103">
        <v>1594</v>
      </c>
      <c r="C471" s="104" t="s">
        <v>3993</v>
      </c>
      <c r="D471" s="104" t="s">
        <v>4052</v>
      </c>
      <c r="E471" s="104" t="s">
        <v>3731</v>
      </c>
      <c r="F471" s="105" t="s">
        <v>1130</v>
      </c>
      <c r="H471" s="45" t="str">
        <f t="shared" si="21"/>
        <v>Andrej – Biro – OK Sova – M21B</v>
      </c>
      <c r="J471" s="45" t="str">
        <f t="shared" si="22"/>
        <v>Andrej – Biro – OK Sova</v>
      </c>
      <c r="L471" s="45" t="str">
        <f t="shared" si="23"/>
        <v>Andrej – Biro</v>
      </c>
      <c r="N471" s="103"/>
      <c r="O471" s="104"/>
      <c r="P471" s="105"/>
    </row>
    <row r="472" spans="2:16" x14ac:dyDescent="0.25">
      <c r="B472" s="103">
        <v>1636</v>
      </c>
      <c r="C472" s="104" t="s">
        <v>4053</v>
      </c>
      <c r="D472" s="104" t="s">
        <v>4054</v>
      </c>
      <c r="E472" s="104" t="s">
        <v>3731</v>
      </c>
      <c r="F472" s="105" t="s">
        <v>1130</v>
      </c>
      <c r="H472" s="45" t="str">
        <f t="shared" si="21"/>
        <v>Mateo – Bojo – OK Sova – M21B</v>
      </c>
      <c r="J472" s="45" t="str">
        <f t="shared" si="22"/>
        <v>Mateo – Bojo – OK Sova</v>
      </c>
      <c r="L472" s="45" t="str">
        <f t="shared" si="23"/>
        <v>Mateo – Bojo</v>
      </c>
      <c r="N472" s="103"/>
      <c r="O472" s="104"/>
      <c r="P472" s="105"/>
    </row>
    <row r="473" spans="2:16" x14ac:dyDescent="0.25">
      <c r="B473" s="103">
        <v>1736</v>
      </c>
      <c r="C473" s="104" t="s">
        <v>4055</v>
      </c>
      <c r="D473" s="104" t="s">
        <v>4056</v>
      </c>
      <c r="E473" s="104" t="s">
        <v>3731</v>
      </c>
      <c r="F473" s="105"/>
      <c r="H473" s="45" t="str">
        <f t="shared" si="21"/>
        <v>Sven – Brkanić – OK Sova</v>
      </c>
      <c r="J473" s="45" t="str">
        <f t="shared" si="22"/>
        <v>Sven – Brkanić – OK Sova</v>
      </c>
      <c r="L473" s="45" t="str">
        <f t="shared" si="23"/>
        <v>Sven – Brkanić</v>
      </c>
      <c r="N473" s="103"/>
      <c r="O473" s="104"/>
      <c r="P473" s="105"/>
    </row>
    <row r="474" spans="2:16" x14ac:dyDescent="0.25">
      <c r="B474" s="103">
        <v>1651</v>
      </c>
      <c r="C474" s="104" t="s">
        <v>4057</v>
      </c>
      <c r="D474" s="104" t="s">
        <v>4058</v>
      </c>
      <c r="E474" s="104" t="s">
        <v>3731</v>
      </c>
      <c r="F474" s="105" t="s">
        <v>3094</v>
      </c>
      <c r="H474" s="45" t="str">
        <f t="shared" si="21"/>
        <v>Diana – Buzov – OK Sova – Ž21B</v>
      </c>
      <c r="J474" s="45" t="str">
        <f t="shared" si="22"/>
        <v>Diana – Buzov – OK Sova</v>
      </c>
      <c r="L474" s="45" t="str">
        <f t="shared" si="23"/>
        <v>Diana – Buzov</v>
      </c>
      <c r="N474" s="103"/>
      <c r="O474" s="104"/>
      <c r="P474" s="105"/>
    </row>
    <row r="475" spans="2:16" x14ac:dyDescent="0.25">
      <c r="B475" s="103">
        <v>1648</v>
      </c>
      <c r="C475" s="104" t="s">
        <v>3955</v>
      </c>
      <c r="D475" s="104" t="s">
        <v>4059</v>
      </c>
      <c r="E475" s="104" t="s">
        <v>3731</v>
      </c>
      <c r="F475" s="105" t="s">
        <v>3001</v>
      </c>
      <c r="H475" s="45" t="str">
        <f t="shared" si="21"/>
        <v>Marijana – Čerkezović – OK Sova – Ž21A</v>
      </c>
      <c r="J475" s="45" t="str">
        <f t="shared" si="22"/>
        <v>Marijana – Čerkezović – OK Sova</v>
      </c>
      <c r="L475" s="45" t="str">
        <f t="shared" si="23"/>
        <v>Marijana – Čerkezović</v>
      </c>
      <c r="N475" s="103"/>
      <c r="O475" s="104"/>
      <c r="P475" s="105"/>
    </row>
    <row r="476" spans="2:16" x14ac:dyDescent="0.25">
      <c r="B476" s="103">
        <v>1740</v>
      </c>
      <c r="C476" s="104" t="s">
        <v>4060</v>
      </c>
      <c r="D476" s="104" t="s">
        <v>4061</v>
      </c>
      <c r="E476" s="104" t="s">
        <v>3731</v>
      </c>
      <c r="F476" s="105"/>
      <c r="H476" s="45" t="str">
        <f t="shared" si="21"/>
        <v>Manuela – Crnković – OK Sova</v>
      </c>
      <c r="J476" s="45" t="str">
        <f t="shared" si="22"/>
        <v>Manuela – Crnković – OK Sova</v>
      </c>
      <c r="L476" s="45" t="str">
        <f t="shared" si="23"/>
        <v>Manuela – Crnković</v>
      </c>
      <c r="N476" s="103"/>
      <c r="O476" s="104"/>
      <c r="P476" s="105"/>
    </row>
    <row r="477" spans="2:16" x14ac:dyDescent="0.25">
      <c r="B477" s="103">
        <v>1570</v>
      </c>
      <c r="C477" s="104" t="s">
        <v>4062</v>
      </c>
      <c r="D477" s="104" t="s">
        <v>4063</v>
      </c>
      <c r="E477" s="104" t="s">
        <v>3731</v>
      </c>
      <c r="F477" s="105" t="s">
        <v>1130</v>
      </c>
      <c r="H477" s="45" t="str">
        <f t="shared" si="21"/>
        <v>Nebojša – Čubra – OK Sova – M21B</v>
      </c>
      <c r="J477" s="45" t="str">
        <f t="shared" si="22"/>
        <v>Nebojša – Čubra – OK Sova</v>
      </c>
      <c r="L477" s="45" t="str">
        <f t="shared" si="23"/>
        <v>Nebojša – Čubra</v>
      </c>
      <c r="N477" s="103"/>
      <c r="O477" s="104"/>
      <c r="P477" s="105"/>
    </row>
    <row r="478" spans="2:16" x14ac:dyDescent="0.25">
      <c r="B478" s="103">
        <v>1735</v>
      </c>
      <c r="C478" s="104" t="s">
        <v>1029</v>
      </c>
      <c r="D478" s="104" t="s">
        <v>4064</v>
      </c>
      <c r="E478" s="104" t="s">
        <v>3731</v>
      </c>
      <c r="F478" s="105"/>
      <c r="H478" s="45" t="str">
        <f t="shared" si="21"/>
        <v>Tomislav – Čulina – OK Sova</v>
      </c>
      <c r="J478" s="45" t="str">
        <f t="shared" si="22"/>
        <v>Tomislav – Čulina – OK Sova</v>
      </c>
      <c r="L478" s="45" t="str">
        <f t="shared" si="23"/>
        <v>Tomislav – Čulina</v>
      </c>
      <c r="N478" s="103"/>
      <c r="O478" s="104"/>
      <c r="P478" s="105"/>
    </row>
    <row r="479" spans="2:16" x14ac:dyDescent="0.25">
      <c r="B479" s="103">
        <v>1588</v>
      </c>
      <c r="C479" s="104" t="s">
        <v>438</v>
      </c>
      <c r="D479" s="104" t="s">
        <v>4065</v>
      </c>
      <c r="E479" s="104" t="s">
        <v>3731</v>
      </c>
      <c r="F479" s="105" t="s">
        <v>1130</v>
      </c>
      <c r="H479" s="45" t="str">
        <f t="shared" si="21"/>
        <v>Ivan – Čurić – OK Sova – M21B</v>
      </c>
      <c r="J479" s="45" t="str">
        <f t="shared" si="22"/>
        <v>Ivan – Čurić – OK Sova</v>
      </c>
      <c r="L479" s="45" t="str">
        <f t="shared" si="23"/>
        <v>Ivan – Čurić</v>
      </c>
      <c r="N479" s="103"/>
      <c r="O479" s="104"/>
      <c r="P479" s="105"/>
    </row>
    <row r="480" spans="2:16" x14ac:dyDescent="0.25">
      <c r="B480" s="103">
        <v>1732</v>
      </c>
      <c r="C480" s="104" t="s">
        <v>2511</v>
      </c>
      <c r="D480" s="104" t="s">
        <v>4066</v>
      </c>
      <c r="E480" s="104" t="s">
        <v>3731</v>
      </c>
      <c r="F480" s="105"/>
      <c r="H480" s="45" t="str">
        <f t="shared" si="21"/>
        <v>Antonija – Damjanović – OK Sova</v>
      </c>
      <c r="J480" s="45" t="str">
        <f t="shared" si="22"/>
        <v>Antonija – Damjanović – OK Sova</v>
      </c>
      <c r="L480" s="45" t="str">
        <f t="shared" si="23"/>
        <v>Antonija – Damjanović</v>
      </c>
      <c r="N480" s="103"/>
      <c r="O480" s="104"/>
      <c r="P480" s="105"/>
    </row>
    <row r="481" spans="2:16" x14ac:dyDescent="0.25">
      <c r="B481" s="103">
        <v>1640</v>
      </c>
      <c r="C481" s="104" t="s">
        <v>3919</v>
      </c>
      <c r="D481" s="104" t="s">
        <v>4067</v>
      </c>
      <c r="E481" s="104" t="s">
        <v>3731</v>
      </c>
      <c r="F481" s="105"/>
      <c r="H481" s="45" t="str">
        <f t="shared" si="21"/>
        <v>Tamara – Filipović – OK Sova</v>
      </c>
      <c r="J481" s="45" t="str">
        <f t="shared" si="22"/>
        <v>Tamara – Filipović – OK Sova</v>
      </c>
      <c r="L481" s="45" t="str">
        <f t="shared" si="23"/>
        <v>Tamara – Filipović</v>
      </c>
      <c r="N481" s="103"/>
      <c r="O481" s="104"/>
      <c r="P481" s="105"/>
    </row>
    <row r="482" spans="2:16" x14ac:dyDescent="0.25">
      <c r="B482" s="103">
        <v>1604</v>
      </c>
      <c r="C482" s="104" t="s">
        <v>405</v>
      </c>
      <c r="D482" s="104" t="s">
        <v>4068</v>
      </c>
      <c r="E482" s="104" t="s">
        <v>3731</v>
      </c>
      <c r="F482" s="105" t="s">
        <v>1130</v>
      </c>
      <c r="H482" s="45" t="str">
        <f t="shared" si="21"/>
        <v>Mario – Gabrić – OK Sova – M21B</v>
      </c>
      <c r="J482" s="45" t="str">
        <f t="shared" si="22"/>
        <v>Mario – Gabrić – OK Sova</v>
      </c>
      <c r="L482" s="45" t="str">
        <f t="shared" si="23"/>
        <v>Mario – Gabrić</v>
      </c>
      <c r="N482" s="103"/>
      <c r="O482" s="104"/>
      <c r="P482" s="105"/>
    </row>
    <row r="483" spans="2:16" x14ac:dyDescent="0.25">
      <c r="B483" s="103">
        <v>1603</v>
      </c>
      <c r="C483" s="104" t="s">
        <v>405</v>
      </c>
      <c r="D483" s="104" t="s">
        <v>4069</v>
      </c>
      <c r="E483" s="104" t="s">
        <v>3731</v>
      </c>
      <c r="F483" s="105" t="s">
        <v>1575</v>
      </c>
      <c r="H483" s="45" t="str">
        <f t="shared" si="21"/>
        <v>Mario – Gotal – OK Sova – M35</v>
      </c>
      <c r="J483" s="45" t="str">
        <f t="shared" si="22"/>
        <v>Mario – Gotal – OK Sova</v>
      </c>
      <c r="L483" s="45" t="str">
        <f t="shared" si="23"/>
        <v>Mario – Gotal</v>
      </c>
      <c r="N483" s="103"/>
      <c r="O483" s="104"/>
      <c r="P483" s="105"/>
    </row>
    <row r="484" spans="2:16" x14ac:dyDescent="0.25">
      <c r="B484" s="103">
        <v>1639</v>
      </c>
      <c r="C484" s="104" t="s">
        <v>1483</v>
      </c>
      <c r="D484" s="104" t="s">
        <v>4070</v>
      </c>
      <c r="E484" s="104" t="s">
        <v>3731</v>
      </c>
      <c r="F484" s="105" t="s">
        <v>1130</v>
      </c>
      <c r="H484" s="45" t="str">
        <f t="shared" si="21"/>
        <v>Hrvoje – Grginov – OK Sova – M21B</v>
      </c>
      <c r="J484" s="45" t="str">
        <f t="shared" si="22"/>
        <v>Hrvoje – Grginov – OK Sova</v>
      </c>
      <c r="L484" s="45" t="str">
        <f t="shared" si="23"/>
        <v>Hrvoje – Grginov</v>
      </c>
      <c r="N484" s="103"/>
      <c r="O484" s="104"/>
      <c r="P484" s="105"/>
    </row>
    <row r="485" spans="2:16" x14ac:dyDescent="0.25">
      <c r="B485" s="103">
        <v>1635</v>
      </c>
      <c r="C485" s="104" t="s">
        <v>509</v>
      </c>
      <c r="D485" s="104" t="s">
        <v>4071</v>
      </c>
      <c r="E485" s="104" t="s">
        <v>3731</v>
      </c>
      <c r="F485" s="105" t="s">
        <v>1130</v>
      </c>
      <c r="H485" s="45" t="str">
        <f t="shared" si="21"/>
        <v>Luka – Ivković – OK Sova – M21B</v>
      </c>
      <c r="J485" s="45" t="str">
        <f t="shared" si="22"/>
        <v>Luka – Ivković – OK Sova</v>
      </c>
      <c r="L485" s="45" t="str">
        <f t="shared" si="23"/>
        <v>Luka – Ivković</v>
      </c>
      <c r="N485" s="103"/>
      <c r="O485" s="104"/>
      <c r="P485" s="105"/>
    </row>
    <row r="486" spans="2:16" x14ac:dyDescent="0.25">
      <c r="B486" s="103">
        <v>1631</v>
      </c>
      <c r="C486" s="104" t="s">
        <v>2634</v>
      </c>
      <c r="D486" s="104" t="s">
        <v>4071</v>
      </c>
      <c r="E486" s="104" t="s">
        <v>3731</v>
      </c>
      <c r="F486" s="105" t="s">
        <v>3001</v>
      </c>
      <c r="H486" s="45" t="str">
        <f t="shared" si="21"/>
        <v>Sara – Ivković – OK Sova – Ž21A</v>
      </c>
      <c r="J486" s="45" t="str">
        <f t="shared" si="22"/>
        <v>Sara – Ivković – OK Sova</v>
      </c>
      <c r="L486" s="45" t="str">
        <f t="shared" si="23"/>
        <v>Sara – Ivković</v>
      </c>
      <c r="N486" s="103"/>
      <c r="O486" s="104"/>
      <c r="P486" s="105"/>
    </row>
    <row r="487" spans="2:16" x14ac:dyDescent="0.25">
      <c r="B487" s="103">
        <v>1616</v>
      </c>
      <c r="C487" s="104" t="s">
        <v>438</v>
      </c>
      <c r="D487" s="104" t="s">
        <v>4072</v>
      </c>
      <c r="E487" s="104" t="s">
        <v>3731</v>
      </c>
      <c r="F487" s="105" t="s">
        <v>1130</v>
      </c>
      <c r="H487" s="45" t="str">
        <f t="shared" si="21"/>
        <v>Ivan – Jukić – OK Sova – M21B</v>
      </c>
      <c r="J487" s="45" t="str">
        <f t="shared" si="22"/>
        <v>Ivan – Jukić – OK Sova</v>
      </c>
      <c r="L487" s="45" t="str">
        <f t="shared" si="23"/>
        <v>Ivan – Jukić</v>
      </c>
      <c r="N487" s="103"/>
      <c r="O487" s="104"/>
      <c r="P487" s="105"/>
    </row>
    <row r="488" spans="2:16" x14ac:dyDescent="0.25">
      <c r="B488" s="103">
        <v>1620</v>
      </c>
      <c r="C488" s="104" t="s">
        <v>476</v>
      </c>
      <c r="D488" s="104" t="s">
        <v>4073</v>
      </c>
      <c r="E488" s="104" t="s">
        <v>3731</v>
      </c>
      <c r="F488" s="105" t="s">
        <v>1130</v>
      </c>
      <c r="H488" s="45" t="str">
        <f t="shared" si="21"/>
        <v>Jakov – Kamenicki – OK Sova – M21B</v>
      </c>
      <c r="J488" s="45" t="str">
        <f t="shared" si="22"/>
        <v>Jakov – Kamenicki – OK Sova</v>
      </c>
      <c r="L488" s="45" t="str">
        <f t="shared" si="23"/>
        <v>Jakov – Kamenicki</v>
      </c>
      <c r="N488" s="103"/>
      <c r="O488" s="104"/>
      <c r="P488" s="105"/>
    </row>
    <row r="489" spans="2:16" x14ac:dyDescent="0.25">
      <c r="B489" s="103">
        <v>1729</v>
      </c>
      <c r="C489" s="104" t="s">
        <v>1209</v>
      </c>
      <c r="D489" s="104" t="s">
        <v>4074</v>
      </c>
      <c r="E489" s="104" t="s">
        <v>3731</v>
      </c>
      <c r="F489" s="105"/>
      <c r="H489" s="45" t="str">
        <f t="shared" si="21"/>
        <v>Branimir – Kelava – OK Sova</v>
      </c>
      <c r="J489" s="45" t="str">
        <f t="shared" si="22"/>
        <v>Branimir – Kelava – OK Sova</v>
      </c>
      <c r="L489" s="45" t="str">
        <f t="shared" si="23"/>
        <v>Branimir – Kelava</v>
      </c>
      <c r="N489" s="103"/>
      <c r="O489" s="104"/>
      <c r="P489" s="105"/>
    </row>
    <row r="490" spans="2:16" x14ac:dyDescent="0.25">
      <c r="B490" s="103">
        <v>1602</v>
      </c>
      <c r="C490" s="104" t="s">
        <v>590</v>
      </c>
      <c r="D490" s="104" t="s">
        <v>4075</v>
      </c>
      <c r="E490" s="104" t="s">
        <v>3731</v>
      </c>
      <c r="F490" s="105" t="s">
        <v>652</v>
      </c>
      <c r="H490" s="45" t="str">
        <f t="shared" si="21"/>
        <v>Karlo – Kobijak – OK Sova – M16</v>
      </c>
      <c r="J490" s="45" t="str">
        <f t="shared" si="22"/>
        <v>Karlo – Kobijak – OK Sova</v>
      </c>
      <c r="L490" s="45" t="str">
        <f t="shared" si="23"/>
        <v>Karlo – Kobijak</v>
      </c>
      <c r="N490" s="103"/>
      <c r="O490" s="104"/>
      <c r="P490" s="105"/>
    </row>
    <row r="491" spans="2:16" x14ac:dyDescent="0.25">
      <c r="B491" s="103">
        <v>1647</v>
      </c>
      <c r="C491" s="104" t="s">
        <v>1663</v>
      </c>
      <c r="D491" s="104" t="s">
        <v>4076</v>
      </c>
      <c r="E491" s="104" t="s">
        <v>3731</v>
      </c>
      <c r="F491" s="105" t="s">
        <v>1130</v>
      </c>
      <c r="H491" s="45" t="str">
        <f t="shared" si="21"/>
        <v>Krunoslav – Kokoš – OK Sova – M21B</v>
      </c>
      <c r="J491" s="45" t="str">
        <f t="shared" si="22"/>
        <v>Krunoslav – Kokoš – OK Sova</v>
      </c>
      <c r="L491" s="45" t="str">
        <f t="shared" si="23"/>
        <v>Krunoslav – Kokoš</v>
      </c>
      <c r="N491" s="103"/>
      <c r="O491" s="104"/>
      <c r="P491" s="105"/>
    </row>
    <row r="492" spans="2:16" x14ac:dyDescent="0.25">
      <c r="B492" s="103">
        <v>1574</v>
      </c>
      <c r="C492" s="104" t="s">
        <v>1336</v>
      </c>
      <c r="D492" s="104" t="s">
        <v>4077</v>
      </c>
      <c r="E492" s="104" t="s">
        <v>3731</v>
      </c>
      <c r="F492" s="105" t="s">
        <v>1130</v>
      </c>
      <c r="H492" s="45" t="str">
        <f t="shared" si="21"/>
        <v>Dario – Kostrić – OK Sova – M21B</v>
      </c>
      <c r="J492" s="45" t="str">
        <f t="shared" si="22"/>
        <v>Dario – Kostrić – OK Sova</v>
      </c>
      <c r="L492" s="45" t="str">
        <f t="shared" si="23"/>
        <v>Dario – Kostrić</v>
      </c>
      <c r="N492" s="103"/>
      <c r="O492" s="104"/>
      <c r="P492" s="105"/>
    </row>
    <row r="493" spans="2:16" x14ac:dyDescent="0.25">
      <c r="B493" s="103">
        <v>1613</v>
      </c>
      <c r="C493" s="104" t="s">
        <v>2437</v>
      </c>
      <c r="D493" s="104" t="s">
        <v>3922</v>
      </c>
      <c r="E493" s="104" t="s">
        <v>3731</v>
      </c>
      <c r="F493" s="105" t="s">
        <v>3001</v>
      </c>
      <c r="H493" s="45" t="str">
        <f t="shared" si="21"/>
        <v>Ana – Kovačević – OK Sova – Ž21A</v>
      </c>
      <c r="J493" s="45" t="str">
        <f t="shared" si="22"/>
        <v>Ana – Kovačević – OK Sova</v>
      </c>
      <c r="L493" s="45" t="str">
        <f t="shared" si="23"/>
        <v>Ana – Kovačević</v>
      </c>
      <c r="N493" s="103"/>
      <c r="O493" s="104"/>
      <c r="P493" s="105"/>
    </row>
    <row r="494" spans="2:16" x14ac:dyDescent="0.25">
      <c r="B494" s="103">
        <v>1742</v>
      </c>
      <c r="C494" s="104" t="s">
        <v>605</v>
      </c>
      <c r="D494" s="104" t="s">
        <v>4078</v>
      </c>
      <c r="E494" s="104" t="s">
        <v>3731</v>
      </c>
      <c r="F494" s="105"/>
      <c r="H494" s="45" t="str">
        <f t="shared" si="21"/>
        <v>Marko – Luketić – OK Sova</v>
      </c>
      <c r="J494" s="45" t="str">
        <f t="shared" si="22"/>
        <v>Marko – Luketić – OK Sova</v>
      </c>
      <c r="L494" s="45" t="str">
        <f t="shared" si="23"/>
        <v>Marko – Luketić</v>
      </c>
      <c r="N494" s="103"/>
      <c r="O494" s="104"/>
      <c r="P494" s="105"/>
    </row>
    <row r="495" spans="2:16" x14ac:dyDescent="0.25">
      <c r="B495" s="103">
        <v>1592</v>
      </c>
      <c r="C495" s="104" t="s">
        <v>1454</v>
      </c>
      <c r="D495" s="104" t="s">
        <v>4079</v>
      </c>
      <c r="E495" s="104" t="s">
        <v>3731</v>
      </c>
      <c r="F495" s="105" t="s">
        <v>2195</v>
      </c>
      <c r="H495" s="45" t="str">
        <f t="shared" si="21"/>
        <v>Franjo – Magušić – OK Sova – M55</v>
      </c>
      <c r="J495" s="45" t="str">
        <f t="shared" si="22"/>
        <v>Franjo – Magušić – OK Sova</v>
      </c>
      <c r="L495" s="45" t="str">
        <f t="shared" si="23"/>
        <v>Franjo – Magušić</v>
      </c>
      <c r="N495" s="103"/>
      <c r="O495" s="104"/>
      <c r="P495" s="105"/>
    </row>
    <row r="496" spans="2:16" x14ac:dyDescent="0.25">
      <c r="B496" s="103">
        <v>1741</v>
      </c>
      <c r="C496" s="104" t="s">
        <v>4080</v>
      </c>
      <c r="D496" s="104" t="s">
        <v>4081</v>
      </c>
      <c r="E496" s="104" t="s">
        <v>3731</v>
      </c>
      <c r="F496" s="105"/>
      <c r="H496" s="45" t="str">
        <f t="shared" si="21"/>
        <v>Stipan – Marinčić – OK Sova</v>
      </c>
      <c r="J496" s="45" t="str">
        <f t="shared" si="22"/>
        <v>Stipan – Marinčić – OK Sova</v>
      </c>
      <c r="L496" s="45" t="str">
        <f t="shared" si="23"/>
        <v>Stipan – Marinčić</v>
      </c>
      <c r="N496" s="103"/>
      <c r="O496" s="104"/>
      <c r="P496" s="105"/>
    </row>
    <row r="497" spans="2:16" x14ac:dyDescent="0.25">
      <c r="B497" s="103">
        <v>1585</v>
      </c>
      <c r="C497" s="104" t="s">
        <v>438</v>
      </c>
      <c r="D497" s="104" t="s">
        <v>4082</v>
      </c>
      <c r="E497" s="104" t="s">
        <v>3731</v>
      </c>
      <c r="F497" s="105" t="s">
        <v>1130</v>
      </c>
      <c r="H497" s="45" t="str">
        <f t="shared" si="21"/>
        <v>Ivan – Maršić – OK Sova – M21B</v>
      </c>
      <c r="J497" s="45" t="str">
        <f t="shared" si="22"/>
        <v>Ivan – Maršić – OK Sova</v>
      </c>
      <c r="L497" s="45" t="str">
        <f t="shared" si="23"/>
        <v>Ivan – Maršić</v>
      </c>
      <c r="N497" s="103"/>
      <c r="O497" s="104"/>
      <c r="P497" s="105"/>
    </row>
    <row r="498" spans="2:16" x14ac:dyDescent="0.25">
      <c r="B498" s="103">
        <v>1728</v>
      </c>
      <c r="C498" s="104" t="s">
        <v>4083</v>
      </c>
      <c r="D498" s="104" t="s">
        <v>4084</v>
      </c>
      <c r="E498" s="104" t="s">
        <v>3731</v>
      </c>
      <c r="F498" s="105"/>
      <c r="H498" s="45" t="str">
        <f t="shared" si="21"/>
        <v>Kristina – Martinčević – OK Sova</v>
      </c>
      <c r="J498" s="45" t="str">
        <f t="shared" si="22"/>
        <v>Kristina – Martinčević – OK Sova</v>
      </c>
      <c r="L498" s="45" t="str">
        <f t="shared" si="23"/>
        <v>Kristina – Martinčević</v>
      </c>
      <c r="N498" s="103"/>
      <c r="O498" s="104"/>
      <c r="P498" s="105"/>
    </row>
    <row r="499" spans="2:16" x14ac:dyDescent="0.25">
      <c r="B499" s="103">
        <v>1599</v>
      </c>
      <c r="C499" s="104" t="s">
        <v>870</v>
      </c>
      <c r="D499" s="104" t="s">
        <v>1422</v>
      </c>
      <c r="E499" s="104" t="s">
        <v>3731</v>
      </c>
      <c r="F499" s="105" t="s">
        <v>1909</v>
      </c>
      <c r="H499" s="45" t="str">
        <f t="shared" si="21"/>
        <v>Antonio – Martinović – OK Sova – M45</v>
      </c>
      <c r="J499" s="45" t="str">
        <f t="shared" si="22"/>
        <v>Antonio – Martinović – OK Sova</v>
      </c>
      <c r="L499" s="45" t="str">
        <f t="shared" si="23"/>
        <v>Antonio – Martinović</v>
      </c>
      <c r="N499" s="103"/>
      <c r="O499" s="104"/>
      <c r="P499" s="105"/>
    </row>
    <row r="500" spans="2:16" x14ac:dyDescent="0.25">
      <c r="B500" s="103">
        <v>1583</v>
      </c>
      <c r="C500" s="104" t="s">
        <v>4085</v>
      </c>
      <c r="D500" s="104" t="s">
        <v>4086</v>
      </c>
      <c r="E500" s="104" t="s">
        <v>3731</v>
      </c>
      <c r="F500" s="105" t="s">
        <v>1130</v>
      </c>
      <c r="H500" s="45" t="str">
        <f t="shared" si="21"/>
        <v>Despot – Matijević – OK Sova – M21B</v>
      </c>
      <c r="J500" s="45" t="str">
        <f t="shared" si="22"/>
        <v>Despot – Matijević – OK Sova</v>
      </c>
      <c r="L500" s="45" t="str">
        <f t="shared" si="23"/>
        <v>Despot – Matijević</v>
      </c>
      <c r="N500" s="103"/>
      <c r="O500" s="104"/>
      <c r="P500" s="105"/>
    </row>
    <row r="501" spans="2:16" x14ac:dyDescent="0.25">
      <c r="B501" s="103">
        <v>1638</v>
      </c>
      <c r="C501" s="104" t="s">
        <v>4087</v>
      </c>
      <c r="D501" s="104" t="s">
        <v>4088</v>
      </c>
      <c r="E501" s="104" t="s">
        <v>3731</v>
      </c>
      <c r="F501" s="105" t="s">
        <v>1130</v>
      </c>
      <c r="H501" s="45" t="str">
        <f t="shared" si="21"/>
        <v>Armin – Mehinović – OK Sova – M21B</v>
      </c>
      <c r="J501" s="45" t="str">
        <f t="shared" si="22"/>
        <v>Armin – Mehinović – OK Sova</v>
      </c>
      <c r="L501" s="45" t="str">
        <f t="shared" si="23"/>
        <v>Armin – Mehinović</v>
      </c>
      <c r="N501" s="103"/>
      <c r="O501" s="104"/>
      <c r="P501" s="105"/>
    </row>
    <row r="502" spans="2:16" x14ac:dyDescent="0.25">
      <c r="B502" s="103">
        <v>1589</v>
      </c>
      <c r="C502" s="104" t="s">
        <v>4089</v>
      </c>
      <c r="D502" s="104" t="s">
        <v>4090</v>
      </c>
      <c r="E502" s="104" t="s">
        <v>3731</v>
      </c>
      <c r="F502" s="105" t="s">
        <v>3001</v>
      </c>
      <c r="H502" s="45" t="str">
        <f t="shared" si="21"/>
        <v>Nastasia – Melmajer – OK Sova – Ž21A</v>
      </c>
      <c r="J502" s="45" t="str">
        <f t="shared" si="22"/>
        <v>Nastasia – Melmajer – OK Sova</v>
      </c>
      <c r="L502" s="45" t="str">
        <f t="shared" si="23"/>
        <v>Nastasia – Melmajer</v>
      </c>
      <c r="N502" s="103"/>
      <c r="O502" s="104"/>
      <c r="P502" s="105"/>
    </row>
    <row r="503" spans="2:16" x14ac:dyDescent="0.25">
      <c r="B503" s="103">
        <v>1744</v>
      </c>
      <c r="C503" s="104" t="s">
        <v>2704</v>
      </c>
      <c r="D503" s="104" t="s">
        <v>2304</v>
      </c>
      <c r="E503" s="104" t="s">
        <v>3731</v>
      </c>
      <c r="F503" s="105"/>
      <c r="H503" s="45" t="str">
        <f t="shared" si="21"/>
        <v>Ema – Mihaljević – OK Sova</v>
      </c>
      <c r="J503" s="45" t="str">
        <f t="shared" si="22"/>
        <v>Ema – Mihaljević – OK Sova</v>
      </c>
      <c r="L503" s="45" t="str">
        <f t="shared" si="23"/>
        <v>Ema – Mihaljević</v>
      </c>
      <c r="N503" s="103"/>
      <c r="O503" s="104"/>
      <c r="P503" s="105"/>
    </row>
    <row r="504" spans="2:16" x14ac:dyDescent="0.25">
      <c r="B504" s="103">
        <v>1733</v>
      </c>
      <c r="C504" s="104" t="s">
        <v>605</v>
      </c>
      <c r="D504" s="104" t="s">
        <v>4091</v>
      </c>
      <c r="E504" s="104" t="s">
        <v>3731</v>
      </c>
      <c r="F504" s="105"/>
      <c r="H504" s="45" t="str">
        <f t="shared" si="21"/>
        <v>Marko – Mirković – OK Sova</v>
      </c>
      <c r="J504" s="45" t="str">
        <f t="shared" si="22"/>
        <v>Marko – Mirković – OK Sova</v>
      </c>
      <c r="L504" s="45" t="str">
        <f t="shared" si="23"/>
        <v>Marko – Mirković</v>
      </c>
      <c r="N504" s="103"/>
      <c r="O504" s="104"/>
      <c r="P504" s="105"/>
    </row>
    <row r="505" spans="2:16" x14ac:dyDescent="0.25">
      <c r="B505" s="103">
        <v>1612</v>
      </c>
      <c r="C505" s="104" t="s">
        <v>4092</v>
      </c>
      <c r="D505" s="104" t="s">
        <v>573</v>
      </c>
      <c r="E505" s="104" t="s">
        <v>3731</v>
      </c>
      <c r="F505" s="105" t="s">
        <v>1130</v>
      </c>
      <c r="H505" s="45" t="str">
        <f t="shared" si="21"/>
        <v>Eni – Nikolić – OK Sova – M21B</v>
      </c>
      <c r="J505" s="45" t="str">
        <f t="shared" si="22"/>
        <v>Eni – Nikolić – OK Sova</v>
      </c>
      <c r="L505" s="45" t="str">
        <f t="shared" si="23"/>
        <v>Eni – Nikolić</v>
      </c>
      <c r="N505" s="103"/>
      <c r="O505" s="104"/>
      <c r="P505" s="105"/>
    </row>
    <row r="506" spans="2:16" x14ac:dyDescent="0.25">
      <c r="B506" s="103">
        <v>1622</v>
      </c>
      <c r="C506" s="104" t="s">
        <v>4093</v>
      </c>
      <c r="D506" s="104" t="s">
        <v>4094</v>
      </c>
      <c r="E506" s="104" t="s">
        <v>3731</v>
      </c>
      <c r="F506" s="105" t="s">
        <v>3265</v>
      </c>
      <c r="H506" s="45" t="str">
        <f t="shared" si="21"/>
        <v>Dolores – Pajčin – OK Sova – Ž35</v>
      </c>
      <c r="J506" s="45" t="str">
        <f t="shared" si="22"/>
        <v>Dolores – Pajčin – OK Sova</v>
      </c>
      <c r="L506" s="45" t="str">
        <f t="shared" si="23"/>
        <v>Dolores – Pajčin</v>
      </c>
      <c r="N506" s="103"/>
      <c r="O506" s="104"/>
      <c r="P506" s="105"/>
    </row>
    <row r="507" spans="2:16" x14ac:dyDescent="0.25">
      <c r="B507" s="103">
        <v>1606</v>
      </c>
      <c r="C507" s="104" t="s">
        <v>3121</v>
      </c>
      <c r="D507" s="104" t="s">
        <v>4094</v>
      </c>
      <c r="E507" s="104" t="s">
        <v>3731</v>
      </c>
      <c r="F507" s="105" t="s">
        <v>2928</v>
      </c>
      <c r="H507" s="45" t="str">
        <f t="shared" si="21"/>
        <v>Lana – Pajčin – OK Sova – Ž20</v>
      </c>
      <c r="J507" s="45" t="str">
        <f t="shared" si="22"/>
        <v>Lana – Pajčin – OK Sova</v>
      </c>
      <c r="L507" s="45" t="str">
        <f t="shared" si="23"/>
        <v>Lana – Pajčin</v>
      </c>
      <c r="N507" s="103"/>
      <c r="O507" s="104"/>
      <c r="P507" s="105"/>
    </row>
    <row r="508" spans="2:16" x14ac:dyDescent="0.25">
      <c r="B508" s="103">
        <v>1642</v>
      </c>
      <c r="C508" s="104" t="s">
        <v>1497</v>
      </c>
      <c r="D508" s="104" t="s">
        <v>4094</v>
      </c>
      <c r="E508" s="104" t="s">
        <v>3731</v>
      </c>
      <c r="F508" s="105" t="s">
        <v>1130</v>
      </c>
      <c r="H508" s="45" t="str">
        <f t="shared" si="21"/>
        <v>Nikola – Pajčin – OK Sova – M21B</v>
      </c>
      <c r="J508" s="45" t="str">
        <f t="shared" si="22"/>
        <v>Nikola – Pajčin – OK Sova</v>
      </c>
      <c r="L508" s="45" t="str">
        <f t="shared" si="23"/>
        <v>Nikola – Pajčin</v>
      </c>
      <c r="N508" s="103"/>
      <c r="O508" s="104"/>
      <c r="P508" s="105"/>
    </row>
    <row r="509" spans="2:16" x14ac:dyDescent="0.25">
      <c r="B509" s="103">
        <v>1734</v>
      </c>
      <c r="C509" s="104" t="s">
        <v>438</v>
      </c>
      <c r="D509" s="104" t="s">
        <v>4095</v>
      </c>
      <c r="E509" s="104" t="s">
        <v>3731</v>
      </c>
      <c r="F509" s="105"/>
      <c r="H509" s="45" t="str">
        <f t="shared" si="21"/>
        <v>Ivan – Pavlović – OK Sova</v>
      </c>
      <c r="J509" s="45" t="str">
        <f t="shared" si="22"/>
        <v>Ivan – Pavlović – OK Sova</v>
      </c>
      <c r="L509" s="45" t="str">
        <f t="shared" si="23"/>
        <v>Ivan – Pavlović</v>
      </c>
      <c r="N509" s="103"/>
      <c r="O509" s="104"/>
      <c r="P509" s="105"/>
    </row>
    <row r="510" spans="2:16" x14ac:dyDescent="0.25">
      <c r="B510" s="103">
        <v>1737</v>
      </c>
      <c r="C510" s="104" t="s">
        <v>1547</v>
      </c>
      <c r="D510" s="104" t="s">
        <v>3864</v>
      </c>
      <c r="E510" s="104" t="s">
        <v>3731</v>
      </c>
      <c r="F510" s="105"/>
      <c r="H510" s="45" t="str">
        <f t="shared" si="21"/>
        <v>Ante – Perić – OK Sova</v>
      </c>
      <c r="J510" s="45" t="str">
        <f t="shared" si="22"/>
        <v>Ante – Perić – OK Sova</v>
      </c>
      <c r="L510" s="45" t="str">
        <f t="shared" si="23"/>
        <v>Ante – Perić</v>
      </c>
      <c r="N510" s="103"/>
      <c r="O510" s="104"/>
      <c r="P510" s="105"/>
    </row>
    <row r="511" spans="2:16" x14ac:dyDescent="0.25">
      <c r="B511" s="103">
        <v>1600</v>
      </c>
      <c r="C511" s="104" t="s">
        <v>2634</v>
      </c>
      <c r="D511" s="104" t="s">
        <v>4096</v>
      </c>
      <c r="E511" s="104" t="s">
        <v>3731</v>
      </c>
      <c r="F511" s="105" t="s">
        <v>2928</v>
      </c>
      <c r="H511" s="45" t="str">
        <f t="shared" si="21"/>
        <v>Sara – Peter – OK Sova – Ž20</v>
      </c>
      <c r="J511" s="45" t="str">
        <f t="shared" si="22"/>
        <v>Sara – Peter – OK Sova</v>
      </c>
      <c r="L511" s="45" t="str">
        <f t="shared" si="23"/>
        <v>Sara – Peter</v>
      </c>
      <c r="N511" s="103"/>
      <c r="O511" s="104"/>
      <c r="P511" s="105"/>
    </row>
    <row r="512" spans="2:16" x14ac:dyDescent="0.25">
      <c r="B512" s="103">
        <v>1653</v>
      </c>
      <c r="C512" s="104" t="s">
        <v>4097</v>
      </c>
      <c r="D512" s="104" t="s">
        <v>4096</v>
      </c>
      <c r="E512" s="104" t="s">
        <v>3731</v>
      </c>
      <c r="F512" s="105" t="s">
        <v>2928</v>
      </c>
      <c r="H512" s="45" t="str">
        <f t="shared" si="21"/>
        <v>Stela – Peter – OK Sova – Ž20</v>
      </c>
      <c r="J512" s="45" t="str">
        <f t="shared" si="22"/>
        <v>Stela – Peter – OK Sova</v>
      </c>
      <c r="L512" s="45" t="str">
        <f t="shared" si="23"/>
        <v>Stela – Peter</v>
      </c>
      <c r="N512" s="103"/>
      <c r="O512" s="104"/>
      <c r="P512" s="105"/>
    </row>
    <row r="513" spans="2:16" x14ac:dyDescent="0.25">
      <c r="B513" s="103">
        <v>1579</v>
      </c>
      <c r="C513" s="104" t="s">
        <v>1321</v>
      </c>
      <c r="D513" s="104" t="s">
        <v>4098</v>
      </c>
      <c r="E513" s="104" t="s">
        <v>3731</v>
      </c>
      <c r="F513" s="105" t="s">
        <v>1130</v>
      </c>
      <c r="H513" s="45" t="str">
        <f t="shared" si="21"/>
        <v>Željko – Plentaj – OK Sova – M21B</v>
      </c>
      <c r="J513" s="45" t="str">
        <f t="shared" si="22"/>
        <v>Željko – Plentaj – OK Sova</v>
      </c>
      <c r="L513" s="45" t="str">
        <f t="shared" si="23"/>
        <v>Željko – Plentaj</v>
      </c>
      <c r="N513" s="103"/>
      <c r="O513" s="104"/>
      <c r="P513" s="105"/>
    </row>
    <row r="514" spans="2:16" x14ac:dyDescent="0.25">
      <c r="B514" s="103">
        <v>1582</v>
      </c>
      <c r="C514" s="104" t="s">
        <v>4099</v>
      </c>
      <c r="D514" s="104" t="s">
        <v>4100</v>
      </c>
      <c r="E514" s="104" t="s">
        <v>3731</v>
      </c>
      <c r="F514" s="105" t="s">
        <v>1130</v>
      </c>
      <c r="H514" s="45" t="str">
        <f t="shared" si="21"/>
        <v>Šime – Šarić – OK Sova – M21B</v>
      </c>
      <c r="J514" s="45" t="str">
        <f t="shared" si="22"/>
        <v>Šime – Šarić – OK Sova</v>
      </c>
      <c r="L514" s="45" t="str">
        <f t="shared" si="23"/>
        <v>Šime – Šarić</v>
      </c>
      <c r="N514" s="103"/>
      <c r="O514" s="104"/>
      <c r="P514" s="105"/>
    </row>
    <row r="515" spans="2:16" x14ac:dyDescent="0.25">
      <c r="B515" s="103">
        <v>1590</v>
      </c>
      <c r="C515" s="104" t="s">
        <v>1904</v>
      </c>
      <c r="D515" s="104" t="s">
        <v>4101</v>
      </c>
      <c r="E515" s="104" t="s">
        <v>3731</v>
      </c>
      <c r="F515" s="105" t="s">
        <v>1909</v>
      </c>
      <c r="H515" s="45" t="str">
        <f t="shared" si="21"/>
        <v>Dalibor – Sovilj – OK Sova – M45</v>
      </c>
      <c r="J515" s="45" t="str">
        <f t="shared" si="22"/>
        <v>Dalibor – Sovilj – OK Sova</v>
      </c>
      <c r="L515" s="45" t="str">
        <f t="shared" si="23"/>
        <v>Dalibor – Sovilj</v>
      </c>
      <c r="N515" s="103"/>
      <c r="O515" s="104"/>
      <c r="P515" s="105"/>
    </row>
    <row r="516" spans="2:16" x14ac:dyDescent="0.25">
      <c r="B516" s="103">
        <v>1629</v>
      </c>
      <c r="C516" s="104" t="s">
        <v>4102</v>
      </c>
      <c r="D516" s="104" t="s">
        <v>4103</v>
      </c>
      <c r="E516" s="104" t="s">
        <v>3731</v>
      </c>
      <c r="F516" s="105" t="s">
        <v>886</v>
      </c>
      <c r="H516" s="45" t="str">
        <f t="shared" si="21"/>
        <v>Matjaž – Štanfel – OK Sova – M21A</v>
      </c>
      <c r="J516" s="45" t="str">
        <f t="shared" si="22"/>
        <v>Matjaž – Štanfel – OK Sova</v>
      </c>
      <c r="L516" s="45" t="str">
        <f t="shared" si="23"/>
        <v>Matjaž – Štanfel</v>
      </c>
      <c r="N516" s="103"/>
      <c r="O516" s="104"/>
      <c r="P516" s="105"/>
    </row>
    <row r="517" spans="2:16" x14ac:dyDescent="0.25">
      <c r="B517" s="103">
        <v>1730</v>
      </c>
      <c r="C517" s="104" t="s">
        <v>1547</v>
      </c>
      <c r="D517" s="104" t="s">
        <v>4104</v>
      </c>
      <c r="E517" s="104" t="s">
        <v>3731</v>
      </c>
      <c r="F517" s="105"/>
      <c r="H517" s="45" t="str">
        <f t="shared" si="21"/>
        <v>Ante – Tipurić – OK Sova</v>
      </c>
      <c r="J517" s="45" t="str">
        <f t="shared" si="22"/>
        <v>Ante – Tipurić – OK Sova</v>
      </c>
      <c r="L517" s="45" t="str">
        <f t="shared" si="23"/>
        <v>Ante – Tipurić</v>
      </c>
      <c r="N517" s="103"/>
      <c r="O517" s="104"/>
      <c r="P517" s="105"/>
    </row>
    <row r="518" spans="2:16" x14ac:dyDescent="0.25">
      <c r="B518" s="103">
        <v>1654</v>
      </c>
      <c r="C518" s="104" t="s">
        <v>1306</v>
      </c>
      <c r="D518" s="104" t="s">
        <v>4105</v>
      </c>
      <c r="E518" s="104" t="s">
        <v>3731</v>
      </c>
      <c r="F518" s="105" t="s">
        <v>1130</v>
      </c>
      <c r="H518" s="45" t="str">
        <f t="shared" si="21"/>
        <v>Tihomir – Topalović – OK Sova – M21B</v>
      </c>
      <c r="J518" s="45" t="str">
        <f t="shared" si="22"/>
        <v>Tihomir – Topalović – OK Sova</v>
      </c>
      <c r="L518" s="45" t="str">
        <f t="shared" si="23"/>
        <v>Tihomir – Topalović</v>
      </c>
      <c r="N518" s="103"/>
      <c r="O518" s="109"/>
      <c r="P518" s="105"/>
    </row>
    <row r="519" spans="2:16" x14ac:dyDescent="0.25">
      <c r="B519" s="103">
        <v>1829</v>
      </c>
      <c r="C519" s="104" t="s">
        <v>3560</v>
      </c>
      <c r="D519" s="104" t="s">
        <v>4106</v>
      </c>
      <c r="E519" s="104" t="s">
        <v>3731</v>
      </c>
      <c r="F519" s="105" t="s">
        <v>3001</v>
      </c>
      <c r="H519" s="45" t="str">
        <f t="shared" si="21"/>
        <v>Marija – Vida – OK Sova – Ž21A</v>
      </c>
      <c r="J519" s="45" t="str">
        <f t="shared" si="22"/>
        <v>Marija – Vida – OK Sova</v>
      </c>
      <c r="L519" s="45" t="str">
        <f t="shared" si="23"/>
        <v>Marija – Vida</v>
      </c>
      <c r="N519" s="103"/>
      <c r="O519" s="104"/>
      <c r="P519" s="105"/>
    </row>
    <row r="520" spans="2:16" x14ac:dyDescent="0.25">
      <c r="B520" s="103">
        <v>1598</v>
      </c>
      <c r="C520" s="104" t="s">
        <v>605</v>
      </c>
      <c r="D520" s="104" t="s">
        <v>4107</v>
      </c>
      <c r="E520" s="104" t="s">
        <v>3731</v>
      </c>
      <c r="F520" s="105"/>
      <c r="H520" s="45" t="str">
        <f t="shared" si="21"/>
        <v>Marko – Vrabec – OK Sova</v>
      </c>
      <c r="J520" s="45" t="str">
        <f t="shared" si="22"/>
        <v>Marko – Vrabec – OK Sova</v>
      </c>
      <c r="L520" s="45" t="str">
        <f t="shared" si="23"/>
        <v>Marko – Vrabec</v>
      </c>
      <c r="N520" s="103"/>
      <c r="O520" s="104"/>
      <c r="P520" s="105"/>
    </row>
    <row r="521" spans="2:16" x14ac:dyDescent="0.25">
      <c r="B521" s="103">
        <v>1727</v>
      </c>
      <c r="C521" s="104" t="s">
        <v>4108</v>
      </c>
      <c r="D521" s="104" t="s">
        <v>4109</v>
      </c>
      <c r="E521" s="104" t="s">
        <v>3731</v>
      </c>
      <c r="F521" s="105"/>
      <c r="H521" s="45" t="str">
        <f t="shared" si="21"/>
        <v>Doris – Vunić – OK Sova</v>
      </c>
      <c r="J521" s="45" t="str">
        <f t="shared" si="22"/>
        <v>Doris – Vunić – OK Sova</v>
      </c>
      <c r="L521" s="45" t="str">
        <f t="shared" si="23"/>
        <v>Doris – Vunić</v>
      </c>
      <c r="N521" s="103"/>
      <c r="O521" s="104"/>
      <c r="P521" s="105"/>
    </row>
    <row r="522" spans="2:16" x14ac:dyDescent="0.25">
      <c r="B522" s="103">
        <v>1572</v>
      </c>
      <c r="C522" s="104" t="s">
        <v>472</v>
      </c>
      <c r="D522" s="104" t="s">
        <v>4110</v>
      </c>
      <c r="E522" s="104" t="s">
        <v>3731</v>
      </c>
      <c r="F522" s="105" t="s">
        <v>1130</v>
      </c>
      <c r="H522" s="45" t="str">
        <f t="shared" si="21"/>
        <v>Filip – Zadrović – OK Sova – M21B</v>
      </c>
      <c r="J522" s="45" t="str">
        <f t="shared" si="22"/>
        <v>Filip – Zadrović – OK Sova</v>
      </c>
      <c r="L522" s="45" t="str">
        <f t="shared" si="23"/>
        <v>Filip – Zadrović</v>
      </c>
      <c r="N522" s="103"/>
      <c r="O522" s="104"/>
      <c r="P522" s="105"/>
    </row>
    <row r="523" spans="2:16" x14ac:dyDescent="0.25">
      <c r="B523" s="103">
        <v>1739</v>
      </c>
      <c r="C523" s="104" t="s">
        <v>4111</v>
      </c>
      <c r="D523" s="104" t="s">
        <v>4112</v>
      </c>
      <c r="E523" s="104" t="s">
        <v>3731</v>
      </c>
      <c r="F523" s="105"/>
      <c r="H523" s="45" t="str">
        <f t="shared" ref="H523:H586" si="24">IF(C523="","",C523) &amp; IF(D523="",""," – " &amp; D523) &amp; IF(E523="",""," – " &amp; E523) &amp; IF(F523="",""," – " &amp; F523)</f>
        <v>Antonela – Žderić – OK Sova</v>
      </c>
      <c r="J523" s="45" t="str">
        <f t="shared" ref="J523:J586" si="25">IF(C523="","",C523) &amp; IF(D523="",""," – " &amp; D523) &amp; IF(E523="",""," – " &amp; E523)</f>
        <v>Antonela – Žderić – OK Sova</v>
      </c>
      <c r="L523" s="45" t="str">
        <f t="shared" ref="L523:L586" si="26">IF(C523="","",C523) &amp; IF(D523="",""," – " &amp; D523)</f>
        <v>Antonela – Žderić</v>
      </c>
      <c r="N523" s="103"/>
      <c r="O523" s="104"/>
      <c r="P523" s="105"/>
    </row>
    <row r="524" spans="2:16" x14ac:dyDescent="0.25">
      <c r="B524" s="103">
        <v>1611</v>
      </c>
      <c r="C524" s="104" t="s">
        <v>1006</v>
      </c>
      <c r="D524" s="104" t="s">
        <v>4113</v>
      </c>
      <c r="E524" s="104" t="s">
        <v>3731</v>
      </c>
      <c r="F524" s="105" t="s">
        <v>1130</v>
      </c>
      <c r="H524" s="45" t="str">
        <f t="shared" si="24"/>
        <v>Josip – Župarić – OK Sova – M21B</v>
      </c>
      <c r="J524" s="45" t="str">
        <f t="shared" si="25"/>
        <v>Josip – Župarić – OK Sova</v>
      </c>
      <c r="L524" s="45" t="str">
        <f t="shared" si="26"/>
        <v>Josip – Župarić</v>
      </c>
      <c r="N524" s="103"/>
      <c r="O524" s="104"/>
      <c r="P524" s="105"/>
    </row>
    <row r="525" spans="2:16" x14ac:dyDescent="0.25">
      <c r="B525" s="103">
        <v>1657</v>
      </c>
      <c r="C525" s="104" t="s">
        <v>4114</v>
      </c>
      <c r="D525" s="104" t="s">
        <v>4115</v>
      </c>
      <c r="E525" s="104" t="s">
        <v>410</v>
      </c>
      <c r="F525" s="105"/>
      <c r="H525" s="45" t="str">
        <f t="shared" si="24"/>
        <v>Hiba – Amaneh – OK Varaždin</v>
      </c>
      <c r="J525" s="45" t="str">
        <f t="shared" si="25"/>
        <v>Hiba – Amaneh – OK Varaždin</v>
      </c>
      <c r="L525" s="45" t="str">
        <f t="shared" si="26"/>
        <v>Hiba – Amaneh</v>
      </c>
      <c r="N525" s="103"/>
      <c r="O525" s="104"/>
      <c r="P525" s="105"/>
    </row>
    <row r="526" spans="2:16" x14ac:dyDescent="0.25">
      <c r="B526" s="103">
        <v>1050</v>
      </c>
      <c r="C526" s="104" t="s">
        <v>558</v>
      </c>
      <c r="D526" s="104" t="s">
        <v>471</v>
      </c>
      <c r="E526" s="104" t="s">
        <v>410</v>
      </c>
      <c r="F526" s="105" t="s">
        <v>487</v>
      </c>
      <c r="H526" s="45" t="str">
        <f t="shared" si="24"/>
        <v>Adam – Anadolac – OK Varaždin – M14</v>
      </c>
      <c r="J526" s="45" t="str">
        <f t="shared" si="25"/>
        <v>Adam – Anadolac – OK Varaždin</v>
      </c>
      <c r="L526" s="45" t="str">
        <f t="shared" si="26"/>
        <v>Adam – Anadolac</v>
      </c>
      <c r="N526" s="103"/>
      <c r="O526" s="104"/>
      <c r="P526" s="105"/>
    </row>
    <row r="527" spans="2:16" x14ac:dyDescent="0.25">
      <c r="B527" s="103">
        <v>1179</v>
      </c>
      <c r="C527" s="104" t="s">
        <v>1468</v>
      </c>
      <c r="D527" s="104" t="s">
        <v>471</v>
      </c>
      <c r="E527" s="104" t="s">
        <v>410</v>
      </c>
      <c r="F527" s="105" t="s">
        <v>1130</v>
      </c>
      <c r="H527" s="45" t="str">
        <f t="shared" si="24"/>
        <v>Emil – Anadolac – OK Varaždin – M21B</v>
      </c>
      <c r="J527" s="45" t="str">
        <f t="shared" si="25"/>
        <v>Emil – Anadolac – OK Varaždin</v>
      </c>
      <c r="L527" s="45" t="str">
        <f t="shared" si="26"/>
        <v>Emil – Anadolac</v>
      </c>
      <c r="N527" s="103"/>
      <c r="O527" s="104"/>
      <c r="P527" s="105"/>
    </row>
    <row r="528" spans="2:16" x14ac:dyDescent="0.25">
      <c r="B528" s="103">
        <v>1106</v>
      </c>
      <c r="C528" s="104" t="s">
        <v>472</v>
      </c>
      <c r="D528" s="104" t="s">
        <v>471</v>
      </c>
      <c r="E528" s="104" t="s">
        <v>410</v>
      </c>
      <c r="F528" s="105" t="s">
        <v>364</v>
      </c>
      <c r="H528" s="45" t="str">
        <f t="shared" si="24"/>
        <v>Filip – Anadolac – OK Varaždin – M12</v>
      </c>
      <c r="J528" s="45" t="str">
        <f t="shared" si="25"/>
        <v>Filip – Anadolac – OK Varaždin</v>
      </c>
      <c r="L528" s="45" t="str">
        <f t="shared" si="26"/>
        <v>Filip – Anadolac</v>
      </c>
      <c r="N528" s="103"/>
      <c r="O528" s="104"/>
      <c r="P528" s="105"/>
    </row>
    <row r="529" spans="2:16" x14ac:dyDescent="0.25">
      <c r="B529" s="103">
        <v>1633</v>
      </c>
      <c r="C529" s="104" t="s">
        <v>590</v>
      </c>
      <c r="D529" s="104" t="s">
        <v>4116</v>
      </c>
      <c r="E529" s="104" t="s">
        <v>410</v>
      </c>
      <c r="F529" s="105"/>
      <c r="H529" s="45" t="str">
        <f t="shared" si="24"/>
        <v>Karlo – Bartolić – OK Varaždin</v>
      </c>
      <c r="J529" s="45" t="str">
        <f t="shared" si="25"/>
        <v>Karlo – Bartolić – OK Varaždin</v>
      </c>
      <c r="L529" s="45" t="str">
        <f t="shared" si="26"/>
        <v>Karlo – Bartolić</v>
      </c>
      <c r="N529" s="103"/>
      <c r="O529" s="104"/>
      <c r="P529" s="105"/>
    </row>
    <row r="530" spans="2:16" x14ac:dyDescent="0.25">
      <c r="B530" s="103">
        <v>1379</v>
      </c>
      <c r="C530" s="104" t="s">
        <v>453</v>
      </c>
      <c r="D530" s="104" t="s">
        <v>2632</v>
      </c>
      <c r="E530" s="104" t="s">
        <v>410</v>
      </c>
      <c r="F530" s="105"/>
      <c r="H530" s="45" t="str">
        <f t="shared" si="24"/>
        <v>Petar – Barulek – OK Varaždin</v>
      </c>
      <c r="J530" s="45" t="str">
        <f t="shared" si="25"/>
        <v>Petar – Barulek – OK Varaždin</v>
      </c>
      <c r="L530" s="45" t="str">
        <f t="shared" si="26"/>
        <v>Petar – Barulek</v>
      </c>
      <c r="N530" s="103"/>
      <c r="O530" s="104"/>
      <c r="P530" s="105"/>
    </row>
    <row r="531" spans="2:16" x14ac:dyDescent="0.25">
      <c r="B531" s="103">
        <v>1096</v>
      </c>
      <c r="C531" s="104" t="s">
        <v>4117</v>
      </c>
      <c r="D531" s="104" t="s">
        <v>4118</v>
      </c>
      <c r="E531" s="104" t="s">
        <v>410</v>
      </c>
      <c r="F531" s="105"/>
      <c r="H531" s="45" t="str">
        <f t="shared" si="24"/>
        <v>Miro – Borček – OK Varaždin</v>
      </c>
      <c r="J531" s="45" t="str">
        <f t="shared" si="25"/>
        <v>Miro – Borček – OK Varaždin</v>
      </c>
      <c r="L531" s="45" t="str">
        <f t="shared" si="26"/>
        <v>Miro – Borček</v>
      </c>
      <c r="N531" s="103"/>
      <c r="O531" s="104"/>
      <c r="P531" s="105"/>
    </row>
    <row r="532" spans="2:16" x14ac:dyDescent="0.25">
      <c r="B532" s="103">
        <v>1099</v>
      </c>
      <c r="C532" s="104" t="s">
        <v>1663</v>
      </c>
      <c r="D532" s="104" t="s">
        <v>1662</v>
      </c>
      <c r="E532" s="104" t="s">
        <v>410</v>
      </c>
      <c r="F532" s="105" t="s">
        <v>1575</v>
      </c>
      <c r="H532" s="45" t="str">
        <f t="shared" si="24"/>
        <v>Krunoslav – Canjuga – OK Varaždin – M35</v>
      </c>
      <c r="J532" s="45" t="str">
        <f t="shared" si="25"/>
        <v>Krunoslav – Canjuga – OK Varaždin</v>
      </c>
      <c r="L532" s="45" t="str">
        <f t="shared" si="26"/>
        <v>Krunoslav – Canjuga</v>
      </c>
      <c r="N532" s="103"/>
      <c r="O532" s="104"/>
      <c r="P532" s="105"/>
    </row>
    <row r="533" spans="2:16" x14ac:dyDescent="0.25">
      <c r="B533" s="103">
        <v>1335</v>
      </c>
      <c r="C533" s="104" t="s">
        <v>4119</v>
      </c>
      <c r="D533" s="104" t="s">
        <v>1662</v>
      </c>
      <c r="E533" s="104" t="s">
        <v>410</v>
      </c>
      <c r="F533" s="105"/>
      <c r="H533" s="45" t="str">
        <f t="shared" si="24"/>
        <v>Stjepan – Canjuga – OK Varaždin</v>
      </c>
      <c r="J533" s="45" t="str">
        <f t="shared" si="25"/>
        <v>Stjepan – Canjuga – OK Varaždin</v>
      </c>
      <c r="L533" s="45" t="str">
        <f t="shared" si="26"/>
        <v>Stjepan – Canjuga</v>
      </c>
      <c r="N533" s="103"/>
      <c r="O533" s="104"/>
      <c r="P533" s="105"/>
    </row>
    <row r="534" spans="2:16" x14ac:dyDescent="0.25">
      <c r="B534" s="103">
        <v>1458</v>
      </c>
      <c r="C534" s="104" t="s">
        <v>2485</v>
      </c>
      <c r="D534" s="104" t="s">
        <v>3764</v>
      </c>
      <c r="E534" s="104" t="s">
        <v>410</v>
      </c>
      <c r="F534" s="105"/>
      <c r="H534" s="45" t="str">
        <f t="shared" si="24"/>
        <v>Iva – Detić – OK Varaždin</v>
      </c>
      <c r="J534" s="45" t="str">
        <f t="shared" si="25"/>
        <v>Iva – Detić – OK Varaždin</v>
      </c>
      <c r="L534" s="45" t="str">
        <f t="shared" si="26"/>
        <v>Iva – Detić</v>
      </c>
      <c r="N534" s="103"/>
      <c r="O534" s="104"/>
      <c r="P534" s="105"/>
    </row>
    <row r="535" spans="2:16" x14ac:dyDescent="0.25">
      <c r="B535" s="103">
        <v>1194</v>
      </c>
      <c r="C535" s="104" t="s">
        <v>3838</v>
      </c>
      <c r="D535" s="104" t="s">
        <v>3764</v>
      </c>
      <c r="E535" s="104" t="s">
        <v>410</v>
      </c>
      <c r="F535" s="105" t="s">
        <v>3265</v>
      </c>
      <c r="H535" s="45" t="str">
        <f t="shared" si="24"/>
        <v>Lidija – Detić – OK Varaždin – Ž35</v>
      </c>
      <c r="J535" s="45" t="str">
        <f t="shared" si="25"/>
        <v>Lidija – Detić – OK Varaždin</v>
      </c>
      <c r="L535" s="45" t="str">
        <f t="shared" si="26"/>
        <v>Lidija – Detić</v>
      </c>
      <c r="N535" s="103"/>
      <c r="O535" s="104"/>
      <c r="P535" s="105"/>
    </row>
    <row r="536" spans="2:16" x14ac:dyDescent="0.25">
      <c r="B536" s="103">
        <v>1425</v>
      </c>
      <c r="C536" s="104" t="s">
        <v>2565</v>
      </c>
      <c r="D536" s="104" t="s">
        <v>3764</v>
      </c>
      <c r="E536" s="104" t="s">
        <v>410</v>
      </c>
      <c r="F536" s="105" t="s">
        <v>2637</v>
      </c>
      <c r="H536" s="45" t="str">
        <f t="shared" si="24"/>
        <v>Lucija – Detić – OK Varaždin – Ž12</v>
      </c>
      <c r="J536" s="45" t="str">
        <f t="shared" si="25"/>
        <v>Lucija – Detić – OK Varaždin</v>
      </c>
      <c r="L536" s="45" t="str">
        <f t="shared" si="26"/>
        <v>Lucija – Detić</v>
      </c>
      <c r="N536" s="103"/>
      <c r="O536" s="104"/>
      <c r="P536" s="105"/>
    </row>
    <row r="537" spans="2:16" x14ac:dyDescent="0.25">
      <c r="B537" s="103">
        <v>1571</v>
      </c>
      <c r="C537" s="104" t="s">
        <v>4055</v>
      </c>
      <c r="D537" s="104" t="s">
        <v>4120</v>
      </c>
      <c r="E537" s="104" t="s">
        <v>410</v>
      </c>
      <c r="F537" s="105"/>
      <c r="H537" s="45" t="str">
        <f t="shared" si="24"/>
        <v>Sven – Divjak – OK Varaždin</v>
      </c>
      <c r="J537" s="45" t="str">
        <f t="shared" si="25"/>
        <v>Sven – Divjak – OK Varaždin</v>
      </c>
      <c r="L537" s="45" t="str">
        <f t="shared" si="26"/>
        <v>Sven – Divjak</v>
      </c>
      <c r="N537" s="103"/>
      <c r="O537" s="104"/>
      <c r="P537" s="105"/>
    </row>
    <row r="538" spans="2:16" x14ac:dyDescent="0.25">
      <c r="B538" s="103">
        <v>1235</v>
      </c>
      <c r="C538" s="104" t="s">
        <v>4121</v>
      </c>
      <c r="D538" s="104" t="s">
        <v>4122</v>
      </c>
      <c r="E538" s="104" t="s">
        <v>410</v>
      </c>
      <c r="F538" s="105" t="s">
        <v>2766</v>
      </c>
      <c r="H538" s="45" t="str">
        <f t="shared" si="24"/>
        <v>Julijana – Dolenc – OK Varaždin – Ž16</v>
      </c>
      <c r="J538" s="45" t="str">
        <f t="shared" si="25"/>
        <v>Julijana – Dolenc – OK Varaždin</v>
      </c>
      <c r="L538" s="45" t="str">
        <f t="shared" si="26"/>
        <v>Julijana – Dolenc</v>
      </c>
      <c r="N538" s="103"/>
      <c r="O538" s="104"/>
      <c r="P538" s="105"/>
    </row>
    <row r="539" spans="2:16" x14ac:dyDescent="0.25">
      <c r="B539" s="103">
        <v>1085</v>
      </c>
      <c r="C539" s="104" t="s">
        <v>421</v>
      </c>
      <c r="D539" s="104" t="s">
        <v>4123</v>
      </c>
      <c r="E539" s="104" t="s">
        <v>410</v>
      </c>
      <c r="F539" s="105"/>
      <c r="H539" s="45" t="str">
        <f t="shared" si="24"/>
        <v>Teo – Friščić – OK Varaždin</v>
      </c>
      <c r="J539" s="45" t="str">
        <f t="shared" si="25"/>
        <v>Teo – Friščić – OK Varaždin</v>
      </c>
      <c r="L539" s="45" t="str">
        <f t="shared" si="26"/>
        <v>Teo – Friščić</v>
      </c>
      <c r="N539" s="103"/>
      <c r="O539" s="104"/>
      <c r="P539" s="105"/>
    </row>
    <row r="540" spans="2:16" x14ac:dyDescent="0.25">
      <c r="B540" s="103">
        <v>1511</v>
      </c>
      <c r="C540" s="104" t="s">
        <v>476</v>
      </c>
      <c r="D540" s="104" t="s">
        <v>4124</v>
      </c>
      <c r="E540" s="104" t="s">
        <v>410</v>
      </c>
      <c r="F540" s="105"/>
      <c r="H540" s="45" t="str">
        <f t="shared" si="24"/>
        <v>Jakov – Grabar – OK Varaždin</v>
      </c>
      <c r="J540" s="45" t="str">
        <f t="shared" si="25"/>
        <v>Jakov – Grabar – OK Varaždin</v>
      </c>
      <c r="L540" s="45" t="str">
        <f t="shared" si="26"/>
        <v>Jakov – Grabar</v>
      </c>
      <c r="N540" s="103"/>
      <c r="O540" s="104"/>
      <c r="P540" s="105"/>
    </row>
    <row r="541" spans="2:16" x14ac:dyDescent="0.25">
      <c r="B541" s="103">
        <v>1630</v>
      </c>
      <c r="C541" s="104" t="s">
        <v>1263</v>
      </c>
      <c r="D541" s="104" t="s">
        <v>4125</v>
      </c>
      <c r="E541" s="104" t="s">
        <v>410</v>
      </c>
      <c r="F541" s="105"/>
      <c r="H541" s="45" t="str">
        <f t="shared" si="24"/>
        <v>Kristijan – Grivić – OK Varaždin</v>
      </c>
      <c r="J541" s="45" t="str">
        <f t="shared" si="25"/>
        <v>Kristijan – Grivić – OK Varaždin</v>
      </c>
      <c r="L541" s="45" t="str">
        <f t="shared" si="26"/>
        <v>Kristijan – Grivić</v>
      </c>
      <c r="N541" s="103"/>
      <c r="O541" s="104"/>
      <c r="P541" s="105"/>
    </row>
    <row r="542" spans="2:16" x14ac:dyDescent="0.25">
      <c r="B542" s="103">
        <v>1624</v>
      </c>
      <c r="C542" s="104" t="s">
        <v>525</v>
      </c>
      <c r="D542" s="104" t="s">
        <v>4125</v>
      </c>
      <c r="E542" s="104" t="s">
        <v>410</v>
      </c>
      <c r="F542" s="105"/>
      <c r="H542" s="45" t="str">
        <f t="shared" si="24"/>
        <v>Martin – Grivić – OK Varaždin</v>
      </c>
      <c r="J542" s="45" t="str">
        <f t="shared" si="25"/>
        <v>Martin – Grivić – OK Varaždin</v>
      </c>
      <c r="L542" s="45" t="str">
        <f t="shared" si="26"/>
        <v>Martin – Grivić</v>
      </c>
      <c r="N542" s="103"/>
      <c r="O542" s="104"/>
      <c r="P542" s="105"/>
    </row>
    <row r="543" spans="2:16" x14ac:dyDescent="0.25">
      <c r="B543" s="103">
        <v>1362</v>
      </c>
      <c r="C543" s="104" t="s">
        <v>3880</v>
      </c>
      <c r="D543" s="104" t="s">
        <v>4126</v>
      </c>
      <c r="E543" s="104" t="s">
        <v>410</v>
      </c>
      <c r="F543" s="105"/>
      <c r="H543" s="45" t="str">
        <f t="shared" si="24"/>
        <v>Dorijan – Habek – OK Varaždin</v>
      </c>
      <c r="J543" s="45" t="str">
        <f t="shared" si="25"/>
        <v>Dorijan – Habek – OK Varaždin</v>
      </c>
      <c r="L543" s="45" t="str">
        <f t="shared" si="26"/>
        <v>Dorijan – Habek</v>
      </c>
      <c r="N543" s="103"/>
      <c r="O543" s="104"/>
      <c r="P543" s="105"/>
    </row>
    <row r="544" spans="2:16" x14ac:dyDescent="0.25">
      <c r="B544" s="103">
        <v>1151</v>
      </c>
      <c r="C544" s="104" t="s">
        <v>1763</v>
      </c>
      <c r="D544" s="104" t="s">
        <v>1762</v>
      </c>
      <c r="E544" s="104" t="s">
        <v>410</v>
      </c>
      <c r="F544" s="105" t="s">
        <v>1575</v>
      </c>
      <c r="H544" s="45" t="str">
        <f t="shared" si="24"/>
        <v>Miroslav – Hainž – OK Varaždin – M35</v>
      </c>
      <c r="J544" s="45" t="str">
        <f t="shared" si="25"/>
        <v>Miroslav – Hainž – OK Varaždin</v>
      </c>
      <c r="L544" s="45" t="str">
        <f t="shared" si="26"/>
        <v>Miroslav – Hainž</v>
      </c>
      <c r="N544" s="103"/>
      <c r="O544" s="104"/>
      <c r="P544" s="105"/>
    </row>
    <row r="545" spans="2:16" x14ac:dyDescent="0.25">
      <c r="B545" s="103">
        <v>1464</v>
      </c>
      <c r="C545" s="104" t="s">
        <v>509</v>
      </c>
      <c r="D545" s="104" t="s">
        <v>4127</v>
      </c>
      <c r="E545" s="104" t="s">
        <v>410</v>
      </c>
      <c r="F545" s="105"/>
      <c r="H545" s="45" t="str">
        <f t="shared" si="24"/>
        <v>Luka – Hofman – OK Varaždin</v>
      </c>
      <c r="J545" s="45" t="str">
        <f t="shared" si="25"/>
        <v>Luka – Hofman – OK Varaždin</v>
      </c>
      <c r="L545" s="45" t="str">
        <f t="shared" si="26"/>
        <v>Luka – Hofman</v>
      </c>
      <c r="N545" s="103"/>
      <c r="O545" s="104"/>
      <c r="P545" s="105"/>
    </row>
    <row r="546" spans="2:16" x14ac:dyDescent="0.25">
      <c r="B546" s="103">
        <v>1403</v>
      </c>
      <c r="C546" s="104" t="s">
        <v>3665</v>
      </c>
      <c r="D546" s="104" t="s">
        <v>3664</v>
      </c>
      <c r="E546" s="104" t="s">
        <v>410</v>
      </c>
      <c r="F546" s="105" t="s">
        <v>3619</v>
      </c>
      <c r="H546" s="45" t="str">
        <f t="shared" si="24"/>
        <v>Karmen – Holenda – OK Varaždin – Ž55</v>
      </c>
      <c r="J546" s="45" t="str">
        <f t="shared" si="25"/>
        <v>Karmen – Holenda – OK Varaždin</v>
      </c>
      <c r="L546" s="45" t="str">
        <f t="shared" si="26"/>
        <v>Karmen – Holenda</v>
      </c>
      <c r="N546" s="103"/>
      <c r="O546" s="104"/>
      <c r="P546" s="105"/>
    </row>
    <row r="547" spans="2:16" x14ac:dyDescent="0.25">
      <c r="B547" s="103">
        <v>1658</v>
      </c>
      <c r="C547" s="104" t="s">
        <v>2565</v>
      </c>
      <c r="D547" s="104" t="s">
        <v>4128</v>
      </c>
      <c r="E547" s="104" t="s">
        <v>410</v>
      </c>
      <c r="F547" s="105"/>
      <c r="H547" s="45" t="str">
        <f t="shared" si="24"/>
        <v>Lucija – Jertec – OK Varaždin</v>
      </c>
      <c r="J547" s="45" t="str">
        <f t="shared" si="25"/>
        <v>Lucija – Jertec – OK Varaždin</v>
      </c>
      <c r="L547" s="45" t="str">
        <f t="shared" si="26"/>
        <v>Lucija – Jertec</v>
      </c>
      <c r="N547" s="103"/>
      <c r="O547" s="104"/>
      <c r="P547" s="105"/>
    </row>
    <row r="548" spans="2:16" x14ac:dyDescent="0.25">
      <c r="B548" s="103">
        <v>1601</v>
      </c>
      <c r="C548" s="104" t="s">
        <v>472</v>
      </c>
      <c r="D548" s="104" t="s">
        <v>4129</v>
      </c>
      <c r="E548" s="104" t="s">
        <v>410</v>
      </c>
      <c r="F548" s="105"/>
      <c r="H548" s="45" t="str">
        <f t="shared" si="24"/>
        <v>Filip – Juraga – OK Varaždin</v>
      </c>
      <c r="J548" s="45" t="str">
        <f t="shared" si="25"/>
        <v>Filip – Juraga – OK Varaždin</v>
      </c>
      <c r="L548" s="45" t="str">
        <f t="shared" si="26"/>
        <v>Filip – Juraga</v>
      </c>
      <c r="N548" s="103"/>
      <c r="O548" s="104"/>
      <c r="P548" s="105"/>
    </row>
    <row r="549" spans="2:16" x14ac:dyDescent="0.25">
      <c r="B549" s="103">
        <v>1186</v>
      </c>
      <c r="C549" s="104" t="s">
        <v>2704</v>
      </c>
      <c r="D549" s="104" t="s">
        <v>2626</v>
      </c>
      <c r="E549" s="104" t="s">
        <v>410</v>
      </c>
      <c r="F549" s="105" t="s">
        <v>2637</v>
      </c>
      <c r="H549" s="45" t="str">
        <f t="shared" si="24"/>
        <v>Ema – Juričan – OK Varaždin – Ž12</v>
      </c>
      <c r="J549" s="45" t="str">
        <f t="shared" si="25"/>
        <v>Ema – Juričan – OK Varaždin</v>
      </c>
      <c r="L549" s="45" t="str">
        <f t="shared" si="26"/>
        <v>Ema – Juričan</v>
      </c>
      <c r="N549" s="103"/>
      <c r="O549" s="104"/>
      <c r="P549" s="105"/>
    </row>
    <row r="550" spans="2:16" x14ac:dyDescent="0.25">
      <c r="B550" s="103">
        <v>1401</v>
      </c>
      <c r="C550" s="104" t="s">
        <v>2525</v>
      </c>
      <c r="D550" s="104" t="s">
        <v>2626</v>
      </c>
      <c r="E550" s="104" t="s">
        <v>410</v>
      </c>
      <c r="F550" s="105"/>
      <c r="H550" s="45" t="str">
        <f t="shared" si="24"/>
        <v>Nika – Juričan – OK Varaždin</v>
      </c>
      <c r="J550" s="45" t="str">
        <f t="shared" si="25"/>
        <v>Nika – Juričan – OK Varaždin</v>
      </c>
      <c r="L550" s="45" t="str">
        <f t="shared" si="26"/>
        <v>Nika – Juričan</v>
      </c>
      <c r="N550" s="103"/>
      <c r="O550" s="104"/>
      <c r="P550" s="105"/>
    </row>
    <row r="551" spans="2:16" x14ac:dyDescent="0.25">
      <c r="B551" s="103">
        <v>1573</v>
      </c>
      <c r="C551" s="104" t="s">
        <v>590</v>
      </c>
      <c r="D551" s="104" t="s">
        <v>4130</v>
      </c>
      <c r="E551" s="104" t="s">
        <v>410</v>
      </c>
      <c r="F551" s="105"/>
      <c r="H551" s="45" t="str">
        <f t="shared" si="24"/>
        <v>Karlo – Kadović – OK Varaždin</v>
      </c>
      <c r="J551" s="45" t="str">
        <f t="shared" si="25"/>
        <v>Karlo – Kadović – OK Varaždin</v>
      </c>
      <c r="L551" s="45" t="str">
        <f t="shared" si="26"/>
        <v>Karlo – Kadović</v>
      </c>
      <c r="N551" s="103"/>
      <c r="O551" s="104"/>
      <c r="P551" s="105"/>
    </row>
    <row r="552" spans="2:16" x14ac:dyDescent="0.25">
      <c r="B552" s="103">
        <v>1659</v>
      </c>
      <c r="C552" s="104" t="s">
        <v>3560</v>
      </c>
      <c r="D552" s="104" t="s">
        <v>4131</v>
      </c>
      <c r="E552" s="104" t="s">
        <v>410</v>
      </c>
      <c r="F552" s="105"/>
      <c r="H552" s="45" t="str">
        <f t="shared" si="24"/>
        <v>Marija – Kirić – OK Varaždin</v>
      </c>
      <c r="J552" s="45" t="str">
        <f t="shared" si="25"/>
        <v>Marija – Kirić – OK Varaždin</v>
      </c>
      <c r="L552" s="45" t="str">
        <f t="shared" si="26"/>
        <v>Marija – Kirić</v>
      </c>
      <c r="N552" s="103"/>
      <c r="O552" s="104"/>
      <c r="P552" s="105"/>
    </row>
    <row r="553" spans="2:16" x14ac:dyDescent="0.25">
      <c r="B553" s="103">
        <v>1419</v>
      </c>
      <c r="C553" s="104" t="s">
        <v>509</v>
      </c>
      <c r="D553" s="104" t="s">
        <v>836</v>
      </c>
      <c r="E553" s="104" t="s">
        <v>410</v>
      </c>
      <c r="F553" s="105" t="s">
        <v>769</v>
      </c>
      <c r="H553" s="45" t="str">
        <f t="shared" si="24"/>
        <v>Luka – Kocijan – OK Varaždin – M20</v>
      </c>
      <c r="J553" s="45" t="str">
        <f t="shared" si="25"/>
        <v>Luka – Kocijan – OK Varaždin</v>
      </c>
      <c r="L553" s="45" t="str">
        <f t="shared" si="26"/>
        <v>Luka – Kocijan</v>
      </c>
      <c r="N553" s="103"/>
      <c r="O553" s="104"/>
      <c r="P553" s="105"/>
    </row>
    <row r="554" spans="2:16" x14ac:dyDescent="0.25">
      <c r="B554" s="103">
        <v>1132</v>
      </c>
      <c r="C554" s="104" t="s">
        <v>715</v>
      </c>
      <c r="D554" s="104" t="s">
        <v>4132</v>
      </c>
      <c r="E554" s="104" t="s">
        <v>410</v>
      </c>
      <c r="F554" s="105"/>
      <c r="H554" s="45" t="str">
        <f t="shared" si="24"/>
        <v>Borna – Košćak – OK Varaždin</v>
      </c>
      <c r="J554" s="45" t="str">
        <f t="shared" si="25"/>
        <v>Borna – Košćak – OK Varaždin</v>
      </c>
      <c r="L554" s="45" t="str">
        <f t="shared" si="26"/>
        <v>Borna – Košćak</v>
      </c>
      <c r="N554" s="103"/>
      <c r="O554" s="104"/>
      <c r="P554" s="105"/>
    </row>
    <row r="555" spans="2:16" x14ac:dyDescent="0.25">
      <c r="B555" s="103">
        <v>1093</v>
      </c>
      <c r="C555" s="104" t="s">
        <v>4133</v>
      </c>
      <c r="D555" s="104" t="s">
        <v>4132</v>
      </c>
      <c r="E555" s="104" t="s">
        <v>410</v>
      </c>
      <c r="F555" s="105"/>
      <c r="H555" s="45" t="str">
        <f t="shared" si="24"/>
        <v>Elena – Košćak – OK Varaždin</v>
      </c>
      <c r="J555" s="45" t="str">
        <f t="shared" si="25"/>
        <v>Elena – Košćak – OK Varaždin</v>
      </c>
      <c r="L555" s="45" t="str">
        <f t="shared" si="26"/>
        <v>Elena – Košćak</v>
      </c>
      <c r="N555" s="103"/>
      <c r="O555" s="104"/>
      <c r="P555" s="105"/>
    </row>
    <row r="556" spans="2:16" x14ac:dyDescent="0.25">
      <c r="B556" s="103">
        <v>1649</v>
      </c>
      <c r="C556" s="104" t="s">
        <v>2837</v>
      </c>
      <c r="D556" s="104" t="s">
        <v>3772</v>
      </c>
      <c r="E556" s="104" t="s">
        <v>410</v>
      </c>
      <c r="F556" s="105"/>
      <c r="H556" s="45" t="str">
        <f t="shared" si="24"/>
        <v>Jana – Kovačić – OK Varaždin</v>
      </c>
      <c r="J556" s="45" t="str">
        <f t="shared" si="25"/>
        <v>Jana – Kovačić – OK Varaždin</v>
      </c>
      <c r="L556" s="45" t="str">
        <f t="shared" si="26"/>
        <v>Jana – Kovačić</v>
      </c>
      <c r="N556" s="103"/>
      <c r="O556" s="104"/>
      <c r="P556" s="105"/>
    </row>
    <row r="557" spans="2:16" x14ac:dyDescent="0.25">
      <c r="B557" s="103">
        <v>1272</v>
      </c>
      <c r="C557" s="104" t="s">
        <v>4134</v>
      </c>
      <c r="D557" s="104" t="s">
        <v>4135</v>
      </c>
      <c r="E557" s="104" t="s">
        <v>410</v>
      </c>
      <c r="F557" s="105"/>
      <c r="H557" s="45" t="str">
        <f t="shared" si="24"/>
        <v>Nera – Krečak – OK Varaždin</v>
      </c>
      <c r="J557" s="45" t="str">
        <f t="shared" si="25"/>
        <v>Nera – Krečak – OK Varaždin</v>
      </c>
      <c r="L557" s="45" t="str">
        <f t="shared" si="26"/>
        <v>Nera – Krečak</v>
      </c>
      <c r="N557" s="103"/>
      <c r="O557" s="104"/>
      <c r="P557" s="105"/>
    </row>
    <row r="558" spans="2:16" x14ac:dyDescent="0.25">
      <c r="B558" s="103">
        <v>1538</v>
      </c>
      <c r="C558" s="104" t="s">
        <v>2525</v>
      </c>
      <c r="D558" s="104" t="s">
        <v>714</v>
      </c>
      <c r="E558" s="104" t="s">
        <v>410</v>
      </c>
      <c r="F558" s="105" t="s">
        <v>2637</v>
      </c>
      <c r="H558" s="45" t="str">
        <f t="shared" si="24"/>
        <v>Nika – Kuzmanić – OK Varaždin – Ž12</v>
      </c>
      <c r="J558" s="45" t="str">
        <f t="shared" si="25"/>
        <v>Nika – Kuzmanić – OK Varaždin</v>
      </c>
      <c r="L558" s="45" t="str">
        <f t="shared" si="26"/>
        <v>Nika – Kuzmanić</v>
      </c>
      <c r="N558" s="103"/>
      <c r="O558" s="104"/>
      <c r="P558" s="105"/>
    </row>
    <row r="559" spans="2:16" x14ac:dyDescent="0.25">
      <c r="B559" s="103">
        <v>1274</v>
      </c>
      <c r="C559" s="104" t="s">
        <v>1195</v>
      </c>
      <c r="D559" s="104" t="s">
        <v>2348</v>
      </c>
      <c r="E559" s="104" t="s">
        <v>410</v>
      </c>
      <c r="F559" s="105" t="s">
        <v>2195</v>
      </c>
      <c r="H559" s="45" t="str">
        <f t="shared" si="24"/>
        <v>Predrag – Labaš – OK Varaždin – M55</v>
      </c>
      <c r="J559" s="45" t="str">
        <f t="shared" si="25"/>
        <v>Predrag – Labaš – OK Varaždin</v>
      </c>
      <c r="L559" s="45" t="str">
        <f t="shared" si="26"/>
        <v>Predrag – Labaš</v>
      </c>
      <c r="N559" s="103"/>
      <c r="O559" s="104"/>
      <c r="P559" s="105"/>
    </row>
    <row r="560" spans="2:16" x14ac:dyDescent="0.25">
      <c r="B560" s="103">
        <v>1174</v>
      </c>
      <c r="C560" s="104" t="s">
        <v>405</v>
      </c>
      <c r="D560" s="104" t="s">
        <v>404</v>
      </c>
      <c r="E560" s="104" t="s">
        <v>410</v>
      </c>
      <c r="F560" s="105" t="s">
        <v>364</v>
      </c>
      <c r="H560" s="45" t="str">
        <f t="shared" si="24"/>
        <v>Mario – Lah – OK Varaždin – M12</v>
      </c>
      <c r="J560" s="45" t="str">
        <f t="shared" si="25"/>
        <v>Mario – Lah – OK Varaždin</v>
      </c>
      <c r="L560" s="45" t="str">
        <f t="shared" si="26"/>
        <v>Mario – Lah</v>
      </c>
      <c r="N560" s="103"/>
      <c r="O560" s="104"/>
      <c r="P560" s="105"/>
    </row>
    <row r="561" spans="2:16" x14ac:dyDescent="0.25">
      <c r="B561" s="103">
        <v>1310</v>
      </c>
      <c r="C561" s="104" t="s">
        <v>1291</v>
      </c>
      <c r="D561" s="104" t="s">
        <v>404</v>
      </c>
      <c r="E561" s="104" t="s">
        <v>410</v>
      </c>
      <c r="F561" s="105" t="s">
        <v>1130</v>
      </c>
      <c r="H561" s="45" t="str">
        <f t="shared" si="24"/>
        <v>Siniša – Lah – OK Varaždin – M21B</v>
      </c>
      <c r="J561" s="45" t="str">
        <f t="shared" si="25"/>
        <v>Siniša – Lah – OK Varaždin</v>
      </c>
      <c r="L561" s="45" t="str">
        <f t="shared" si="26"/>
        <v>Siniša – Lah</v>
      </c>
      <c r="N561" s="103"/>
      <c r="O561" s="104"/>
      <c r="P561" s="105"/>
    </row>
    <row r="562" spans="2:16" x14ac:dyDescent="0.25">
      <c r="B562" s="103">
        <v>1660</v>
      </c>
      <c r="C562" s="104" t="s">
        <v>4136</v>
      </c>
      <c r="D562" s="104" t="s">
        <v>4137</v>
      </c>
      <c r="E562" s="104" t="s">
        <v>410</v>
      </c>
      <c r="F562" s="105"/>
      <c r="H562" s="45" t="str">
        <f t="shared" si="24"/>
        <v>Sven Ivor – Lebinac – OK Varaždin</v>
      </c>
      <c r="J562" s="45" t="str">
        <f t="shared" si="25"/>
        <v>Sven Ivor – Lebinac – OK Varaždin</v>
      </c>
      <c r="L562" s="45" t="str">
        <f t="shared" si="26"/>
        <v>Sven Ivor – Lebinac</v>
      </c>
      <c r="N562" s="103"/>
      <c r="O562" s="104"/>
      <c r="P562" s="105"/>
    </row>
    <row r="563" spans="2:16" x14ac:dyDescent="0.25">
      <c r="B563" s="103">
        <v>1931</v>
      </c>
      <c r="C563" s="104" t="s">
        <v>2647</v>
      </c>
      <c r="D563" s="104" t="s">
        <v>4138</v>
      </c>
      <c r="E563" s="104" t="s">
        <v>410</v>
      </c>
      <c r="F563" s="105"/>
      <c r="H563" s="45" t="str">
        <f t="shared" si="24"/>
        <v>Dora – Lešnjak – OK Varaždin</v>
      </c>
      <c r="J563" s="45" t="str">
        <f t="shared" si="25"/>
        <v>Dora – Lešnjak – OK Varaždin</v>
      </c>
      <c r="L563" s="45" t="str">
        <f t="shared" si="26"/>
        <v>Dora – Lešnjak</v>
      </c>
      <c r="N563" s="103"/>
      <c r="O563" s="104"/>
      <c r="P563" s="105"/>
    </row>
    <row r="564" spans="2:16" x14ac:dyDescent="0.25">
      <c r="B564" s="103">
        <v>1131</v>
      </c>
      <c r="C564" s="104" t="s">
        <v>4139</v>
      </c>
      <c r="D564" s="104" t="s">
        <v>4138</v>
      </c>
      <c r="E564" s="104" t="s">
        <v>410</v>
      </c>
      <c r="F564" s="105"/>
      <c r="H564" s="45" t="str">
        <f t="shared" si="24"/>
        <v>Tadej – Lešnjak – OK Varaždin</v>
      </c>
      <c r="J564" s="45" t="str">
        <f t="shared" si="25"/>
        <v>Tadej – Lešnjak – OK Varaždin</v>
      </c>
      <c r="L564" s="45" t="str">
        <f t="shared" si="26"/>
        <v>Tadej – Lešnjak</v>
      </c>
      <c r="N564" s="103"/>
      <c r="O564" s="104"/>
      <c r="P564" s="105"/>
    </row>
    <row r="565" spans="2:16" x14ac:dyDescent="0.25">
      <c r="B565" s="103">
        <v>1935</v>
      </c>
      <c r="C565" s="104" t="s">
        <v>2485</v>
      </c>
      <c r="D565" s="104" t="s">
        <v>1194</v>
      </c>
      <c r="E565" s="104" t="s">
        <v>410</v>
      </c>
      <c r="F565" s="105"/>
      <c r="H565" s="45" t="str">
        <f t="shared" si="24"/>
        <v>Iva – Mađarić – OK Varaždin</v>
      </c>
      <c r="J565" s="45" t="str">
        <f t="shared" si="25"/>
        <v>Iva – Mađarić – OK Varaždin</v>
      </c>
      <c r="L565" s="45" t="str">
        <f t="shared" si="26"/>
        <v>Iva – Mađarić</v>
      </c>
      <c r="N565" s="103"/>
      <c r="O565" s="104"/>
      <c r="P565" s="105"/>
    </row>
    <row r="566" spans="2:16" x14ac:dyDescent="0.25">
      <c r="B566" s="103">
        <v>1936</v>
      </c>
      <c r="C566" s="104" t="s">
        <v>1195</v>
      </c>
      <c r="D566" s="104" t="s">
        <v>1194</v>
      </c>
      <c r="E566" s="104" t="s">
        <v>410</v>
      </c>
      <c r="F566" s="105" t="s">
        <v>1130</v>
      </c>
      <c r="H566" s="45" t="str">
        <f t="shared" si="24"/>
        <v>Predrag – Mađarić – OK Varaždin – M21B</v>
      </c>
      <c r="J566" s="45" t="str">
        <f t="shared" si="25"/>
        <v>Predrag – Mađarić – OK Varaždin</v>
      </c>
      <c r="L566" s="45" t="str">
        <f t="shared" si="26"/>
        <v>Predrag – Mađarić</v>
      </c>
      <c r="N566" s="103"/>
      <c r="O566" s="104"/>
      <c r="P566" s="105"/>
    </row>
    <row r="567" spans="2:16" x14ac:dyDescent="0.25">
      <c r="B567" s="103">
        <v>1463</v>
      </c>
      <c r="C567" s="104" t="s">
        <v>4140</v>
      </c>
      <c r="D567" s="104" t="s">
        <v>4141</v>
      </c>
      <c r="E567" s="104" t="s">
        <v>410</v>
      </c>
      <c r="F567" s="105"/>
      <c r="H567" s="45" t="str">
        <f t="shared" si="24"/>
        <v>Melanija – Majer – OK Varaždin</v>
      </c>
      <c r="J567" s="45" t="str">
        <f t="shared" si="25"/>
        <v>Melanija – Majer – OK Varaždin</v>
      </c>
      <c r="L567" s="45" t="str">
        <f t="shared" si="26"/>
        <v>Melanija – Majer</v>
      </c>
      <c r="N567" s="103"/>
      <c r="O567" s="104"/>
      <c r="P567" s="105"/>
    </row>
    <row r="568" spans="2:16" x14ac:dyDescent="0.25">
      <c r="B568" s="103">
        <v>1518</v>
      </c>
      <c r="C568" s="104" t="s">
        <v>4142</v>
      </c>
      <c r="D568" s="104" t="s">
        <v>4143</v>
      </c>
      <c r="E568" s="104" t="s">
        <v>410</v>
      </c>
      <c r="F568" s="105"/>
      <c r="H568" s="45" t="str">
        <f t="shared" si="24"/>
        <v>Marinka – Mak – OK Varaždin</v>
      </c>
      <c r="J568" s="45" t="str">
        <f t="shared" si="25"/>
        <v>Marinka – Mak – OK Varaždin</v>
      </c>
      <c r="L568" s="45" t="str">
        <f t="shared" si="26"/>
        <v>Marinka – Mak</v>
      </c>
      <c r="N568" s="103"/>
      <c r="O568" s="104"/>
      <c r="P568" s="105"/>
    </row>
    <row r="569" spans="2:16" x14ac:dyDescent="0.25">
      <c r="B569" s="103">
        <v>1241</v>
      </c>
      <c r="C569" s="104" t="s">
        <v>2602</v>
      </c>
      <c r="D569" s="104" t="s">
        <v>4144</v>
      </c>
      <c r="E569" s="104" t="s">
        <v>410</v>
      </c>
      <c r="F569" s="105"/>
      <c r="H569" s="45" t="str">
        <f t="shared" si="24"/>
        <v>Petra – Martak – OK Varaždin</v>
      </c>
      <c r="J569" s="45" t="str">
        <f t="shared" si="25"/>
        <v>Petra – Martak – OK Varaždin</v>
      </c>
      <c r="L569" s="45" t="str">
        <f t="shared" si="26"/>
        <v>Petra – Martak</v>
      </c>
      <c r="N569" s="103"/>
      <c r="O569" s="104"/>
      <c r="P569" s="105"/>
    </row>
    <row r="570" spans="2:16" x14ac:dyDescent="0.25">
      <c r="B570" s="103">
        <v>1597</v>
      </c>
      <c r="C570" s="104" t="s">
        <v>4145</v>
      </c>
      <c r="D570" s="104" t="s">
        <v>4084</v>
      </c>
      <c r="E570" s="104" t="s">
        <v>410</v>
      </c>
      <c r="F570" s="105"/>
      <c r="H570" s="45" t="str">
        <f t="shared" si="24"/>
        <v>Janik – Martinčević – OK Varaždin</v>
      </c>
      <c r="J570" s="45" t="str">
        <f t="shared" si="25"/>
        <v>Janik – Martinčević – OK Varaždin</v>
      </c>
      <c r="L570" s="45" t="str">
        <f t="shared" si="26"/>
        <v>Janik – Martinčević</v>
      </c>
      <c r="N570" s="103"/>
      <c r="O570" s="104"/>
      <c r="P570" s="105"/>
    </row>
    <row r="571" spans="2:16" x14ac:dyDescent="0.25">
      <c r="B571" s="103">
        <v>1628</v>
      </c>
      <c r="C571" s="104" t="s">
        <v>1195</v>
      </c>
      <c r="D571" s="104" t="s">
        <v>4084</v>
      </c>
      <c r="E571" s="104" t="s">
        <v>410</v>
      </c>
      <c r="F571" s="105"/>
      <c r="H571" s="45" t="str">
        <f t="shared" si="24"/>
        <v>Predrag – Martinčević – OK Varaždin</v>
      </c>
      <c r="J571" s="45" t="str">
        <f t="shared" si="25"/>
        <v>Predrag – Martinčević – OK Varaždin</v>
      </c>
      <c r="L571" s="45" t="str">
        <f t="shared" si="26"/>
        <v>Predrag – Martinčević</v>
      </c>
      <c r="N571" s="103"/>
      <c r="O571" s="104"/>
      <c r="P571" s="105"/>
    </row>
    <row r="572" spans="2:16" x14ac:dyDescent="0.25">
      <c r="B572" s="103">
        <v>1758</v>
      </c>
      <c r="C572" s="104" t="s">
        <v>3993</v>
      </c>
      <c r="D572" s="104" t="s">
        <v>4146</v>
      </c>
      <c r="E572" s="104" t="s">
        <v>410</v>
      </c>
      <c r="F572" s="105"/>
      <c r="H572" s="45" t="str">
        <f t="shared" si="24"/>
        <v>Andrej – Martinez – OK Varaždin</v>
      </c>
      <c r="J572" s="45" t="str">
        <f t="shared" si="25"/>
        <v>Andrej – Martinez – OK Varaždin</v>
      </c>
      <c r="L572" s="45" t="str">
        <f t="shared" si="26"/>
        <v>Andrej – Martinez</v>
      </c>
      <c r="N572" s="103"/>
      <c r="O572" s="104"/>
      <c r="P572" s="105"/>
    </row>
    <row r="573" spans="2:16" x14ac:dyDescent="0.25">
      <c r="B573" s="103">
        <v>1646</v>
      </c>
      <c r="C573" s="104" t="s">
        <v>3796</v>
      </c>
      <c r="D573" s="104" t="s">
        <v>4146</v>
      </c>
      <c r="E573" s="104" t="s">
        <v>410</v>
      </c>
      <c r="F573" s="105"/>
      <c r="H573" s="45" t="str">
        <f t="shared" si="24"/>
        <v>Anja – Martinez – OK Varaždin</v>
      </c>
      <c r="J573" s="45" t="str">
        <f t="shared" si="25"/>
        <v>Anja – Martinez – OK Varaždin</v>
      </c>
      <c r="L573" s="45" t="str">
        <f t="shared" si="26"/>
        <v>Anja – Martinez</v>
      </c>
      <c r="N573" s="103"/>
      <c r="O573" s="104"/>
      <c r="P573" s="105"/>
    </row>
    <row r="574" spans="2:16" x14ac:dyDescent="0.25">
      <c r="B574" s="103">
        <v>1432</v>
      </c>
      <c r="C574" s="104" t="s">
        <v>388</v>
      </c>
      <c r="D574" s="104" t="s">
        <v>4147</v>
      </c>
      <c r="E574" s="104" t="s">
        <v>410</v>
      </c>
      <c r="F574" s="105"/>
      <c r="H574" s="45" t="str">
        <f t="shared" si="24"/>
        <v>Marin – Mihinjač – OK Varaždin</v>
      </c>
      <c r="J574" s="45" t="str">
        <f t="shared" si="25"/>
        <v>Marin – Mihinjač – OK Varaždin</v>
      </c>
      <c r="L574" s="45" t="str">
        <f t="shared" si="26"/>
        <v>Marin – Mihinjač</v>
      </c>
      <c r="N574" s="103"/>
      <c r="O574" s="104"/>
      <c r="P574" s="105"/>
    </row>
    <row r="575" spans="2:16" x14ac:dyDescent="0.25">
      <c r="B575" s="103">
        <v>1578</v>
      </c>
      <c r="C575" s="104" t="s">
        <v>3795</v>
      </c>
      <c r="D575" s="104" t="s">
        <v>4148</v>
      </c>
      <c r="E575" s="104" t="s">
        <v>410</v>
      </c>
      <c r="F575" s="105"/>
      <c r="H575" s="45" t="str">
        <f t="shared" si="24"/>
        <v>Lara – Možanić – OK Varaždin</v>
      </c>
      <c r="J575" s="45" t="str">
        <f t="shared" si="25"/>
        <v>Lara – Možanić – OK Varaždin</v>
      </c>
      <c r="L575" s="45" t="str">
        <f t="shared" si="26"/>
        <v>Lara – Možanić</v>
      </c>
      <c r="N575" s="103"/>
      <c r="O575" s="104"/>
      <c r="P575" s="105"/>
    </row>
    <row r="576" spans="2:16" x14ac:dyDescent="0.25">
      <c r="B576" s="103">
        <v>1097</v>
      </c>
      <c r="C576" s="104" t="s">
        <v>3600</v>
      </c>
      <c r="D576" s="104" t="s">
        <v>3716</v>
      </c>
      <c r="E576" s="104" t="s">
        <v>410</v>
      </c>
      <c r="F576" s="105" t="s">
        <v>3443</v>
      </c>
      <c r="H576" s="45" t="str">
        <f t="shared" si="24"/>
        <v>Sanja – Ostroški – OK Varaždin – Ž45</v>
      </c>
      <c r="J576" s="45" t="str">
        <f t="shared" si="25"/>
        <v>Sanja – Ostroški – OK Varaždin</v>
      </c>
      <c r="L576" s="45" t="str">
        <f t="shared" si="26"/>
        <v>Sanja – Ostroški</v>
      </c>
      <c r="N576" s="103"/>
      <c r="O576" s="104"/>
      <c r="P576" s="105"/>
    </row>
    <row r="577" spans="2:16" x14ac:dyDescent="0.25">
      <c r="B577" s="103">
        <v>1044</v>
      </c>
      <c r="C577" s="104" t="s">
        <v>4149</v>
      </c>
      <c r="D577" s="104" t="s">
        <v>4150</v>
      </c>
      <c r="E577" s="104" t="s">
        <v>410</v>
      </c>
      <c r="F577" s="105"/>
      <c r="H577" s="45" t="str">
        <f t="shared" si="24"/>
        <v>Zlatko – Pap – OK Varaždin</v>
      </c>
      <c r="J577" s="45" t="str">
        <f t="shared" si="25"/>
        <v>Zlatko – Pap – OK Varaždin</v>
      </c>
      <c r="L577" s="45" t="str">
        <f t="shared" si="26"/>
        <v>Zlatko – Pap</v>
      </c>
      <c r="N577" s="103"/>
      <c r="O577" s="104"/>
      <c r="P577" s="105"/>
    </row>
    <row r="578" spans="2:16" x14ac:dyDescent="0.25">
      <c r="B578" s="103">
        <v>1661</v>
      </c>
      <c r="C578" s="104" t="s">
        <v>4151</v>
      </c>
      <c r="D578" s="104" t="s">
        <v>4152</v>
      </c>
      <c r="E578" s="104" t="s">
        <v>410</v>
      </c>
      <c r="F578" s="105"/>
      <c r="H578" s="45" t="str">
        <f t="shared" si="24"/>
        <v>Vesna – Pascuttini-Juraga – OK Varaždin</v>
      </c>
      <c r="J578" s="45" t="str">
        <f t="shared" si="25"/>
        <v>Vesna – Pascuttini-Juraga – OK Varaždin</v>
      </c>
      <c r="L578" s="45" t="str">
        <f t="shared" si="26"/>
        <v>Vesna – Pascuttini-Juraga</v>
      </c>
      <c r="N578" s="103"/>
      <c r="O578" s="104"/>
      <c r="P578" s="105"/>
    </row>
    <row r="579" spans="2:16" x14ac:dyDescent="0.25">
      <c r="B579" s="103">
        <v>1079</v>
      </c>
      <c r="C579" s="104" t="s">
        <v>438</v>
      </c>
      <c r="D579" s="104" t="s">
        <v>875</v>
      </c>
      <c r="E579" s="104" t="s">
        <v>410</v>
      </c>
      <c r="F579" s="105" t="s">
        <v>769</v>
      </c>
      <c r="H579" s="45" t="str">
        <f t="shared" si="24"/>
        <v>Ivan – Pasquino – OK Varaždin – M20</v>
      </c>
      <c r="J579" s="45" t="str">
        <f t="shared" si="25"/>
        <v>Ivan – Pasquino – OK Varaždin</v>
      </c>
      <c r="L579" s="45" t="str">
        <f t="shared" si="26"/>
        <v>Ivan – Pasquino</v>
      </c>
      <c r="N579" s="103"/>
      <c r="O579" s="104"/>
      <c r="P579" s="105"/>
    </row>
    <row r="580" spans="2:16" x14ac:dyDescent="0.25">
      <c r="B580" s="103">
        <v>1933</v>
      </c>
      <c r="C580" s="104" t="s">
        <v>1497</v>
      </c>
      <c r="D580" s="104" t="s">
        <v>2387</v>
      </c>
      <c r="E580" s="104" t="s">
        <v>410</v>
      </c>
      <c r="F580" s="105"/>
      <c r="H580" s="45" t="str">
        <f t="shared" si="24"/>
        <v>Nikola – Pavić – OK Varaždin</v>
      </c>
      <c r="J580" s="45" t="str">
        <f t="shared" si="25"/>
        <v>Nikola – Pavić – OK Varaždin</v>
      </c>
      <c r="L580" s="45" t="str">
        <f t="shared" si="26"/>
        <v>Nikola – Pavić</v>
      </c>
      <c r="N580" s="103"/>
      <c r="O580" s="104"/>
      <c r="P580" s="105"/>
    </row>
    <row r="581" spans="2:16" x14ac:dyDescent="0.25">
      <c r="B581" s="103">
        <v>1625</v>
      </c>
      <c r="C581" s="104" t="s">
        <v>4153</v>
      </c>
      <c r="D581" s="104" t="s">
        <v>3781</v>
      </c>
      <c r="E581" s="104" t="s">
        <v>410</v>
      </c>
      <c r="F581" s="105"/>
      <c r="H581" s="45" t="str">
        <f t="shared" si="24"/>
        <v>Roman – Petak – OK Varaždin</v>
      </c>
      <c r="J581" s="45" t="str">
        <f t="shared" si="25"/>
        <v>Roman – Petak – OK Varaždin</v>
      </c>
      <c r="L581" s="45" t="str">
        <f t="shared" si="26"/>
        <v>Roman – Petak</v>
      </c>
      <c r="N581" s="103"/>
      <c r="O581" s="104"/>
      <c r="P581" s="105"/>
    </row>
    <row r="582" spans="2:16" x14ac:dyDescent="0.25">
      <c r="B582" s="103">
        <v>1116</v>
      </c>
      <c r="C582" s="104" t="s">
        <v>851</v>
      </c>
      <c r="D582" s="104" t="s">
        <v>850</v>
      </c>
      <c r="E582" s="104" t="s">
        <v>410</v>
      </c>
      <c r="F582" s="105" t="s">
        <v>769</v>
      </c>
      <c r="H582" s="45" t="str">
        <f t="shared" si="24"/>
        <v>Ozren – Pevec – OK Varaždin – M20</v>
      </c>
      <c r="J582" s="45" t="str">
        <f t="shared" si="25"/>
        <v>Ozren – Pevec – OK Varaždin</v>
      </c>
      <c r="L582" s="45" t="str">
        <f t="shared" si="26"/>
        <v>Ozren – Pevec</v>
      </c>
      <c r="N582" s="103"/>
      <c r="O582" s="104"/>
      <c r="P582" s="105"/>
    </row>
    <row r="583" spans="2:16" x14ac:dyDescent="0.25">
      <c r="B583" s="103">
        <v>1513</v>
      </c>
      <c r="C583" s="104" t="s">
        <v>4154</v>
      </c>
      <c r="D583" s="104" t="s">
        <v>850</v>
      </c>
      <c r="E583" s="104" t="s">
        <v>410</v>
      </c>
      <c r="F583" s="105"/>
      <c r="H583" s="45" t="str">
        <f t="shared" si="24"/>
        <v>Una Beata – Pevec – OK Varaždin</v>
      </c>
      <c r="J583" s="45" t="str">
        <f t="shared" si="25"/>
        <v>Una Beata – Pevec – OK Varaždin</v>
      </c>
      <c r="L583" s="45" t="str">
        <f t="shared" si="26"/>
        <v>Una Beata – Pevec</v>
      </c>
      <c r="N583" s="103"/>
      <c r="O583" s="104"/>
      <c r="P583" s="105"/>
    </row>
    <row r="584" spans="2:16" x14ac:dyDescent="0.25">
      <c r="B584" s="103">
        <v>1073</v>
      </c>
      <c r="C584" s="104" t="s">
        <v>4155</v>
      </c>
      <c r="D584" s="104" t="s">
        <v>4156</v>
      </c>
      <c r="E584" s="104" t="s">
        <v>410</v>
      </c>
      <c r="F584" s="105"/>
      <c r="H584" s="45" t="str">
        <f t="shared" si="24"/>
        <v>Nino – Piskač – OK Varaždin</v>
      </c>
      <c r="J584" s="45" t="str">
        <f t="shared" si="25"/>
        <v>Nino – Piskač – OK Varaždin</v>
      </c>
      <c r="L584" s="45" t="str">
        <f t="shared" si="26"/>
        <v>Nino – Piskač</v>
      </c>
      <c r="N584" s="103"/>
      <c r="O584" s="104"/>
      <c r="P584" s="105"/>
    </row>
    <row r="585" spans="2:16" x14ac:dyDescent="0.25">
      <c r="B585" s="103">
        <v>1934</v>
      </c>
      <c r="C585" s="104" t="s">
        <v>421</v>
      </c>
      <c r="D585" s="104" t="s">
        <v>4156</v>
      </c>
      <c r="E585" s="104" t="s">
        <v>410</v>
      </c>
      <c r="F585" s="105"/>
      <c r="H585" s="45" t="str">
        <f t="shared" si="24"/>
        <v>Teo – Piskač – OK Varaždin</v>
      </c>
      <c r="J585" s="45" t="str">
        <f t="shared" si="25"/>
        <v>Teo – Piskač – OK Varaždin</v>
      </c>
      <c r="L585" s="45" t="str">
        <f t="shared" si="26"/>
        <v>Teo – Piskač</v>
      </c>
      <c r="N585" s="103"/>
      <c r="O585" s="104"/>
      <c r="P585" s="105"/>
    </row>
    <row r="586" spans="2:16" x14ac:dyDescent="0.25">
      <c r="B586" s="103">
        <v>1441</v>
      </c>
      <c r="C586" s="104" t="s">
        <v>2704</v>
      </c>
      <c r="D586" s="104" t="s">
        <v>2872</v>
      </c>
      <c r="E586" s="104" t="s">
        <v>410</v>
      </c>
      <c r="F586" s="105" t="s">
        <v>2766</v>
      </c>
      <c r="H586" s="45" t="str">
        <f t="shared" si="24"/>
        <v>Ema – Potrebica – OK Varaždin – Ž16</v>
      </c>
      <c r="J586" s="45" t="str">
        <f t="shared" si="25"/>
        <v>Ema – Potrebica – OK Varaždin</v>
      </c>
      <c r="L586" s="45" t="str">
        <f t="shared" si="26"/>
        <v>Ema – Potrebica</v>
      </c>
      <c r="N586" s="103"/>
      <c r="O586" s="104"/>
      <c r="P586" s="105"/>
    </row>
    <row r="587" spans="2:16" x14ac:dyDescent="0.25">
      <c r="B587" s="103">
        <v>1220</v>
      </c>
      <c r="C587" s="104" t="s">
        <v>3411</v>
      </c>
      <c r="D587" s="104" t="s">
        <v>2872</v>
      </c>
      <c r="E587" s="104" t="s">
        <v>410</v>
      </c>
      <c r="F587" s="105" t="s">
        <v>3265</v>
      </c>
      <c r="H587" s="45" t="str">
        <f t="shared" ref="H587:H650" si="27">IF(C587="","",C587) &amp; IF(D587="",""," – " &amp; D587) &amp; IF(E587="",""," – " &amp; E587) &amp; IF(F587="",""," – " &amp; F587)</f>
        <v>Tanja – Potrebica – OK Varaždin – Ž35</v>
      </c>
      <c r="J587" s="45" t="str">
        <f t="shared" ref="J587:J650" si="28">IF(C587="","",C587) &amp; IF(D587="",""," – " &amp; D587) &amp; IF(E587="",""," – " &amp; E587)</f>
        <v>Tanja – Potrebica – OK Varaždin</v>
      </c>
      <c r="L587" s="45" t="str">
        <f t="shared" ref="L587:L650" si="29">IF(C587="","",C587) &amp; IF(D587="",""," – " &amp; D587)</f>
        <v>Tanja – Potrebica</v>
      </c>
      <c r="N587" s="103"/>
      <c r="O587" s="104"/>
      <c r="P587" s="105"/>
    </row>
    <row r="588" spans="2:16" x14ac:dyDescent="0.25">
      <c r="B588" s="103">
        <v>1637</v>
      </c>
      <c r="C588" s="104" t="s">
        <v>476</v>
      </c>
      <c r="D588" s="104" t="s">
        <v>4157</v>
      </c>
      <c r="E588" s="104" t="s">
        <v>410</v>
      </c>
      <c r="F588" s="105"/>
      <c r="H588" s="45" t="str">
        <f t="shared" si="27"/>
        <v>Jakov – Pravica – OK Varaždin</v>
      </c>
      <c r="J588" s="45" t="str">
        <f t="shared" si="28"/>
        <v>Jakov – Pravica – OK Varaždin</v>
      </c>
      <c r="L588" s="45" t="str">
        <f t="shared" si="29"/>
        <v>Jakov – Pravica</v>
      </c>
      <c r="N588" s="103"/>
      <c r="O588" s="104"/>
      <c r="P588" s="105"/>
    </row>
    <row r="589" spans="2:16" x14ac:dyDescent="0.25">
      <c r="B589" s="103">
        <v>1644</v>
      </c>
      <c r="C589" s="104" t="s">
        <v>3783</v>
      </c>
      <c r="D589" s="104" t="s">
        <v>4158</v>
      </c>
      <c r="E589" s="104" t="s">
        <v>410</v>
      </c>
      <c r="F589" s="105"/>
      <c r="H589" s="45" t="str">
        <f t="shared" si="27"/>
        <v>Mislav – Putarek – OK Varaždin</v>
      </c>
      <c r="J589" s="45" t="str">
        <f t="shared" si="28"/>
        <v>Mislav – Putarek – OK Varaždin</v>
      </c>
      <c r="L589" s="45" t="str">
        <f t="shared" si="29"/>
        <v>Mislav – Putarek</v>
      </c>
      <c r="N589" s="103"/>
      <c r="O589" s="104"/>
      <c r="P589" s="105"/>
    </row>
    <row r="590" spans="2:16" x14ac:dyDescent="0.25">
      <c r="B590" s="103">
        <v>1621</v>
      </c>
      <c r="C590" s="104" t="s">
        <v>4159</v>
      </c>
      <c r="D590" s="104" t="s">
        <v>4158</v>
      </c>
      <c r="E590" s="104" t="s">
        <v>410</v>
      </c>
      <c r="F590" s="105"/>
      <c r="H590" s="45" t="str">
        <f t="shared" si="27"/>
        <v>Vita – Putarek – OK Varaždin</v>
      </c>
      <c r="J590" s="45" t="str">
        <f t="shared" si="28"/>
        <v>Vita – Putarek – OK Varaždin</v>
      </c>
      <c r="L590" s="45" t="str">
        <f t="shared" si="29"/>
        <v>Vita – Putarek</v>
      </c>
      <c r="N590" s="103"/>
      <c r="O590" s="104"/>
      <c r="P590" s="105"/>
    </row>
    <row r="591" spans="2:16" x14ac:dyDescent="0.25">
      <c r="B591" s="103">
        <v>1531</v>
      </c>
      <c r="C591" s="104" t="s">
        <v>4160</v>
      </c>
      <c r="D591" s="104" t="s">
        <v>4161</v>
      </c>
      <c r="E591" s="104" t="s">
        <v>410</v>
      </c>
      <c r="F591" s="105"/>
      <c r="H591" s="45" t="str">
        <f t="shared" si="27"/>
        <v>Srećko – Radulović – OK Varaždin</v>
      </c>
      <c r="J591" s="45" t="str">
        <f t="shared" si="28"/>
        <v>Srećko – Radulović – OK Varaždin</v>
      </c>
      <c r="L591" s="45" t="str">
        <f t="shared" si="29"/>
        <v>Srećko – Radulović</v>
      </c>
      <c r="N591" s="103"/>
      <c r="O591" s="104"/>
      <c r="P591" s="105"/>
    </row>
    <row r="592" spans="2:16" x14ac:dyDescent="0.25">
      <c r="B592" s="103">
        <v>1281</v>
      </c>
      <c r="C592" s="104" t="s">
        <v>4106</v>
      </c>
      <c r="D592" s="104" t="s">
        <v>4162</v>
      </c>
      <c r="E592" s="104" t="s">
        <v>410</v>
      </c>
      <c r="F592" s="105"/>
      <c r="H592" s="45" t="str">
        <f t="shared" si="27"/>
        <v>Vida – Rak – OK Varaždin</v>
      </c>
      <c r="J592" s="45" t="str">
        <f t="shared" si="28"/>
        <v>Vida – Rak – OK Varaždin</v>
      </c>
      <c r="L592" s="45" t="str">
        <f t="shared" si="29"/>
        <v>Vida – Rak</v>
      </c>
      <c r="N592" s="103"/>
      <c r="O592" s="104"/>
      <c r="P592" s="105"/>
    </row>
    <row r="593" spans="2:16" x14ac:dyDescent="0.25">
      <c r="B593" s="103">
        <v>1652</v>
      </c>
      <c r="C593" s="104" t="s">
        <v>2647</v>
      </c>
      <c r="D593" s="104" t="s">
        <v>4163</v>
      </c>
      <c r="E593" s="104" t="s">
        <v>410</v>
      </c>
      <c r="F593" s="105"/>
      <c r="H593" s="45" t="str">
        <f t="shared" si="27"/>
        <v>Dora – Rodeš – OK Varaždin</v>
      </c>
      <c r="J593" s="45" t="str">
        <f t="shared" si="28"/>
        <v>Dora – Rodeš – OK Varaždin</v>
      </c>
      <c r="L593" s="45" t="str">
        <f t="shared" si="29"/>
        <v>Dora – Rodeš</v>
      </c>
      <c r="N593" s="103"/>
      <c r="O593" s="104"/>
      <c r="P593" s="105"/>
    </row>
    <row r="594" spans="2:16" x14ac:dyDescent="0.25">
      <c r="B594" s="103">
        <v>1147</v>
      </c>
      <c r="C594" s="104" t="s">
        <v>4164</v>
      </c>
      <c r="D594" s="104" t="s">
        <v>4165</v>
      </c>
      <c r="E594" s="104" t="s">
        <v>410</v>
      </c>
      <c r="F594" s="105"/>
      <c r="H594" s="45" t="str">
        <f t="shared" si="27"/>
        <v>Emanuel – Rožić – OK Varaždin</v>
      </c>
      <c r="J594" s="45" t="str">
        <f t="shared" si="28"/>
        <v>Emanuel – Rožić – OK Varaždin</v>
      </c>
      <c r="L594" s="45" t="str">
        <f t="shared" si="29"/>
        <v>Emanuel – Rožić</v>
      </c>
      <c r="N594" s="103"/>
      <c r="O594" s="104"/>
      <c r="P594" s="105"/>
    </row>
    <row r="595" spans="2:16" x14ac:dyDescent="0.25">
      <c r="B595" s="103">
        <v>1402</v>
      </c>
      <c r="C595" s="104" t="s">
        <v>2714</v>
      </c>
      <c r="D595" s="104" t="s">
        <v>1351</v>
      </c>
      <c r="E595" s="104" t="s">
        <v>410</v>
      </c>
      <c r="F595" s="105" t="s">
        <v>2637</v>
      </c>
      <c r="H595" s="45" t="str">
        <f t="shared" si="27"/>
        <v>Eva – Šantek – OK Varaždin – Ž12</v>
      </c>
      <c r="J595" s="45" t="str">
        <f t="shared" si="28"/>
        <v>Eva – Šantek – OK Varaždin</v>
      </c>
      <c r="L595" s="45" t="str">
        <f t="shared" si="29"/>
        <v>Eva – Šantek</v>
      </c>
      <c r="N595" s="103"/>
      <c r="O595" s="104"/>
      <c r="P595" s="105"/>
    </row>
    <row r="596" spans="2:16" x14ac:dyDescent="0.25">
      <c r="B596" s="103">
        <v>1149</v>
      </c>
      <c r="C596" s="104" t="s">
        <v>438</v>
      </c>
      <c r="D596" s="104" t="s">
        <v>1351</v>
      </c>
      <c r="E596" s="104" t="s">
        <v>410</v>
      </c>
      <c r="F596" s="105" t="s">
        <v>1130</v>
      </c>
      <c r="H596" s="45" t="str">
        <f t="shared" si="27"/>
        <v>Ivan – Šantek – OK Varaždin – M21B</v>
      </c>
      <c r="J596" s="45" t="str">
        <f t="shared" si="28"/>
        <v>Ivan – Šantek – OK Varaždin</v>
      </c>
      <c r="L596" s="45" t="str">
        <f t="shared" si="29"/>
        <v>Ivan – Šantek</v>
      </c>
      <c r="N596" s="103"/>
      <c r="O596" s="104"/>
      <c r="P596" s="105"/>
    </row>
    <row r="597" spans="2:16" x14ac:dyDescent="0.25">
      <c r="B597" s="103">
        <v>1932</v>
      </c>
      <c r="C597" s="104" t="s">
        <v>2565</v>
      </c>
      <c r="D597" s="104" t="s">
        <v>1351</v>
      </c>
      <c r="E597" s="104" t="s">
        <v>410</v>
      </c>
      <c r="F597" s="105"/>
      <c r="H597" s="45" t="str">
        <f t="shared" si="27"/>
        <v>Lucija – Šantek – OK Varaždin</v>
      </c>
      <c r="J597" s="45" t="str">
        <f t="shared" si="28"/>
        <v>Lucija – Šantek – OK Varaždin</v>
      </c>
      <c r="L597" s="45" t="str">
        <f t="shared" si="29"/>
        <v>Lucija – Šantek</v>
      </c>
      <c r="N597" s="103"/>
      <c r="O597" s="104"/>
      <c r="P597" s="105"/>
    </row>
    <row r="598" spans="2:16" x14ac:dyDescent="0.25">
      <c r="B598" s="103">
        <v>1270</v>
      </c>
      <c r="C598" s="104" t="s">
        <v>3560</v>
      </c>
      <c r="D598" s="104" t="s">
        <v>3570</v>
      </c>
      <c r="E598" s="104" t="s">
        <v>410</v>
      </c>
      <c r="F598" s="105" t="s">
        <v>3443</v>
      </c>
      <c r="H598" s="45" t="str">
        <f t="shared" si="27"/>
        <v>Marija – Schubert – OK Varaždin – Ž45</v>
      </c>
      <c r="J598" s="45" t="str">
        <f t="shared" si="28"/>
        <v>Marija – Schubert – OK Varaždin</v>
      </c>
      <c r="L598" s="45" t="str">
        <f t="shared" si="29"/>
        <v>Marija – Schubert</v>
      </c>
      <c r="N598" s="103"/>
      <c r="O598" s="104"/>
      <c r="P598" s="105"/>
    </row>
    <row r="599" spans="2:16" x14ac:dyDescent="0.25">
      <c r="B599" s="103">
        <v>1046</v>
      </c>
      <c r="C599" s="104" t="s">
        <v>2437</v>
      </c>
      <c r="D599" s="104" t="s">
        <v>4166</v>
      </c>
      <c r="E599" s="104" t="s">
        <v>410</v>
      </c>
      <c r="F599" s="105"/>
      <c r="H599" s="45" t="str">
        <f t="shared" si="27"/>
        <v>Ana – Smuđ – OK Varaždin</v>
      </c>
      <c r="J599" s="45" t="str">
        <f t="shared" si="28"/>
        <v>Ana – Smuđ – OK Varaždin</v>
      </c>
      <c r="L599" s="45" t="str">
        <f t="shared" si="29"/>
        <v>Ana – Smuđ</v>
      </c>
      <c r="N599" s="103"/>
      <c r="O599" s="104"/>
      <c r="P599" s="105"/>
    </row>
    <row r="600" spans="2:16" x14ac:dyDescent="0.25">
      <c r="B600" s="103">
        <v>1609</v>
      </c>
      <c r="C600" s="104" t="s">
        <v>1763</v>
      </c>
      <c r="D600" s="104" t="s">
        <v>4166</v>
      </c>
      <c r="E600" s="104" t="s">
        <v>410</v>
      </c>
      <c r="F600" s="105"/>
      <c r="H600" s="45" t="str">
        <f t="shared" si="27"/>
        <v>Miroslav – Smuđ – OK Varaždin</v>
      </c>
      <c r="J600" s="45" t="str">
        <f t="shared" si="28"/>
        <v>Miroslav – Smuđ – OK Varaždin</v>
      </c>
      <c r="L600" s="45" t="str">
        <f t="shared" si="29"/>
        <v>Miroslav – Smuđ</v>
      </c>
      <c r="N600" s="103"/>
      <c r="O600" s="104"/>
      <c r="P600" s="105"/>
    </row>
    <row r="601" spans="2:16" x14ac:dyDescent="0.25">
      <c r="B601" s="103">
        <v>1840</v>
      </c>
      <c r="C601" s="104" t="s">
        <v>2437</v>
      </c>
      <c r="D601" s="104" t="s">
        <v>2993</v>
      </c>
      <c r="E601" s="104" t="s">
        <v>410</v>
      </c>
      <c r="F601" s="105" t="s">
        <v>2928</v>
      </c>
      <c r="H601" s="45" t="str">
        <f t="shared" si="27"/>
        <v>Ana – Srebačić – OK Varaždin – Ž20</v>
      </c>
      <c r="J601" s="45" t="str">
        <f t="shared" si="28"/>
        <v>Ana – Srebačić – OK Varaždin</v>
      </c>
      <c r="L601" s="45" t="str">
        <f t="shared" si="29"/>
        <v>Ana – Srebačić</v>
      </c>
      <c r="N601" s="103"/>
      <c r="O601" s="104"/>
      <c r="P601" s="105"/>
    </row>
    <row r="602" spans="2:16" x14ac:dyDescent="0.25">
      <c r="B602" s="103">
        <v>1067</v>
      </c>
      <c r="C602" s="104" t="s">
        <v>3612</v>
      </c>
      <c r="D602" s="104" t="s">
        <v>2993</v>
      </c>
      <c r="E602" s="104" t="s">
        <v>410</v>
      </c>
      <c r="F602" s="105" t="s">
        <v>3443</v>
      </c>
      <c r="H602" s="45" t="str">
        <f t="shared" si="27"/>
        <v>Davorka – Srebačić – OK Varaždin – Ž45</v>
      </c>
      <c r="J602" s="45" t="str">
        <f t="shared" si="28"/>
        <v>Davorka – Srebačić – OK Varaždin</v>
      </c>
      <c r="L602" s="45" t="str">
        <f t="shared" si="29"/>
        <v>Davorka – Srebačić</v>
      </c>
      <c r="N602" s="103"/>
      <c r="O602" s="104"/>
      <c r="P602" s="105"/>
    </row>
    <row r="603" spans="2:16" x14ac:dyDescent="0.25">
      <c r="B603" s="103">
        <v>1756</v>
      </c>
      <c r="C603" s="104" t="s">
        <v>821</v>
      </c>
      <c r="D603" s="104" t="s">
        <v>4167</v>
      </c>
      <c r="E603" s="104" t="s">
        <v>410</v>
      </c>
      <c r="F603" s="105"/>
      <c r="H603" s="45" t="str">
        <f t="shared" si="27"/>
        <v>Noa – Stančić – OK Varaždin</v>
      </c>
      <c r="J603" s="45" t="str">
        <f t="shared" si="28"/>
        <v>Noa – Stančić – OK Varaždin</v>
      </c>
      <c r="L603" s="45" t="str">
        <f t="shared" si="29"/>
        <v>Noa – Stančić</v>
      </c>
      <c r="N603" s="103"/>
      <c r="O603" s="104"/>
      <c r="P603" s="105"/>
    </row>
    <row r="604" spans="2:16" x14ac:dyDescent="0.25">
      <c r="B604" s="103">
        <v>1568</v>
      </c>
      <c r="C604" s="104" t="s">
        <v>2267</v>
      </c>
      <c r="D604" s="104" t="s">
        <v>2400</v>
      </c>
      <c r="E604" s="104" t="s">
        <v>410</v>
      </c>
      <c r="F604" s="105" t="s">
        <v>2403</v>
      </c>
      <c r="H604" s="45" t="str">
        <f t="shared" si="27"/>
        <v>Milan – Turkalj – OK Varaždin – M70</v>
      </c>
      <c r="J604" s="45" t="str">
        <f t="shared" si="28"/>
        <v>Milan – Turkalj – OK Varaždin</v>
      </c>
      <c r="L604" s="45" t="str">
        <f t="shared" si="29"/>
        <v>Milan – Turkalj</v>
      </c>
      <c r="N604" s="103"/>
      <c r="O604" s="104"/>
      <c r="P604" s="105"/>
    </row>
    <row r="605" spans="2:16" x14ac:dyDescent="0.25">
      <c r="B605" s="103">
        <v>1180</v>
      </c>
      <c r="C605" s="104" t="s">
        <v>766</v>
      </c>
      <c r="D605" s="104" t="s">
        <v>4168</v>
      </c>
      <c r="E605" s="104" t="s">
        <v>410</v>
      </c>
      <c r="F605" s="105"/>
      <c r="H605" s="45" t="str">
        <f t="shared" si="27"/>
        <v>Jan – Turković – OK Varaždin</v>
      </c>
      <c r="J605" s="45" t="str">
        <f t="shared" si="28"/>
        <v>Jan – Turković – OK Varaždin</v>
      </c>
      <c r="L605" s="45" t="str">
        <f t="shared" si="29"/>
        <v>Jan – Turković</v>
      </c>
      <c r="N605" s="103"/>
      <c r="O605" s="104"/>
      <c r="P605" s="105"/>
    </row>
    <row r="606" spans="2:16" x14ac:dyDescent="0.25">
      <c r="B606" s="103">
        <v>1035</v>
      </c>
      <c r="C606" s="104" t="s">
        <v>4169</v>
      </c>
      <c r="D606" s="104" t="s">
        <v>4170</v>
      </c>
      <c r="E606" s="104" t="s">
        <v>410</v>
      </c>
      <c r="F606" s="105"/>
      <c r="H606" s="45" t="str">
        <f t="shared" si="27"/>
        <v>Tony – Udris – OK Varaždin</v>
      </c>
      <c r="J606" s="45" t="str">
        <f t="shared" si="28"/>
        <v>Tony – Udris – OK Varaždin</v>
      </c>
      <c r="L606" s="45" t="str">
        <f t="shared" si="29"/>
        <v>Tony – Udris</v>
      </c>
      <c r="N606" s="103"/>
      <c r="O606" s="104"/>
      <c r="P606" s="105"/>
    </row>
    <row r="607" spans="2:16" x14ac:dyDescent="0.25">
      <c r="B607" s="103">
        <v>1591</v>
      </c>
      <c r="C607" s="104" t="s">
        <v>3183</v>
      </c>
      <c r="D607" s="104" t="s">
        <v>4171</v>
      </c>
      <c r="E607" s="104" t="s">
        <v>410</v>
      </c>
      <c r="F607" s="105"/>
      <c r="H607" s="45" t="str">
        <f t="shared" si="27"/>
        <v>Hana – Uranić – OK Varaždin</v>
      </c>
      <c r="J607" s="45" t="str">
        <f t="shared" si="28"/>
        <v>Hana – Uranić – OK Varaždin</v>
      </c>
      <c r="L607" s="45" t="str">
        <f t="shared" si="29"/>
        <v>Hana – Uranić</v>
      </c>
      <c r="N607" s="103"/>
      <c r="O607" s="104"/>
      <c r="P607" s="105"/>
    </row>
    <row r="608" spans="2:16" x14ac:dyDescent="0.25">
      <c r="B608" s="103">
        <v>1759</v>
      </c>
      <c r="C608" s="104" t="s">
        <v>2893</v>
      </c>
      <c r="D608" s="104" t="s">
        <v>4172</v>
      </c>
      <c r="E608" s="104" t="s">
        <v>410</v>
      </c>
      <c r="F608" s="105"/>
      <c r="H608" s="45" t="str">
        <f t="shared" si="27"/>
        <v>Nina – Veseljak – OK Varaždin</v>
      </c>
      <c r="J608" s="45" t="str">
        <f t="shared" si="28"/>
        <v>Nina – Veseljak – OK Varaždin</v>
      </c>
      <c r="L608" s="45" t="str">
        <f t="shared" si="29"/>
        <v>Nina – Veseljak</v>
      </c>
      <c r="N608" s="103"/>
      <c r="O608" s="104"/>
      <c r="P608" s="105"/>
    </row>
    <row r="609" spans="2:16" x14ac:dyDescent="0.25">
      <c r="B609" s="103">
        <v>1051</v>
      </c>
      <c r="C609" s="104" t="s">
        <v>4111</v>
      </c>
      <c r="D609" s="104" t="s">
        <v>4173</v>
      </c>
      <c r="E609" s="104" t="s">
        <v>410</v>
      </c>
      <c r="F609" s="105"/>
      <c r="H609" s="45" t="str">
        <f t="shared" si="27"/>
        <v>Antonela – Vidović – OK Varaždin</v>
      </c>
      <c r="J609" s="45" t="str">
        <f t="shared" si="28"/>
        <v>Antonela – Vidović – OK Varaždin</v>
      </c>
      <c r="L609" s="45" t="str">
        <f t="shared" si="29"/>
        <v>Antonela – Vidović</v>
      </c>
      <c r="N609" s="103"/>
      <c r="O609" s="104"/>
      <c r="P609" s="105"/>
    </row>
    <row r="610" spans="2:16" x14ac:dyDescent="0.25">
      <c r="B610" s="103">
        <v>1551</v>
      </c>
      <c r="C610" s="104" t="s">
        <v>3688</v>
      </c>
      <c r="D610" s="104" t="s">
        <v>1335</v>
      </c>
      <c r="E610" s="104" t="s">
        <v>410</v>
      </c>
      <c r="F610" s="105"/>
      <c r="H610" s="45" t="str">
        <f t="shared" si="27"/>
        <v>Biserka – Vodopija – OK Varaždin</v>
      </c>
      <c r="J610" s="45" t="str">
        <f t="shared" si="28"/>
        <v>Biserka – Vodopija – OK Varaždin</v>
      </c>
      <c r="L610" s="45" t="str">
        <f t="shared" si="29"/>
        <v>Biserka – Vodopija</v>
      </c>
      <c r="N610" s="103"/>
      <c r="O610" s="104"/>
      <c r="P610" s="105"/>
    </row>
    <row r="611" spans="2:16" x14ac:dyDescent="0.25">
      <c r="B611" s="103">
        <v>1210</v>
      </c>
      <c r="C611" s="104" t="s">
        <v>3776</v>
      </c>
      <c r="D611" s="104" t="s">
        <v>1335</v>
      </c>
      <c r="E611" s="104" t="s">
        <v>410</v>
      </c>
      <c r="F611" s="105"/>
      <c r="H611" s="45" t="str">
        <f t="shared" si="27"/>
        <v>Bruno – Vodopija – OK Varaždin</v>
      </c>
      <c r="J611" s="45" t="str">
        <f t="shared" si="28"/>
        <v>Bruno – Vodopija – OK Varaždin</v>
      </c>
      <c r="L611" s="45" t="str">
        <f t="shared" si="29"/>
        <v>Bruno – Vodopija</v>
      </c>
      <c r="N611" s="103"/>
      <c r="O611" s="104"/>
      <c r="P611" s="105"/>
    </row>
    <row r="612" spans="2:16" x14ac:dyDescent="0.25">
      <c r="B612" s="103">
        <v>1662</v>
      </c>
      <c r="C612" s="104" t="s">
        <v>4174</v>
      </c>
      <c r="D612" s="104" t="s">
        <v>1335</v>
      </c>
      <c r="E612" s="104" t="s">
        <v>410</v>
      </c>
      <c r="F612" s="105"/>
      <c r="H612" s="45" t="str">
        <f t="shared" si="27"/>
        <v>Neven – Vodopija – OK Varaždin</v>
      </c>
      <c r="J612" s="45" t="str">
        <f t="shared" si="28"/>
        <v>Neven – Vodopija – OK Varaždin</v>
      </c>
      <c r="L612" s="45" t="str">
        <f t="shared" si="29"/>
        <v>Neven – Vodopija</v>
      </c>
      <c r="N612" s="103"/>
      <c r="O612" s="104"/>
      <c r="P612" s="105"/>
    </row>
    <row r="613" spans="2:16" x14ac:dyDescent="0.25">
      <c r="B613" s="103">
        <v>1245</v>
      </c>
      <c r="C613" s="104" t="s">
        <v>3762</v>
      </c>
      <c r="D613" s="104" t="s">
        <v>1335</v>
      </c>
      <c r="E613" s="104" t="s">
        <v>410</v>
      </c>
      <c r="F613" s="105"/>
      <c r="H613" s="45" t="str">
        <f t="shared" si="27"/>
        <v>Rea – Vodopija – OK Varaždin</v>
      </c>
      <c r="J613" s="45" t="str">
        <f t="shared" si="28"/>
        <v>Rea – Vodopija – OK Varaždin</v>
      </c>
      <c r="L613" s="45" t="str">
        <f t="shared" si="29"/>
        <v>Rea – Vodopija</v>
      </c>
      <c r="N613" s="103"/>
      <c r="O613" s="104"/>
      <c r="P613" s="105"/>
    </row>
    <row r="614" spans="2:16" x14ac:dyDescent="0.25">
      <c r="B614" s="103">
        <v>1299</v>
      </c>
      <c r="C614" s="104" t="s">
        <v>3951</v>
      </c>
      <c r="D614" s="104" t="s">
        <v>1335</v>
      </c>
      <c r="E614" s="104" t="s">
        <v>410</v>
      </c>
      <c r="F614" s="105"/>
      <c r="H614" s="45" t="str">
        <f t="shared" si="27"/>
        <v>Zvonko – Vodopija – OK Varaždin</v>
      </c>
      <c r="J614" s="45" t="str">
        <f t="shared" si="28"/>
        <v>Zvonko – Vodopija – OK Varaždin</v>
      </c>
      <c r="L614" s="45" t="str">
        <f t="shared" si="29"/>
        <v>Zvonko – Vodopija</v>
      </c>
      <c r="N614" s="103"/>
      <c r="O614" s="104"/>
      <c r="P614" s="105"/>
    </row>
    <row r="615" spans="2:16" x14ac:dyDescent="0.25">
      <c r="B615" s="103">
        <v>1619</v>
      </c>
      <c r="C615" s="104" t="s">
        <v>2634</v>
      </c>
      <c r="D615" s="104" t="s">
        <v>4175</v>
      </c>
      <c r="E615" s="104" t="s">
        <v>410</v>
      </c>
      <c r="F615" s="105"/>
      <c r="H615" s="45" t="str">
        <f t="shared" si="27"/>
        <v>Sara – Vugrek – OK Varaždin</v>
      </c>
      <c r="J615" s="45" t="str">
        <f t="shared" si="28"/>
        <v>Sara – Vugrek – OK Varaždin</v>
      </c>
      <c r="L615" s="45" t="str">
        <f t="shared" si="29"/>
        <v>Sara – Vugrek</v>
      </c>
      <c r="N615" s="103"/>
      <c r="O615" s="104"/>
      <c r="P615" s="105"/>
    </row>
    <row r="616" spans="2:16" x14ac:dyDescent="0.25">
      <c r="B616" s="103">
        <v>1757</v>
      </c>
      <c r="C616" s="104" t="s">
        <v>4164</v>
      </c>
      <c r="D616" s="104" t="s">
        <v>4176</v>
      </c>
      <c r="E616" s="104" t="s">
        <v>410</v>
      </c>
      <c r="F616" s="105"/>
      <c r="H616" s="45" t="str">
        <f t="shared" si="27"/>
        <v>Emanuel – Vukovac – OK Varaždin</v>
      </c>
      <c r="J616" s="45" t="str">
        <f t="shared" si="28"/>
        <v>Emanuel – Vukovac – OK Varaždin</v>
      </c>
      <c r="L616" s="45" t="str">
        <f t="shared" si="29"/>
        <v>Emanuel – Vukovac</v>
      </c>
      <c r="N616" s="103"/>
      <c r="O616" s="104"/>
      <c r="P616" s="105"/>
    </row>
    <row r="617" spans="2:16" x14ac:dyDescent="0.25">
      <c r="B617" s="103">
        <v>1539</v>
      </c>
      <c r="C617" s="104" t="s">
        <v>3810</v>
      </c>
      <c r="D617" s="104" t="s">
        <v>4177</v>
      </c>
      <c r="E617" s="104" t="s">
        <v>410</v>
      </c>
      <c r="F617" s="105"/>
      <c r="H617" s="45" t="str">
        <f t="shared" si="27"/>
        <v>Fran – Zagrajski – OK Varaždin</v>
      </c>
      <c r="J617" s="45" t="str">
        <f t="shared" si="28"/>
        <v>Fran – Zagrajski – OK Varaždin</v>
      </c>
      <c r="L617" s="45" t="str">
        <f t="shared" si="29"/>
        <v>Fran – Zagrajski</v>
      </c>
      <c r="N617" s="103"/>
      <c r="O617" s="104"/>
      <c r="P617" s="105"/>
    </row>
    <row r="618" spans="2:16" x14ac:dyDescent="0.25">
      <c r="B618" s="103">
        <v>1197</v>
      </c>
      <c r="C618" s="104" t="s">
        <v>2448</v>
      </c>
      <c r="D618" s="104" t="s">
        <v>4177</v>
      </c>
      <c r="E618" s="104" t="s">
        <v>410</v>
      </c>
      <c r="F618" s="105"/>
      <c r="H618" s="45" t="str">
        <f t="shared" si="27"/>
        <v>Ivana – Zagrajski – OK Varaždin</v>
      </c>
      <c r="J618" s="45" t="str">
        <f t="shared" si="28"/>
        <v>Ivana – Zagrajski – OK Varaždin</v>
      </c>
      <c r="L618" s="45" t="str">
        <f t="shared" si="29"/>
        <v>Ivana – Zagrajski</v>
      </c>
      <c r="N618" s="103"/>
      <c r="O618" s="109"/>
      <c r="P618" s="105"/>
    </row>
    <row r="619" spans="2:16" x14ac:dyDescent="0.25">
      <c r="B619" s="103">
        <v>1255</v>
      </c>
      <c r="C619" s="104" t="s">
        <v>2602</v>
      </c>
      <c r="D619" s="104" t="s">
        <v>4178</v>
      </c>
      <c r="E619" s="104" t="s">
        <v>426</v>
      </c>
      <c r="F619" s="105" t="s">
        <v>3094</v>
      </c>
      <c r="H619" s="45" t="str">
        <f t="shared" si="27"/>
        <v>Petra – Abramović – OK Vihor – Ž21B</v>
      </c>
      <c r="J619" s="45" t="str">
        <f t="shared" si="28"/>
        <v>Petra – Abramović – OK Vihor</v>
      </c>
      <c r="L619" s="45" t="str">
        <f t="shared" si="29"/>
        <v>Petra – Abramović</v>
      </c>
      <c r="N619" s="103"/>
      <c r="O619" s="104"/>
      <c r="P619" s="105"/>
    </row>
    <row r="620" spans="2:16" x14ac:dyDescent="0.25">
      <c r="B620" s="103">
        <v>1113</v>
      </c>
      <c r="C620" s="104" t="s">
        <v>2425</v>
      </c>
      <c r="D620" s="104" t="s">
        <v>2424</v>
      </c>
      <c r="E620" s="104" t="s">
        <v>426</v>
      </c>
      <c r="F620" s="105" t="s">
        <v>3094</v>
      </c>
      <c r="H620" s="45" t="str">
        <f t="shared" si="27"/>
        <v>Barbara – Arbanas – OK Vihor – Ž21B</v>
      </c>
      <c r="J620" s="45" t="str">
        <f t="shared" si="28"/>
        <v>Barbara – Arbanas – OK Vihor</v>
      </c>
      <c r="L620" s="45" t="str">
        <f t="shared" si="29"/>
        <v>Barbara – Arbanas</v>
      </c>
      <c r="N620" s="103"/>
      <c r="O620" s="104"/>
      <c r="P620" s="105"/>
    </row>
    <row r="621" spans="2:16" x14ac:dyDescent="0.25">
      <c r="B621" s="103">
        <v>1006</v>
      </c>
      <c r="C621" s="104" t="s">
        <v>4179</v>
      </c>
      <c r="D621" s="104" t="s">
        <v>4180</v>
      </c>
      <c r="E621" s="104" t="s">
        <v>426</v>
      </c>
      <c r="F621" s="105"/>
      <c r="H621" s="45" t="str">
        <f t="shared" si="27"/>
        <v>Anamarija – Artić – OK Vihor</v>
      </c>
      <c r="J621" s="45" t="str">
        <f t="shared" si="28"/>
        <v>Anamarija – Artić – OK Vihor</v>
      </c>
      <c r="L621" s="45" t="str">
        <f t="shared" si="29"/>
        <v>Anamarija – Artić</v>
      </c>
      <c r="N621" s="103"/>
      <c r="O621" s="104"/>
      <c r="P621" s="105"/>
    </row>
    <row r="622" spans="2:16" x14ac:dyDescent="0.25">
      <c r="B622" s="103">
        <v>1796</v>
      </c>
      <c r="C622" s="104" t="s">
        <v>4181</v>
      </c>
      <c r="D622" s="104" t="s">
        <v>4182</v>
      </c>
      <c r="E622" s="104" t="s">
        <v>426</v>
      </c>
      <c r="F622" s="105"/>
      <c r="H622" s="45" t="str">
        <f t="shared" si="27"/>
        <v>Anna – Artyushenko – OK Vihor</v>
      </c>
      <c r="J622" s="45" t="str">
        <f t="shared" si="28"/>
        <v>Anna – Artyushenko – OK Vihor</v>
      </c>
      <c r="L622" s="45" t="str">
        <f t="shared" si="29"/>
        <v>Anna – Artyushenko</v>
      </c>
      <c r="N622" s="103"/>
      <c r="O622" s="104"/>
      <c r="P622" s="105"/>
    </row>
    <row r="623" spans="2:16" x14ac:dyDescent="0.25">
      <c r="B623" s="103">
        <v>1797</v>
      </c>
      <c r="C623" s="104" t="s">
        <v>4183</v>
      </c>
      <c r="D623" s="104" t="s">
        <v>4182</v>
      </c>
      <c r="E623" s="104" t="s">
        <v>426</v>
      </c>
      <c r="F623" s="105"/>
      <c r="H623" s="45" t="str">
        <f t="shared" si="27"/>
        <v>Irina – Artyushenko – OK Vihor</v>
      </c>
      <c r="J623" s="45" t="str">
        <f t="shared" si="28"/>
        <v>Irina – Artyushenko – OK Vihor</v>
      </c>
      <c r="L623" s="45" t="str">
        <f t="shared" si="29"/>
        <v>Irina – Artyushenko</v>
      </c>
      <c r="N623" s="103"/>
      <c r="O623" s="104"/>
      <c r="P623" s="105"/>
    </row>
    <row r="624" spans="2:16" x14ac:dyDescent="0.25">
      <c r="B624" s="103">
        <v>1795</v>
      </c>
      <c r="C624" s="104" t="s">
        <v>4184</v>
      </c>
      <c r="D624" s="104" t="s">
        <v>4182</v>
      </c>
      <c r="E624" s="104" t="s">
        <v>426</v>
      </c>
      <c r="F624" s="105"/>
      <c r="H624" s="45" t="str">
        <f t="shared" si="27"/>
        <v>Julia – Artyushenko – OK Vihor</v>
      </c>
      <c r="J624" s="45" t="str">
        <f t="shared" si="28"/>
        <v>Julia – Artyushenko – OK Vihor</v>
      </c>
      <c r="L624" s="45" t="str">
        <f t="shared" si="29"/>
        <v>Julia – Artyushenko</v>
      </c>
      <c r="N624" s="103"/>
      <c r="O624" s="104"/>
      <c r="P624" s="105"/>
    </row>
    <row r="625" spans="2:16" x14ac:dyDescent="0.25">
      <c r="B625" s="103">
        <v>1691</v>
      </c>
      <c r="C625" s="104" t="s">
        <v>741</v>
      </c>
      <c r="D625" s="104" t="s">
        <v>4185</v>
      </c>
      <c r="E625" s="104" t="s">
        <v>426</v>
      </c>
      <c r="F625" s="105"/>
      <c r="H625" s="45" t="str">
        <f t="shared" si="27"/>
        <v>Goran – Babić – OK Vihor</v>
      </c>
      <c r="J625" s="45" t="str">
        <f t="shared" si="28"/>
        <v>Goran – Babić – OK Vihor</v>
      </c>
      <c r="L625" s="45" t="str">
        <f t="shared" si="29"/>
        <v>Goran – Babić</v>
      </c>
      <c r="N625" s="103"/>
      <c r="O625" s="104"/>
      <c r="P625" s="105"/>
    </row>
    <row r="626" spans="2:16" x14ac:dyDescent="0.25">
      <c r="B626" s="103">
        <v>1690</v>
      </c>
      <c r="C626" s="104" t="s">
        <v>4083</v>
      </c>
      <c r="D626" s="104" t="s">
        <v>4185</v>
      </c>
      <c r="E626" s="104" t="s">
        <v>426</v>
      </c>
      <c r="F626" s="105"/>
      <c r="H626" s="45" t="str">
        <f t="shared" si="27"/>
        <v>Kristina – Babić – OK Vihor</v>
      </c>
      <c r="J626" s="45" t="str">
        <f t="shared" si="28"/>
        <v>Kristina – Babić – OK Vihor</v>
      </c>
      <c r="L626" s="45" t="str">
        <f t="shared" si="29"/>
        <v>Kristina – Babić</v>
      </c>
      <c r="N626" s="103"/>
      <c r="O626" s="104"/>
      <c r="P626" s="105"/>
    </row>
    <row r="627" spans="2:16" x14ac:dyDescent="0.25">
      <c r="B627" s="103">
        <v>1692</v>
      </c>
      <c r="C627" s="104" t="s">
        <v>4119</v>
      </c>
      <c r="D627" s="104" t="s">
        <v>4185</v>
      </c>
      <c r="E627" s="104" t="s">
        <v>426</v>
      </c>
      <c r="F627" s="105"/>
      <c r="H627" s="45" t="str">
        <f t="shared" si="27"/>
        <v>Stjepan – Babić – OK Vihor</v>
      </c>
      <c r="J627" s="45" t="str">
        <f t="shared" si="28"/>
        <v>Stjepan – Babić – OK Vihor</v>
      </c>
      <c r="L627" s="45" t="str">
        <f t="shared" si="29"/>
        <v>Stjepan – Babić</v>
      </c>
      <c r="N627" s="103"/>
      <c r="O627" s="104"/>
      <c r="P627" s="105"/>
    </row>
    <row r="628" spans="2:16" x14ac:dyDescent="0.25">
      <c r="B628" s="103">
        <v>1693</v>
      </c>
      <c r="C628" s="104" t="s">
        <v>1053</v>
      </c>
      <c r="D628" s="104" t="s">
        <v>4186</v>
      </c>
      <c r="E628" s="104" t="s">
        <v>426</v>
      </c>
      <c r="F628" s="105"/>
      <c r="H628" s="45" t="str">
        <f t="shared" si="27"/>
        <v>Frane – Baće – OK Vihor</v>
      </c>
      <c r="J628" s="45" t="str">
        <f t="shared" si="28"/>
        <v>Frane – Baće – OK Vihor</v>
      </c>
      <c r="L628" s="45" t="str">
        <f t="shared" si="29"/>
        <v>Frane – Baće</v>
      </c>
      <c r="N628" s="103"/>
      <c r="O628" s="104"/>
      <c r="P628" s="105"/>
    </row>
    <row r="629" spans="2:16" x14ac:dyDescent="0.25">
      <c r="B629" s="103">
        <v>1055</v>
      </c>
      <c r="C629" s="104" t="s">
        <v>2675</v>
      </c>
      <c r="D629" s="104" t="s">
        <v>2674</v>
      </c>
      <c r="E629" s="104" t="s">
        <v>426</v>
      </c>
      <c r="F629" s="105" t="s">
        <v>2637</v>
      </c>
      <c r="H629" s="45" t="str">
        <f t="shared" si="27"/>
        <v>Luna – Bajrektarević – OK Vihor – Ž12</v>
      </c>
      <c r="J629" s="45" t="str">
        <f t="shared" si="28"/>
        <v>Luna – Bajrektarević – OK Vihor</v>
      </c>
      <c r="L629" s="45" t="str">
        <f t="shared" si="29"/>
        <v>Luna – Bajrektarević</v>
      </c>
      <c r="N629" s="103"/>
      <c r="O629" s="104"/>
      <c r="P629" s="105"/>
    </row>
    <row r="630" spans="2:16" x14ac:dyDescent="0.25">
      <c r="B630" s="103">
        <v>1881</v>
      </c>
      <c r="C630" s="104" t="s">
        <v>2485</v>
      </c>
      <c r="D630" s="104" t="s">
        <v>4187</v>
      </c>
      <c r="E630" s="104" t="s">
        <v>426</v>
      </c>
      <c r="F630" s="105" t="s">
        <v>3094</v>
      </c>
      <c r="H630" s="45" t="str">
        <f t="shared" si="27"/>
        <v>Iva – Balaž – OK Vihor – Ž21B</v>
      </c>
      <c r="J630" s="45" t="str">
        <f t="shared" si="28"/>
        <v>Iva – Balaž – OK Vihor</v>
      </c>
      <c r="L630" s="45" t="str">
        <f t="shared" si="29"/>
        <v>Iva – Balaž</v>
      </c>
      <c r="N630" s="103"/>
      <c r="O630" s="104"/>
      <c r="P630" s="105"/>
    </row>
    <row r="631" spans="2:16" x14ac:dyDescent="0.25">
      <c r="B631" s="103">
        <v>1811</v>
      </c>
      <c r="C631" s="104" t="s">
        <v>2511</v>
      </c>
      <c r="D631" s="104" t="s">
        <v>4188</v>
      </c>
      <c r="E631" s="104" t="s">
        <v>426</v>
      </c>
      <c r="F631" s="105"/>
      <c r="H631" s="45" t="str">
        <f t="shared" si="27"/>
        <v>Antonija – Banovic – OK Vihor</v>
      </c>
      <c r="J631" s="45" t="str">
        <f t="shared" si="28"/>
        <v>Antonija – Banovic – OK Vihor</v>
      </c>
      <c r="L631" s="45" t="str">
        <f t="shared" si="29"/>
        <v>Antonija – Banovic</v>
      </c>
      <c r="N631" s="103"/>
      <c r="O631" s="104"/>
      <c r="P631" s="105"/>
    </row>
    <row r="632" spans="2:16" x14ac:dyDescent="0.25">
      <c r="B632" s="103">
        <v>1882</v>
      </c>
      <c r="C632" s="104" t="s">
        <v>1263</v>
      </c>
      <c r="D632" s="104" t="s">
        <v>1537</v>
      </c>
      <c r="E632" s="104" t="s">
        <v>426</v>
      </c>
      <c r="F632" s="105" t="s">
        <v>1130</v>
      </c>
      <c r="H632" s="45" t="str">
        <f t="shared" si="27"/>
        <v>Kristijan – Barišić – OK Vihor – M21B</v>
      </c>
      <c r="J632" s="45" t="str">
        <f t="shared" si="28"/>
        <v>Kristijan – Barišić – OK Vihor</v>
      </c>
      <c r="L632" s="45" t="str">
        <f t="shared" si="29"/>
        <v>Kristijan – Barišić</v>
      </c>
      <c r="N632" s="103"/>
      <c r="O632" s="104"/>
      <c r="P632" s="105"/>
    </row>
    <row r="633" spans="2:16" x14ac:dyDescent="0.25">
      <c r="B633" s="103">
        <v>1380</v>
      </c>
      <c r="C633" s="104" t="s">
        <v>2437</v>
      </c>
      <c r="D633" s="104" t="s">
        <v>4189</v>
      </c>
      <c r="E633" s="104" t="s">
        <v>426</v>
      </c>
      <c r="F633" s="105"/>
      <c r="H633" s="45" t="str">
        <f t="shared" si="27"/>
        <v>Ana – Batinović – OK Vihor</v>
      </c>
      <c r="J633" s="45" t="str">
        <f t="shared" si="28"/>
        <v>Ana – Batinović – OK Vihor</v>
      </c>
      <c r="L633" s="45" t="str">
        <f t="shared" si="29"/>
        <v>Ana – Batinović</v>
      </c>
      <c r="N633" s="103"/>
      <c r="O633" s="104"/>
      <c r="P633" s="105"/>
    </row>
    <row r="634" spans="2:16" x14ac:dyDescent="0.25">
      <c r="B634" s="103">
        <v>1048</v>
      </c>
      <c r="C634" s="104" t="s">
        <v>4083</v>
      </c>
      <c r="D634" s="104" t="s">
        <v>4190</v>
      </c>
      <c r="E634" s="104" t="s">
        <v>426</v>
      </c>
      <c r="F634" s="105"/>
      <c r="H634" s="45" t="str">
        <f t="shared" si="27"/>
        <v>Kristina – Beljan – OK Vihor</v>
      </c>
      <c r="J634" s="45" t="str">
        <f t="shared" si="28"/>
        <v>Kristina – Beljan – OK Vihor</v>
      </c>
      <c r="L634" s="45" t="str">
        <f t="shared" si="29"/>
        <v>Kristina – Beljan</v>
      </c>
      <c r="N634" s="103"/>
      <c r="O634" s="104"/>
      <c r="P634" s="105"/>
    </row>
    <row r="635" spans="2:16" x14ac:dyDescent="0.25">
      <c r="B635" s="103">
        <v>1748</v>
      </c>
      <c r="C635" s="104" t="s">
        <v>4191</v>
      </c>
      <c r="D635" s="104" t="s">
        <v>4192</v>
      </c>
      <c r="E635" s="104" t="s">
        <v>426</v>
      </c>
      <c r="F635" s="105"/>
      <c r="H635" s="45" t="str">
        <f t="shared" si="27"/>
        <v>Filipa – Beroš – OK Vihor</v>
      </c>
      <c r="J635" s="45" t="str">
        <f t="shared" si="28"/>
        <v>Filipa – Beroš – OK Vihor</v>
      </c>
      <c r="L635" s="45" t="str">
        <f t="shared" si="29"/>
        <v>Filipa – Beroš</v>
      </c>
      <c r="N635" s="103"/>
      <c r="O635" s="104"/>
      <c r="P635" s="105"/>
    </row>
    <row r="636" spans="2:16" x14ac:dyDescent="0.25">
      <c r="B636" s="103">
        <v>1333</v>
      </c>
      <c r="C636" s="104" t="s">
        <v>2376</v>
      </c>
      <c r="D636" s="104" t="s">
        <v>4193</v>
      </c>
      <c r="E636" s="104" t="s">
        <v>426</v>
      </c>
      <c r="F636" s="105" t="s">
        <v>1130</v>
      </c>
      <c r="H636" s="45" t="str">
        <f t="shared" si="27"/>
        <v>Ivica – Bertol – OK Vihor – M21B</v>
      </c>
      <c r="J636" s="45" t="str">
        <f t="shared" si="28"/>
        <v>Ivica – Bertol – OK Vihor</v>
      </c>
      <c r="L636" s="45" t="str">
        <f t="shared" si="29"/>
        <v>Ivica – Bertol</v>
      </c>
      <c r="N636" s="103"/>
      <c r="O636" s="104"/>
      <c r="P636" s="105"/>
    </row>
    <row r="637" spans="2:16" x14ac:dyDescent="0.25">
      <c r="B637" s="103">
        <v>1009</v>
      </c>
      <c r="C637" s="104" t="s">
        <v>4194</v>
      </c>
      <c r="D637" s="104" t="s">
        <v>4195</v>
      </c>
      <c r="E637" s="104" t="s">
        <v>426</v>
      </c>
      <c r="F637" s="105"/>
      <c r="H637" s="45" t="str">
        <f t="shared" si="27"/>
        <v>Anita – Bilandžić – OK Vihor</v>
      </c>
      <c r="J637" s="45" t="str">
        <f t="shared" si="28"/>
        <v>Anita – Bilandžić – OK Vihor</v>
      </c>
      <c r="L637" s="45" t="str">
        <f t="shared" si="29"/>
        <v>Anita – Bilandžić</v>
      </c>
      <c r="N637" s="103"/>
      <c r="O637" s="104"/>
      <c r="P637" s="105"/>
    </row>
    <row r="638" spans="2:16" x14ac:dyDescent="0.25">
      <c r="B638" s="103">
        <v>1373</v>
      </c>
      <c r="C638" s="104" t="s">
        <v>4196</v>
      </c>
      <c r="D638" s="104" t="s">
        <v>4197</v>
      </c>
      <c r="E638" s="104" t="s">
        <v>426</v>
      </c>
      <c r="F638" s="105" t="s">
        <v>364</v>
      </c>
      <c r="H638" s="45" t="str">
        <f t="shared" si="27"/>
        <v>Maks – Bjelajac – OK Vihor – M12</v>
      </c>
      <c r="J638" s="45" t="str">
        <f t="shared" si="28"/>
        <v>Maks – Bjelajac – OK Vihor</v>
      </c>
      <c r="L638" s="45" t="str">
        <f t="shared" si="29"/>
        <v>Maks – Bjelajac</v>
      </c>
      <c r="N638" s="103"/>
      <c r="O638" s="104"/>
      <c r="P638" s="105"/>
    </row>
    <row r="639" spans="2:16" x14ac:dyDescent="0.25">
      <c r="B639" s="103">
        <v>1883</v>
      </c>
      <c r="C639" s="104" t="s">
        <v>2425</v>
      </c>
      <c r="D639" s="104" t="s">
        <v>2551</v>
      </c>
      <c r="E639" s="104" t="s">
        <v>426</v>
      </c>
      <c r="F639" s="105" t="s">
        <v>3094</v>
      </c>
      <c r="H639" s="45" t="str">
        <f t="shared" si="27"/>
        <v>Barbara – Bjeliš – OK Vihor – Ž21B</v>
      </c>
      <c r="J639" s="45" t="str">
        <f t="shared" si="28"/>
        <v>Barbara – Bjeliš – OK Vihor</v>
      </c>
      <c r="L639" s="45" t="str">
        <f t="shared" si="29"/>
        <v>Barbara – Bjeliš</v>
      </c>
      <c r="N639" s="103"/>
      <c r="O639" s="104"/>
      <c r="P639" s="105"/>
    </row>
    <row r="640" spans="2:16" x14ac:dyDescent="0.25">
      <c r="B640" s="103">
        <v>1352</v>
      </c>
      <c r="C640" s="104" t="s">
        <v>3776</v>
      </c>
      <c r="D640" s="104" t="s">
        <v>4198</v>
      </c>
      <c r="E640" s="104" t="s">
        <v>426</v>
      </c>
      <c r="F640" s="105" t="s">
        <v>1575</v>
      </c>
      <c r="H640" s="45" t="str">
        <f t="shared" si="27"/>
        <v>Bruno – Blažinč – OK Vihor – M35</v>
      </c>
      <c r="J640" s="45" t="str">
        <f t="shared" si="28"/>
        <v>Bruno – Blažinč – OK Vihor</v>
      </c>
      <c r="L640" s="45" t="str">
        <f t="shared" si="29"/>
        <v>Bruno – Blažinč</v>
      </c>
      <c r="N640" s="103"/>
      <c r="O640" s="104"/>
      <c r="P640" s="105"/>
    </row>
    <row r="641" spans="2:16" x14ac:dyDescent="0.25">
      <c r="B641" s="103">
        <v>1474</v>
      </c>
      <c r="C641" s="104" t="s">
        <v>590</v>
      </c>
      <c r="D641" s="104" t="s">
        <v>4199</v>
      </c>
      <c r="E641" s="104" t="s">
        <v>426</v>
      </c>
      <c r="F641" s="105" t="s">
        <v>1130</v>
      </c>
      <c r="H641" s="45" t="str">
        <f t="shared" si="27"/>
        <v>Karlo – Borisavljević – OK Vihor – M21B</v>
      </c>
      <c r="J641" s="45" t="str">
        <f t="shared" si="28"/>
        <v>Karlo – Borisavljević – OK Vihor</v>
      </c>
      <c r="L641" s="45" t="str">
        <f t="shared" si="29"/>
        <v>Karlo – Borisavljević</v>
      </c>
      <c r="N641" s="103"/>
      <c r="O641" s="104"/>
      <c r="P641" s="105"/>
    </row>
    <row r="642" spans="2:16" x14ac:dyDescent="0.25">
      <c r="B642" s="103">
        <v>1880</v>
      </c>
      <c r="C642" s="104" t="s">
        <v>4200</v>
      </c>
      <c r="D642" s="104" t="s">
        <v>4201</v>
      </c>
      <c r="E642" s="104" t="s">
        <v>426</v>
      </c>
      <c r="F642" s="105" t="s">
        <v>652</v>
      </c>
      <c r="H642" s="45" t="str">
        <f t="shared" si="27"/>
        <v>Bako – Botond – OK Vihor – M16</v>
      </c>
      <c r="J642" s="45" t="str">
        <f t="shared" si="28"/>
        <v>Bako – Botond – OK Vihor</v>
      </c>
      <c r="L642" s="45" t="str">
        <f t="shared" si="29"/>
        <v>Bako – Botond</v>
      </c>
      <c r="N642" s="103"/>
      <c r="O642" s="104"/>
      <c r="P642" s="105"/>
    </row>
    <row r="643" spans="2:16" x14ac:dyDescent="0.25">
      <c r="B643" s="103">
        <v>1003</v>
      </c>
      <c r="C643" s="104" t="s">
        <v>4202</v>
      </c>
      <c r="D643" s="104" t="s">
        <v>4203</v>
      </c>
      <c r="E643" s="104" t="s">
        <v>426</v>
      </c>
      <c r="F643" s="105"/>
      <c r="H643" s="45" t="str">
        <f t="shared" si="27"/>
        <v>Aleksandar – Brborović – OK Vihor</v>
      </c>
      <c r="J643" s="45" t="str">
        <f t="shared" si="28"/>
        <v>Aleksandar – Brborović – OK Vihor</v>
      </c>
      <c r="L643" s="45" t="str">
        <f t="shared" si="29"/>
        <v>Aleksandar – Brborović</v>
      </c>
      <c r="N643" s="103"/>
      <c r="O643" s="104"/>
      <c r="P643" s="105"/>
    </row>
    <row r="644" spans="2:16" x14ac:dyDescent="0.25">
      <c r="B644" s="103">
        <v>1199</v>
      </c>
      <c r="C644" s="104" t="s">
        <v>3231</v>
      </c>
      <c r="D644" s="104" t="s">
        <v>4204</v>
      </c>
      <c r="E644" s="104" t="s">
        <v>426</v>
      </c>
      <c r="F644" s="105" t="s">
        <v>3094</v>
      </c>
      <c r="H644" s="45" t="str">
        <f t="shared" si="27"/>
        <v>Aleksandra – Brezovečki Biđin – OK Vihor – Ž21B</v>
      </c>
      <c r="J644" s="45" t="str">
        <f t="shared" si="28"/>
        <v>Aleksandra – Brezovečki Biđin – OK Vihor</v>
      </c>
      <c r="L644" s="45" t="str">
        <f t="shared" si="29"/>
        <v>Aleksandra – Brezovečki Biđin</v>
      </c>
      <c r="N644" s="103"/>
      <c r="O644" s="104"/>
      <c r="P644" s="105"/>
    </row>
    <row r="645" spans="2:16" x14ac:dyDescent="0.25">
      <c r="B645" s="103">
        <v>1884</v>
      </c>
      <c r="C645" s="104" t="s">
        <v>1029</v>
      </c>
      <c r="D645" s="104" t="s">
        <v>1276</v>
      </c>
      <c r="E645" s="104" t="s">
        <v>426</v>
      </c>
      <c r="F645" s="105" t="s">
        <v>1130</v>
      </c>
      <c r="H645" s="45" t="str">
        <f t="shared" si="27"/>
        <v>Tomislav – Burgund – OK Vihor – M21B</v>
      </c>
      <c r="J645" s="45" t="str">
        <f t="shared" si="28"/>
        <v>Tomislav – Burgund – OK Vihor</v>
      </c>
      <c r="L645" s="45" t="str">
        <f t="shared" si="29"/>
        <v>Tomislav – Burgund</v>
      </c>
      <c r="N645" s="103"/>
      <c r="O645" s="104"/>
      <c r="P645" s="105"/>
    </row>
    <row r="646" spans="2:16" x14ac:dyDescent="0.25">
      <c r="B646" s="103">
        <v>1444</v>
      </c>
      <c r="C646" s="104" t="s">
        <v>686</v>
      </c>
      <c r="D646" s="104" t="s">
        <v>4205</v>
      </c>
      <c r="E646" s="104" t="s">
        <v>426</v>
      </c>
      <c r="F646" s="105" t="s">
        <v>2195</v>
      </c>
      <c r="H646" s="45" t="str">
        <f t="shared" si="27"/>
        <v>Patrick – Burton – OK Vihor – M55</v>
      </c>
      <c r="J646" s="45" t="str">
        <f t="shared" si="28"/>
        <v>Patrick – Burton – OK Vihor</v>
      </c>
      <c r="L646" s="45" t="str">
        <f t="shared" si="29"/>
        <v>Patrick – Burton</v>
      </c>
      <c r="N646" s="103"/>
      <c r="O646" s="104"/>
      <c r="P646" s="105"/>
    </row>
    <row r="647" spans="2:16" x14ac:dyDescent="0.25">
      <c r="B647" s="103">
        <v>1005</v>
      </c>
      <c r="C647" s="104" t="s">
        <v>4206</v>
      </c>
      <c r="D647" s="104" t="s">
        <v>4207</v>
      </c>
      <c r="E647" s="104" t="s">
        <v>426</v>
      </c>
      <c r="F647" s="105" t="s">
        <v>3094</v>
      </c>
      <c r="H647" s="45" t="str">
        <f t="shared" si="27"/>
        <v>Alma – Cacan – OK Vihor – Ž21B</v>
      </c>
      <c r="J647" s="45" t="str">
        <f t="shared" si="28"/>
        <v>Alma – Cacan – OK Vihor</v>
      </c>
      <c r="L647" s="45" t="str">
        <f t="shared" si="29"/>
        <v>Alma – Cacan</v>
      </c>
      <c r="N647" s="103"/>
      <c r="O647" s="104"/>
      <c r="P647" s="105"/>
    </row>
    <row r="648" spans="2:16" x14ac:dyDescent="0.25">
      <c r="B648" s="103">
        <v>1063</v>
      </c>
      <c r="C648" s="104" t="s">
        <v>3164</v>
      </c>
      <c r="D648" s="104" t="s">
        <v>3163</v>
      </c>
      <c r="E648" s="104" t="s">
        <v>426</v>
      </c>
      <c r="F648" s="105" t="s">
        <v>3094</v>
      </c>
      <c r="H648" s="45" t="str">
        <f t="shared" si="27"/>
        <v>Lovorka – Čaja – OK Vihor – Ž21B</v>
      </c>
      <c r="J648" s="45" t="str">
        <f t="shared" si="28"/>
        <v>Lovorka – Čaja – OK Vihor</v>
      </c>
      <c r="L648" s="45" t="str">
        <f t="shared" si="29"/>
        <v>Lovorka – Čaja</v>
      </c>
      <c r="N648" s="103"/>
      <c r="O648" s="104"/>
      <c r="P648" s="105"/>
    </row>
    <row r="649" spans="2:16" x14ac:dyDescent="0.25">
      <c r="B649" s="103">
        <v>1330</v>
      </c>
      <c r="C649" s="104" t="s">
        <v>3437</v>
      </c>
      <c r="D649" s="104" t="s">
        <v>3436</v>
      </c>
      <c r="E649" s="104" t="s">
        <v>426</v>
      </c>
      <c r="F649" s="105" t="s">
        <v>3265</v>
      </c>
      <c r="H649" s="45" t="str">
        <f t="shared" si="27"/>
        <v>Violeta – Čalić – OK Vihor – Ž35</v>
      </c>
      <c r="J649" s="45" t="str">
        <f t="shared" si="28"/>
        <v>Violeta – Čalić – OK Vihor</v>
      </c>
      <c r="L649" s="45" t="str">
        <f t="shared" si="29"/>
        <v>Violeta – Čalić</v>
      </c>
      <c r="N649" s="103"/>
      <c r="O649" s="104"/>
      <c r="P649" s="105"/>
    </row>
    <row r="650" spans="2:16" x14ac:dyDescent="0.25">
      <c r="B650" s="103">
        <v>1023</v>
      </c>
      <c r="C650" s="104" t="s">
        <v>2623</v>
      </c>
      <c r="D650" s="104" t="s">
        <v>4208</v>
      </c>
      <c r="E650" s="104" t="s">
        <v>426</v>
      </c>
      <c r="F650" s="105"/>
      <c r="H650" s="45" t="str">
        <f t="shared" si="27"/>
        <v>Mirjana – Čavlina – OK Vihor</v>
      </c>
      <c r="J650" s="45" t="str">
        <f t="shared" si="28"/>
        <v>Mirjana – Čavlina – OK Vihor</v>
      </c>
      <c r="L650" s="45" t="str">
        <f t="shared" si="29"/>
        <v>Mirjana – Čavlina</v>
      </c>
      <c r="N650" s="103"/>
      <c r="O650" s="104"/>
      <c r="P650" s="105"/>
    </row>
    <row r="651" spans="2:16" x14ac:dyDescent="0.25">
      <c r="B651" s="103">
        <v>1123</v>
      </c>
      <c r="C651" s="104" t="s">
        <v>4209</v>
      </c>
      <c r="D651" s="104" t="s">
        <v>4210</v>
      </c>
      <c r="E651" s="104" t="s">
        <v>426</v>
      </c>
      <c r="F651" s="105" t="s">
        <v>3443</v>
      </c>
      <c r="H651" s="45" t="str">
        <f t="shared" ref="H651:H714" si="30">IF(C651="","",C651) &amp; IF(D651="",""," – " &amp; D651) &amp; IF(E651="",""," – " &amp; E651) &amp; IF(F651="",""," – " &amp; F651)</f>
        <v>Magdalena – Čečura – OK Vihor – Ž45</v>
      </c>
      <c r="J651" s="45" t="str">
        <f t="shared" ref="J651:J714" si="31">IF(C651="","",C651) &amp; IF(D651="",""," – " &amp; D651) &amp; IF(E651="",""," – " &amp; E651)</f>
        <v>Magdalena – Čečura – OK Vihor</v>
      </c>
      <c r="L651" s="45" t="str">
        <f t="shared" ref="L651:L714" si="32">IF(C651="","",C651) &amp; IF(D651="",""," – " &amp; D651)</f>
        <v>Magdalena – Čečura</v>
      </c>
      <c r="N651" s="103"/>
      <c r="O651" s="104"/>
      <c r="P651" s="105"/>
    </row>
    <row r="652" spans="2:16" x14ac:dyDescent="0.25">
      <c r="B652" s="103">
        <v>1071</v>
      </c>
      <c r="C652" s="104" t="s">
        <v>4211</v>
      </c>
      <c r="D652" s="104" t="s">
        <v>4212</v>
      </c>
      <c r="E652" s="104" t="s">
        <v>426</v>
      </c>
      <c r="F652" s="105" t="s">
        <v>886</v>
      </c>
      <c r="H652" s="45" t="str">
        <f t="shared" si="30"/>
        <v>Oleg – Celić – OK Vihor – M21A</v>
      </c>
      <c r="J652" s="45" t="str">
        <f t="shared" si="31"/>
        <v>Oleg – Celić – OK Vihor</v>
      </c>
      <c r="L652" s="45" t="str">
        <f t="shared" si="32"/>
        <v>Oleg – Celić</v>
      </c>
      <c r="N652" s="103"/>
      <c r="O652" s="104"/>
      <c r="P652" s="105"/>
    </row>
    <row r="653" spans="2:16" x14ac:dyDescent="0.25">
      <c r="B653" s="103">
        <v>1914</v>
      </c>
      <c r="C653" s="104" t="s">
        <v>963</v>
      </c>
      <c r="D653" s="104" t="s">
        <v>4213</v>
      </c>
      <c r="E653" s="104" t="s">
        <v>426</v>
      </c>
      <c r="F653" s="105"/>
      <c r="H653" s="45" t="str">
        <f t="shared" si="30"/>
        <v>Dražen – Cenčić – OK Vihor</v>
      </c>
      <c r="J653" s="45" t="str">
        <f t="shared" si="31"/>
        <v>Dražen – Cenčić – OK Vihor</v>
      </c>
      <c r="L653" s="45" t="str">
        <f t="shared" si="32"/>
        <v>Dražen – Cenčić</v>
      </c>
      <c r="N653" s="103"/>
      <c r="O653" s="104"/>
      <c r="P653" s="105"/>
    </row>
    <row r="654" spans="2:16" x14ac:dyDescent="0.25">
      <c r="B654" s="103">
        <v>1339</v>
      </c>
      <c r="C654" s="104" t="s">
        <v>472</v>
      </c>
      <c r="D654" s="104" t="s">
        <v>4214</v>
      </c>
      <c r="E654" s="104" t="s">
        <v>426</v>
      </c>
      <c r="F654" s="105" t="s">
        <v>1130</v>
      </c>
      <c r="H654" s="45" t="str">
        <f t="shared" si="30"/>
        <v>Filip – Cesar – OK Vihor – M21B</v>
      </c>
      <c r="J654" s="45" t="str">
        <f t="shared" si="31"/>
        <v>Filip – Cesar – OK Vihor</v>
      </c>
      <c r="L654" s="45" t="str">
        <f t="shared" si="32"/>
        <v>Filip – Cesar</v>
      </c>
      <c r="N654" s="103"/>
      <c r="O654" s="104"/>
      <c r="P654" s="105"/>
    </row>
    <row r="655" spans="2:16" x14ac:dyDescent="0.25">
      <c r="B655" s="103">
        <v>1916</v>
      </c>
      <c r="C655" s="104" t="s">
        <v>2156</v>
      </c>
      <c r="D655" s="104" t="s">
        <v>2155</v>
      </c>
      <c r="E655" s="104" t="s">
        <v>426</v>
      </c>
      <c r="F655" s="105" t="s">
        <v>1909</v>
      </c>
      <c r="H655" s="45" t="str">
        <f t="shared" si="30"/>
        <v>Dinko – Ćetković – OK Vihor – M45</v>
      </c>
      <c r="J655" s="45" t="str">
        <f t="shared" si="31"/>
        <v>Dinko – Ćetković – OK Vihor</v>
      </c>
      <c r="L655" s="45" t="str">
        <f t="shared" si="32"/>
        <v>Dinko – Ćetković</v>
      </c>
      <c r="N655" s="103"/>
      <c r="O655" s="104"/>
      <c r="P655" s="105"/>
    </row>
    <row r="656" spans="2:16" x14ac:dyDescent="0.25">
      <c r="B656" s="103">
        <v>1814</v>
      </c>
      <c r="C656" s="104" t="s">
        <v>4151</v>
      </c>
      <c r="D656" s="104" t="s">
        <v>4215</v>
      </c>
      <c r="E656" s="104" t="s">
        <v>426</v>
      </c>
      <c r="F656" s="105"/>
      <c r="H656" s="45" t="str">
        <f t="shared" si="30"/>
        <v>Vesna – Ciglar Kovač – OK Vihor</v>
      </c>
      <c r="J656" s="45" t="str">
        <f t="shared" si="31"/>
        <v>Vesna – Ciglar Kovač – OK Vihor</v>
      </c>
      <c r="L656" s="45" t="str">
        <f t="shared" si="32"/>
        <v>Vesna – Ciglar Kovač</v>
      </c>
      <c r="N656" s="103"/>
      <c r="O656" s="104"/>
      <c r="P656" s="105"/>
    </row>
    <row r="657" spans="2:16" x14ac:dyDescent="0.25">
      <c r="B657" s="103">
        <v>1915</v>
      </c>
      <c r="C657" s="104" t="s">
        <v>1439</v>
      </c>
      <c r="D657" s="104" t="s">
        <v>1438</v>
      </c>
      <c r="E657" s="104" t="s">
        <v>426</v>
      </c>
      <c r="F657" s="105" t="s">
        <v>1130</v>
      </c>
      <c r="H657" s="45" t="str">
        <f t="shared" si="30"/>
        <v>Jurica – Cimperšak Žigrović – OK Vihor – M21B</v>
      </c>
      <c r="J657" s="45" t="str">
        <f t="shared" si="31"/>
        <v>Jurica – Cimperšak Žigrović – OK Vihor</v>
      </c>
      <c r="L657" s="45" t="str">
        <f t="shared" si="32"/>
        <v>Jurica – Cimperšak Žigrović</v>
      </c>
      <c r="N657" s="103"/>
      <c r="O657" s="104"/>
      <c r="P657" s="105"/>
    </row>
    <row r="658" spans="2:16" x14ac:dyDescent="0.25">
      <c r="B658" s="103">
        <v>1885</v>
      </c>
      <c r="C658" s="104" t="s">
        <v>1510</v>
      </c>
      <c r="D658" s="104" t="s">
        <v>1509</v>
      </c>
      <c r="E658" s="104" t="s">
        <v>426</v>
      </c>
      <c r="F658" s="105" t="s">
        <v>1130</v>
      </c>
      <c r="H658" s="45" t="str">
        <f t="shared" si="30"/>
        <v>Zoran – Ćorić – OK Vihor – M21B</v>
      </c>
      <c r="J658" s="45" t="str">
        <f t="shared" si="31"/>
        <v>Zoran – Ćorić – OK Vihor</v>
      </c>
      <c r="L658" s="45" t="str">
        <f t="shared" si="32"/>
        <v>Zoran – Ćorić</v>
      </c>
      <c r="N658" s="103"/>
      <c r="O658" s="104"/>
      <c r="P658" s="105"/>
    </row>
    <row r="659" spans="2:16" x14ac:dyDescent="0.25">
      <c r="B659" s="103">
        <v>1253</v>
      </c>
      <c r="C659" s="104" t="s">
        <v>1249</v>
      </c>
      <c r="D659" s="104" t="s">
        <v>4061</v>
      </c>
      <c r="E659" s="104" t="s">
        <v>426</v>
      </c>
      <c r="F659" s="105" t="s">
        <v>2195</v>
      </c>
      <c r="H659" s="45" t="str">
        <f t="shared" si="30"/>
        <v>Zdravko – Crnković – OK Vihor – M55</v>
      </c>
      <c r="J659" s="45" t="str">
        <f t="shared" si="31"/>
        <v>Zdravko – Crnković – OK Vihor</v>
      </c>
      <c r="L659" s="45" t="str">
        <f t="shared" si="32"/>
        <v>Zdravko – Crnković</v>
      </c>
      <c r="N659" s="103"/>
      <c r="O659" s="104"/>
      <c r="P659" s="105"/>
    </row>
    <row r="660" spans="2:16" x14ac:dyDescent="0.25">
      <c r="B660" s="103">
        <v>1809</v>
      </c>
      <c r="C660" s="104" t="s">
        <v>4013</v>
      </c>
      <c r="D660" s="104" t="s">
        <v>4216</v>
      </c>
      <c r="E660" s="104" t="s">
        <v>426</v>
      </c>
      <c r="F660" s="105"/>
      <c r="H660" s="45" t="str">
        <f t="shared" si="30"/>
        <v>Smiljana – Čuka Husnjak – OK Vihor</v>
      </c>
      <c r="J660" s="45" t="str">
        <f t="shared" si="31"/>
        <v>Smiljana – Čuka Husnjak – OK Vihor</v>
      </c>
      <c r="L660" s="45" t="str">
        <f t="shared" si="32"/>
        <v>Smiljana – Čuka Husnjak</v>
      </c>
      <c r="N660" s="103"/>
      <c r="O660" s="104"/>
      <c r="P660" s="105"/>
    </row>
    <row r="661" spans="2:16" x14ac:dyDescent="0.25">
      <c r="B661" s="103">
        <v>1296</v>
      </c>
      <c r="C661" s="104" t="s">
        <v>2595</v>
      </c>
      <c r="D661" s="104" t="s">
        <v>3617</v>
      </c>
      <c r="E661" s="104" t="s">
        <v>426</v>
      </c>
      <c r="F661" s="105" t="s">
        <v>3619</v>
      </c>
      <c r="H661" s="45" t="str">
        <f t="shared" si="30"/>
        <v>Maja – Cvitković – OK Vihor – Ž55</v>
      </c>
      <c r="J661" s="45" t="str">
        <f t="shared" si="31"/>
        <v>Maja – Cvitković – OK Vihor</v>
      </c>
      <c r="L661" s="45" t="str">
        <f t="shared" si="32"/>
        <v>Maja – Cvitković</v>
      </c>
      <c r="N661" s="103"/>
      <c r="O661" s="104"/>
      <c r="P661" s="105"/>
    </row>
    <row r="662" spans="2:16" x14ac:dyDescent="0.25">
      <c r="B662" s="103">
        <v>1343</v>
      </c>
      <c r="C662" s="104" t="s">
        <v>4217</v>
      </c>
      <c r="D662" s="104" t="s">
        <v>4218</v>
      </c>
      <c r="E662" s="104" t="s">
        <v>426</v>
      </c>
      <c r="F662" s="105" t="s">
        <v>1909</v>
      </c>
      <c r="H662" s="45" t="str">
        <f t="shared" si="30"/>
        <v>Francisco – Delgado – OK Vihor – M45</v>
      </c>
      <c r="J662" s="45" t="str">
        <f t="shared" si="31"/>
        <v>Francisco – Delgado – OK Vihor</v>
      </c>
      <c r="L662" s="45" t="str">
        <f t="shared" si="32"/>
        <v>Francisco – Delgado</v>
      </c>
      <c r="N662" s="103"/>
      <c r="O662" s="104"/>
      <c r="P662" s="105"/>
    </row>
    <row r="663" spans="2:16" x14ac:dyDescent="0.25">
      <c r="B663" s="103">
        <v>1288</v>
      </c>
      <c r="C663" s="104" t="s">
        <v>963</v>
      </c>
      <c r="D663" s="104" t="s">
        <v>4219</v>
      </c>
      <c r="E663" s="104" t="s">
        <v>426</v>
      </c>
      <c r="F663" s="105" t="s">
        <v>1130</v>
      </c>
      <c r="H663" s="45" t="str">
        <f t="shared" si="30"/>
        <v>Dražen – Dervišević – OK Vihor – M21B</v>
      </c>
      <c r="J663" s="45" t="str">
        <f t="shared" si="31"/>
        <v>Dražen – Dervišević – OK Vihor</v>
      </c>
      <c r="L663" s="45" t="str">
        <f t="shared" si="32"/>
        <v>Dražen – Dervišević</v>
      </c>
      <c r="N663" s="103"/>
      <c r="O663" s="104"/>
      <c r="P663" s="105"/>
    </row>
    <row r="664" spans="2:16" x14ac:dyDescent="0.25">
      <c r="B664" s="103">
        <v>1816</v>
      </c>
      <c r="C664" s="104" t="s">
        <v>4220</v>
      </c>
      <c r="D664" s="104" t="s">
        <v>4221</v>
      </c>
      <c r="E664" s="104" t="s">
        <v>426</v>
      </c>
      <c r="F664" s="105"/>
      <c r="H664" s="45" t="str">
        <f t="shared" si="30"/>
        <v>Alena – Detan Karlović – OK Vihor</v>
      </c>
      <c r="J664" s="45" t="str">
        <f t="shared" si="31"/>
        <v>Alena – Detan Karlović – OK Vihor</v>
      </c>
      <c r="L664" s="45" t="str">
        <f t="shared" si="32"/>
        <v>Alena – Detan Karlović</v>
      </c>
      <c r="N664" s="103"/>
      <c r="O664" s="104"/>
      <c r="P664" s="105"/>
    </row>
    <row r="665" spans="2:16" x14ac:dyDescent="0.25">
      <c r="B665" s="103">
        <v>1694</v>
      </c>
      <c r="C665" s="104" t="s">
        <v>2675</v>
      </c>
      <c r="D665" s="104" t="s">
        <v>4222</v>
      </c>
      <c r="E665" s="104" t="s">
        <v>426</v>
      </c>
      <c r="F665" s="105"/>
      <c r="H665" s="45" t="str">
        <f t="shared" si="30"/>
        <v>Luna – Đokić – OK Vihor</v>
      </c>
      <c r="J665" s="45" t="str">
        <f t="shared" si="31"/>
        <v>Luna – Đokić – OK Vihor</v>
      </c>
      <c r="L665" s="45" t="str">
        <f t="shared" si="32"/>
        <v>Luna – Đokić</v>
      </c>
      <c r="N665" s="103"/>
      <c r="O665" s="104"/>
      <c r="P665" s="105"/>
    </row>
    <row r="666" spans="2:16" x14ac:dyDescent="0.25">
      <c r="B666" s="103">
        <v>1346</v>
      </c>
      <c r="C666" s="104" t="s">
        <v>2448</v>
      </c>
      <c r="D666" s="104" t="s">
        <v>4223</v>
      </c>
      <c r="E666" s="104" t="s">
        <v>426</v>
      </c>
      <c r="F666" s="105" t="s">
        <v>3443</v>
      </c>
      <c r="H666" s="45" t="str">
        <f t="shared" si="30"/>
        <v>Ivana – Dolenac – OK Vihor – Ž45</v>
      </c>
      <c r="J666" s="45" t="str">
        <f t="shared" si="31"/>
        <v>Ivana – Dolenac – OK Vihor</v>
      </c>
      <c r="L666" s="45" t="str">
        <f t="shared" si="32"/>
        <v>Ivana – Dolenac</v>
      </c>
      <c r="N666" s="103"/>
      <c r="O666" s="104"/>
      <c r="P666" s="105"/>
    </row>
    <row r="667" spans="2:16" x14ac:dyDescent="0.25">
      <c r="B667" s="103">
        <v>1163</v>
      </c>
      <c r="C667" s="104" t="s">
        <v>3778</v>
      </c>
      <c r="D667" s="104" t="s">
        <v>4224</v>
      </c>
      <c r="E667" s="104" t="s">
        <v>426</v>
      </c>
      <c r="F667" s="105" t="s">
        <v>1909</v>
      </c>
      <c r="H667" s="45" t="str">
        <f t="shared" si="30"/>
        <v>Igor – Dorotić – OK Vihor – M45</v>
      </c>
      <c r="J667" s="45" t="str">
        <f t="shared" si="31"/>
        <v>Igor – Dorotić – OK Vihor</v>
      </c>
      <c r="L667" s="45" t="str">
        <f t="shared" si="32"/>
        <v>Igor – Dorotić</v>
      </c>
      <c r="N667" s="103"/>
      <c r="O667" s="104"/>
      <c r="P667" s="105"/>
    </row>
    <row r="668" spans="2:16" x14ac:dyDescent="0.25">
      <c r="B668" s="103">
        <v>1747</v>
      </c>
      <c r="C668" s="104" t="s">
        <v>2485</v>
      </c>
      <c r="D668" s="104" t="s">
        <v>4225</v>
      </c>
      <c r="E668" s="104" t="s">
        <v>426</v>
      </c>
      <c r="F668" s="105"/>
      <c r="H668" s="45" t="str">
        <f t="shared" si="30"/>
        <v>Iva – Drganc – OK Vihor</v>
      </c>
      <c r="J668" s="45" t="str">
        <f t="shared" si="31"/>
        <v>Iva – Drganc – OK Vihor</v>
      </c>
      <c r="L668" s="45" t="str">
        <f t="shared" si="32"/>
        <v>Iva – Drganc</v>
      </c>
      <c r="N668" s="103"/>
      <c r="O668" s="104"/>
      <c r="P668" s="105"/>
    </row>
    <row r="669" spans="2:16" x14ac:dyDescent="0.25">
      <c r="B669" s="103">
        <v>1344</v>
      </c>
      <c r="C669" s="104" t="s">
        <v>3844</v>
      </c>
      <c r="D669" s="104" t="s">
        <v>3139</v>
      </c>
      <c r="E669" s="104" t="s">
        <v>426</v>
      </c>
      <c r="F669" s="105" t="s">
        <v>3094</v>
      </c>
      <c r="H669" s="45" t="str">
        <f t="shared" si="30"/>
        <v>Helena – Dukić – OK Vihor – Ž21B</v>
      </c>
      <c r="J669" s="45" t="str">
        <f t="shared" si="31"/>
        <v>Helena – Dukić – OK Vihor</v>
      </c>
      <c r="L669" s="45" t="str">
        <f t="shared" si="32"/>
        <v>Helena – Dukić</v>
      </c>
      <c r="N669" s="103"/>
      <c r="O669" s="104"/>
      <c r="P669" s="105"/>
    </row>
    <row r="670" spans="2:16" x14ac:dyDescent="0.25">
      <c r="B670" s="103">
        <v>1695</v>
      </c>
      <c r="C670" s="104" t="s">
        <v>1291</v>
      </c>
      <c r="D670" s="104" t="s">
        <v>4226</v>
      </c>
      <c r="E670" s="104" t="s">
        <v>426</v>
      </c>
      <c r="F670" s="105"/>
      <c r="H670" s="45" t="str">
        <f t="shared" si="30"/>
        <v>Siniša – Đukić – OK Vihor</v>
      </c>
      <c r="J670" s="45" t="str">
        <f t="shared" si="31"/>
        <v>Siniša – Đukić – OK Vihor</v>
      </c>
      <c r="L670" s="45" t="str">
        <f t="shared" si="32"/>
        <v>Siniša – Đukić</v>
      </c>
      <c r="N670" s="103"/>
      <c r="O670" s="104"/>
      <c r="P670" s="105"/>
    </row>
    <row r="671" spans="2:16" x14ac:dyDescent="0.25">
      <c r="B671" s="103">
        <v>1230</v>
      </c>
      <c r="C671" s="104" t="s">
        <v>3837</v>
      </c>
      <c r="D671" s="104" t="s">
        <v>4227</v>
      </c>
      <c r="E671" s="104" t="s">
        <v>426</v>
      </c>
      <c r="F671" s="105" t="s">
        <v>3443</v>
      </c>
      <c r="H671" s="45" t="str">
        <f t="shared" si="30"/>
        <v>Tea – Đurek – OK Vihor – Ž45</v>
      </c>
      <c r="J671" s="45" t="str">
        <f t="shared" si="31"/>
        <v>Tea – Đurek – OK Vihor</v>
      </c>
      <c r="L671" s="45" t="str">
        <f t="shared" si="32"/>
        <v>Tea – Đurek</v>
      </c>
      <c r="N671" s="103"/>
      <c r="O671" s="104"/>
      <c r="P671" s="105"/>
    </row>
    <row r="672" spans="2:16" x14ac:dyDescent="0.25">
      <c r="B672" s="103">
        <v>1746</v>
      </c>
      <c r="C672" s="104" t="s">
        <v>2595</v>
      </c>
      <c r="D672" s="104" t="s">
        <v>4228</v>
      </c>
      <c r="E672" s="104" t="s">
        <v>426</v>
      </c>
      <c r="F672" s="105"/>
      <c r="H672" s="45" t="str">
        <f t="shared" si="30"/>
        <v>Maja – Duvnjak – OK Vihor</v>
      </c>
      <c r="J672" s="45" t="str">
        <f t="shared" si="31"/>
        <v>Maja – Duvnjak – OK Vihor</v>
      </c>
      <c r="L672" s="45" t="str">
        <f t="shared" si="32"/>
        <v>Maja – Duvnjak</v>
      </c>
      <c r="N672" s="103"/>
      <c r="O672" s="104"/>
      <c r="P672" s="105"/>
    </row>
    <row r="673" spans="2:16" x14ac:dyDescent="0.25">
      <c r="B673" s="103">
        <v>1015</v>
      </c>
      <c r="C673" s="104" t="s">
        <v>741</v>
      </c>
      <c r="D673" s="104" t="s">
        <v>4229</v>
      </c>
      <c r="E673" s="104" t="s">
        <v>426</v>
      </c>
      <c r="F673" s="105"/>
      <c r="H673" s="45" t="str">
        <f t="shared" si="30"/>
        <v>Goran – Ferić – OK Vihor</v>
      </c>
      <c r="J673" s="45" t="str">
        <f t="shared" si="31"/>
        <v>Goran – Ferić – OK Vihor</v>
      </c>
      <c r="L673" s="45" t="str">
        <f t="shared" si="32"/>
        <v>Goran – Ferić</v>
      </c>
      <c r="N673" s="103"/>
      <c r="O673" s="104"/>
      <c r="P673" s="105"/>
    </row>
    <row r="674" spans="2:16" x14ac:dyDescent="0.25">
      <c r="B674" s="103">
        <v>1157</v>
      </c>
      <c r="C674" s="104" t="s">
        <v>590</v>
      </c>
      <c r="D674" s="104" t="s">
        <v>4230</v>
      </c>
      <c r="E674" s="104" t="s">
        <v>426</v>
      </c>
      <c r="F674" s="105" t="s">
        <v>1130</v>
      </c>
      <c r="H674" s="45" t="str">
        <f t="shared" si="30"/>
        <v>Karlo – Filek – OK Vihor – M21B</v>
      </c>
      <c r="J674" s="45" t="str">
        <f t="shared" si="31"/>
        <v>Karlo – Filek – OK Vihor</v>
      </c>
      <c r="L674" s="45" t="str">
        <f t="shared" si="32"/>
        <v>Karlo – Filek</v>
      </c>
      <c r="N674" s="103"/>
      <c r="O674" s="104"/>
      <c r="P674" s="105"/>
    </row>
    <row r="675" spans="2:16" x14ac:dyDescent="0.25">
      <c r="B675" s="103">
        <v>1021</v>
      </c>
      <c r="C675" s="104" t="s">
        <v>2595</v>
      </c>
      <c r="D675" s="104" t="s">
        <v>4231</v>
      </c>
      <c r="E675" s="104" t="s">
        <v>426</v>
      </c>
      <c r="F675" s="105"/>
      <c r="H675" s="45" t="str">
        <f t="shared" si="30"/>
        <v>Maja – Flajsig – OK Vihor</v>
      </c>
      <c r="J675" s="45" t="str">
        <f t="shared" si="31"/>
        <v>Maja – Flajsig – OK Vihor</v>
      </c>
      <c r="L675" s="45" t="str">
        <f t="shared" si="32"/>
        <v>Maja – Flajsig</v>
      </c>
      <c r="N675" s="103"/>
      <c r="O675" s="104"/>
      <c r="P675" s="105"/>
    </row>
    <row r="676" spans="2:16" x14ac:dyDescent="0.25">
      <c r="B676" s="103">
        <v>1810</v>
      </c>
      <c r="C676" s="104" t="s">
        <v>3810</v>
      </c>
      <c r="D676" s="104" t="s">
        <v>4232</v>
      </c>
      <c r="E676" s="104" t="s">
        <v>426</v>
      </c>
      <c r="F676" s="105"/>
      <c r="H676" s="45" t="str">
        <f t="shared" si="30"/>
        <v>Fran – Fran Husnjak – OK Vihor</v>
      </c>
      <c r="J676" s="45" t="str">
        <f t="shared" si="31"/>
        <v>Fran – Fran Husnjak – OK Vihor</v>
      </c>
      <c r="L676" s="45" t="str">
        <f t="shared" si="32"/>
        <v>Fran – Fran Husnjak</v>
      </c>
      <c r="N676" s="103"/>
      <c r="O676" s="104"/>
      <c r="P676" s="105"/>
    </row>
    <row r="677" spans="2:16" x14ac:dyDescent="0.25">
      <c r="B677" s="103">
        <v>1750</v>
      </c>
      <c r="C677" s="104" t="s">
        <v>2425</v>
      </c>
      <c r="D677" s="104" t="s">
        <v>3909</v>
      </c>
      <c r="E677" s="104" t="s">
        <v>426</v>
      </c>
      <c r="F677" s="105"/>
      <c r="H677" s="45" t="str">
        <f t="shared" si="30"/>
        <v>Barbara – Fumić – OK Vihor</v>
      </c>
      <c r="J677" s="45" t="str">
        <f t="shared" si="31"/>
        <v>Barbara – Fumić – OK Vihor</v>
      </c>
      <c r="L677" s="45" t="str">
        <f t="shared" si="32"/>
        <v>Barbara – Fumić</v>
      </c>
      <c r="N677" s="103"/>
      <c r="O677" s="104"/>
      <c r="P677" s="105"/>
    </row>
    <row r="678" spans="2:16" x14ac:dyDescent="0.25">
      <c r="B678" s="103">
        <v>1886</v>
      </c>
      <c r="C678" s="104" t="s">
        <v>3173</v>
      </c>
      <c r="D678" s="104" t="s">
        <v>3258</v>
      </c>
      <c r="E678" s="104" t="s">
        <v>426</v>
      </c>
      <c r="F678" s="105" t="s">
        <v>3094</v>
      </c>
      <c r="H678" s="45" t="str">
        <f t="shared" si="30"/>
        <v>Andrea – Funarić – OK Vihor – Ž21B</v>
      </c>
      <c r="J678" s="45" t="str">
        <f t="shared" si="31"/>
        <v>Andrea – Funarić – OK Vihor</v>
      </c>
      <c r="L678" s="45" t="str">
        <f t="shared" si="32"/>
        <v>Andrea – Funarić</v>
      </c>
      <c r="N678" s="103"/>
      <c r="O678" s="104"/>
      <c r="P678" s="105"/>
    </row>
    <row r="679" spans="2:16" x14ac:dyDescent="0.25">
      <c r="B679" s="103">
        <v>1534</v>
      </c>
      <c r="C679" s="104" t="s">
        <v>605</v>
      </c>
      <c r="D679" s="104" t="s">
        <v>4233</v>
      </c>
      <c r="E679" s="104" t="s">
        <v>426</v>
      </c>
      <c r="F679" s="105" t="s">
        <v>1909</v>
      </c>
      <c r="H679" s="45" t="str">
        <f t="shared" si="30"/>
        <v>Marko – Gamberger – OK Vihor – M45</v>
      </c>
      <c r="J679" s="45" t="str">
        <f t="shared" si="31"/>
        <v>Marko – Gamberger – OK Vihor</v>
      </c>
      <c r="L679" s="45" t="str">
        <f t="shared" si="32"/>
        <v>Marko – Gamberger</v>
      </c>
      <c r="N679" s="103"/>
      <c r="O679" s="104"/>
      <c r="P679" s="105"/>
    </row>
    <row r="680" spans="2:16" x14ac:dyDescent="0.25">
      <c r="B680" s="103">
        <v>1153</v>
      </c>
      <c r="C680" s="104" t="s">
        <v>472</v>
      </c>
      <c r="D680" s="104" t="s">
        <v>4234</v>
      </c>
      <c r="E680" s="104" t="s">
        <v>426</v>
      </c>
      <c r="F680" s="105"/>
      <c r="H680" s="45" t="str">
        <f t="shared" si="30"/>
        <v>Filip – Gašparević – OK Vihor</v>
      </c>
      <c r="J680" s="45" t="str">
        <f t="shared" si="31"/>
        <v>Filip – Gašparević – OK Vihor</v>
      </c>
      <c r="L680" s="45" t="str">
        <f t="shared" si="32"/>
        <v>Filip – Gašparević</v>
      </c>
      <c r="N680" s="103"/>
      <c r="O680" s="104"/>
      <c r="P680" s="105"/>
    </row>
    <row r="681" spans="2:16" x14ac:dyDescent="0.25">
      <c r="B681" s="103">
        <v>1209</v>
      </c>
      <c r="C681" s="104" t="s">
        <v>1867</v>
      </c>
      <c r="D681" s="104" t="s">
        <v>765</v>
      </c>
      <c r="E681" s="104" t="s">
        <v>426</v>
      </c>
      <c r="F681" s="105" t="s">
        <v>1909</v>
      </c>
      <c r="H681" s="45" t="str">
        <f t="shared" si="30"/>
        <v>Damir – Gobec – OK Vihor – M45</v>
      </c>
      <c r="J681" s="45" t="str">
        <f t="shared" si="31"/>
        <v>Damir – Gobec – OK Vihor</v>
      </c>
      <c r="L681" s="45" t="str">
        <f t="shared" si="32"/>
        <v>Damir – Gobec</v>
      </c>
      <c r="N681" s="103"/>
      <c r="O681" s="104"/>
      <c r="P681" s="105"/>
    </row>
    <row r="682" spans="2:16" x14ac:dyDescent="0.25">
      <c r="B682" s="103">
        <v>1309</v>
      </c>
      <c r="C682" s="104" t="s">
        <v>2448</v>
      </c>
      <c r="D682" s="104" t="s">
        <v>765</v>
      </c>
      <c r="E682" s="104" t="s">
        <v>426</v>
      </c>
      <c r="F682" s="105" t="s">
        <v>3443</v>
      </c>
      <c r="H682" s="45" t="str">
        <f t="shared" si="30"/>
        <v>Ivana – Gobec – OK Vihor – Ž45</v>
      </c>
      <c r="J682" s="45" t="str">
        <f t="shared" si="31"/>
        <v>Ivana – Gobec – OK Vihor</v>
      </c>
      <c r="L682" s="45" t="str">
        <f t="shared" si="32"/>
        <v>Ivana – Gobec</v>
      </c>
      <c r="N682" s="103"/>
      <c r="O682" s="104"/>
      <c r="P682" s="105"/>
    </row>
    <row r="683" spans="2:16" x14ac:dyDescent="0.25">
      <c r="B683" s="103">
        <v>1522</v>
      </c>
      <c r="C683" s="104" t="s">
        <v>766</v>
      </c>
      <c r="D683" s="104" t="s">
        <v>765</v>
      </c>
      <c r="E683" s="104" t="s">
        <v>426</v>
      </c>
      <c r="F683" s="105" t="s">
        <v>769</v>
      </c>
      <c r="H683" s="45" t="str">
        <f t="shared" si="30"/>
        <v>Jan – Gobec – OK Vihor – M20</v>
      </c>
      <c r="J683" s="45" t="str">
        <f t="shared" si="31"/>
        <v>Jan – Gobec – OK Vihor</v>
      </c>
      <c r="L683" s="45" t="str">
        <f t="shared" si="32"/>
        <v>Jan – Gobec</v>
      </c>
      <c r="N683" s="103"/>
      <c r="O683" s="104"/>
      <c r="P683" s="105"/>
    </row>
    <row r="684" spans="2:16" x14ac:dyDescent="0.25">
      <c r="B684" s="103">
        <v>1494</v>
      </c>
      <c r="C684" s="104" t="s">
        <v>590</v>
      </c>
      <c r="D684" s="104" t="s">
        <v>765</v>
      </c>
      <c r="E684" s="104" t="s">
        <v>426</v>
      </c>
      <c r="F684" s="105" t="s">
        <v>2195</v>
      </c>
      <c r="H684" s="45" t="str">
        <f t="shared" si="30"/>
        <v>Karlo – Gobec – OK Vihor – M55</v>
      </c>
      <c r="J684" s="45" t="str">
        <f t="shared" si="31"/>
        <v>Karlo – Gobec – OK Vihor</v>
      </c>
      <c r="L684" s="45" t="str">
        <f t="shared" si="32"/>
        <v>Karlo – Gobec</v>
      </c>
      <c r="N684" s="103"/>
      <c r="O684" s="104"/>
      <c r="P684" s="105"/>
    </row>
    <row r="685" spans="2:16" x14ac:dyDescent="0.25">
      <c r="B685" s="103">
        <v>1301</v>
      </c>
      <c r="C685" s="104" t="s">
        <v>2804</v>
      </c>
      <c r="D685" s="104" t="s">
        <v>765</v>
      </c>
      <c r="E685" s="104" t="s">
        <v>426</v>
      </c>
      <c r="F685" s="105" t="s">
        <v>2766</v>
      </c>
      <c r="H685" s="45" t="str">
        <f t="shared" si="30"/>
        <v>Kimi Maria – Gobec – OK Vihor – Ž16</v>
      </c>
      <c r="J685" s="45" t="str">
        <f t="shared" si="31"/>
        <v>Kimi Maria – Gobec – OK Vihor</v>
      </c>
      <c r="L685" s="45" t="str">
        <f t="shared" si="32"/>
        <v>Kimi Maria – Gobec</v>
      </c>
      <c r="N685" s="103"/>
      <c r="O685" s="104"/>
      <c r="P685" s="105"/>
    </row>
    <row r="686" spans="2:16" x14ac:dyDescent="0.25">
      <c r="B686" s="103">
        <v>1203</v>
      </c>
      <c r="C686" s="104" t="s">
        <v>3073</v>
      </c>
      <c r="D686" s="104" t="s">
        <v>765</v>
      </c>
      <c r="E686" s="104" t="s">
        <v>426</v>
      </c>
      <c r="F686" s="105" t="s">
        <v>3001</v>
      </c>
      <c r="H686" s="45" t="str">
        <f t="shared" si="30"/>
        <v>Lea Katarina – Gobec – OK Vihor – Ž21A</v>
      </c>
      <c r="J686" s="45" t="str">
        <f t="shared" si="31"/>
        <v>Lea Katarina – Gobec – OK Vihor</v>
      </c>
      <c r="L686" s="45" t="str">
        <f t="shared" si="32"/>
        <v>Lea Katarina – Gobec</v>
      </c>
      <c r="N686" s="103"/>
      <c r="O686" s="104"/>
      <c r="P686" s="105"/>
    </row>
    <row r="687" spans="2:16" x14ac:dyDescent="0.25">
      <c r="B687" s="103">
        <v>1501</v>
      </c>
      <c r="C687" s="104" t="s">
        <v>3560</v>
      </c>
      <c r="D687" s="104" t="s">
        <v>765</v>
      </c>
      <c r="E687" s="104" t="s">
        <v>426</v>
      </c>
      <c r="F687" s="105" t="s">
        <v>3704</v>
      </c>
      <c r="H687" s="45" t="str">
        <f t="shared" si="30"/>
        <v>Marija – Gobec – OK Vihor – Ž70</v>
      </c>
      <c r="J687" s="45" t="str">
        <f t="shared" si="31"/>
        <v>Marija – Gobec – OK Vihor</v>
      </c>
      <c r="L687" s="45" t="str">
        <f t="shared" si="32"/>
        <v>Marija – Gobec</v>
      </c>
      <c r="N687" s="103"/>
      <c r="O687" s="104"/>
      <c r="P687" s="105"/>
    </row>
    <row r="688" spans="2:16" x14ac:dyDescent="0.25">
      <c r="B688" s="103">
        <v>1913</v>
      </c>
      <c r="C688" s="104" t="s">
        <v>3474</v>
      </c>
      <c r="D688" s="104" t="s">
        <v>765</v>
      </c>
      <c r="E688" s="104" t="s">
        <v>426</v>
      </c>
      <c r="F688" s="105" t="s">
        <v>3443</v>
      </c>
      <c r="H688" s="45" t="str">
        <f t="shared" si="30"/>
        <v>Neda – Gobec – OK Vihor – Ž45</v>
      </c>
      <c r="J688" s="45" t="str">
        <f t="shared" si="31"/>
        <v>Neda – Gobec – OK Vihor</v>
      </c>
      <c r="L688" s="45" t="str">
        <f t="shared" si="32"/>
        <v>Neda – Gobec</v>
      </c>
      <c r="N688" s="103"/>
      <c r="O688" s="104"/>
      <c r="P688" s="105"/>
    </row>
    <row r="689" spans="2:16" x14ac:dyDescent="0.25">
      <c r="B689" s="103">
        <v>1297</v>
      </c>
      <c r="C689" s="104" t="s">
        <v>1153</v>
      </c>
      <c r="D689" s="104" t="s">
        <v>765</v>
      </c>
      <c r="E689" s="104" t="s">
        <v>426</v>
      </c>
      <c r="F689" s="105" t="s">
        <v>1130</v>
      </c>
      <c r="H689" s="45" t="str">
        <f t="shared" si="30"/>
        <v>Timo Vilim – Gobec – OK Vihor – M21B</v>
      </c>
      <c r="J689" s="45" t="str">
        <f t="shared" si="31"/>
        <v>Timo Vilim – Gobec – OK Vihor</v>
      </c>
      <c r="L689" s="45" t="str">
        <f t="shared" si="32"/>
        <v>Timo Vilim – Gobec</v>
      </c>
      <c r="N689" s="103"/>
      <c r="O689" s="104"/>
      <c r="P689" s="105"/>
    </row>
    <row r="690" spans="2:16" x14ac:dyDescent="0.25">
      <c r="B690" s="103">
        <v>1393</v>
      </c>
      <c r="C690" s="104" t="s">
        <v>1321</v>
      </c>
      <c r="D690" s="104" t="s">
        <v>765</v>
      </c>
      <c r="E690" s="104" t="s">
        <v>426</v>
      </c>
      <c r="F690" s="105" t="s">
        <v>2403</v>
      </c>
      <c r="H690" s="45" t="str">
        <f t="shared" si="30"/>
        <v>Željko – Gobec – OK Vihor – M70</v>
      </c>
      <c r="J690" s="45" t="str">
        <f t="shared" si="31"/>
        <v>Željko – Gobec – OK Vihor</v>
      </c>
      <c r="L690" s="45" t="str">
        <f t="shared" si="32"/>
        <v>Željko – Gobec</v>
      </c>
      <c r="N690" s="103"/>
      <c r="O690" s="104"/>
      <c r="P690" s="105"/>
    </row>
    <row r="691" spans="2:16" x14ac:dyDescent="0.25">
      <c r="B691" s="103">
        <v>1800</v>
      </c>
      <c r="C691" s="104" t="s">
        <v>4235</v>
      </c>
      <c r="D691" s="104" t="s">
        <v>4236</v>
      </c>
      <c r="E691" s="104" t="s">
        <v>426</v>
      </c>
      <c r="F691" s="105"/>
      <c r="H691" s="45" t="str">
        <f t="shared" si="30"/>
        <v>Adrian – Gojević – OK Vihor</v>
      </c>
      <c r="J691" s="45" t="str">
        <f t="shared" si="31"/>
        <v>Adrian – Gojević – OK Vihor</v>
      </c>
      <c r="L691" s="45" t="str">
        <f t="shared" si="32"/>
        <v>Adrian – Gojević</v>
      </c>
      <c r="N691" s="103"/>
      <c r="O691" s="104"/>
      <c r="P691" s="105"/>
    </row>
    <row r="692" spans="2:16" x14ac:dyDescent="0.25">
      <c r="B692" s="103">
        <v>1798</v>
      </c>
      <c r="C692" s="104" t="s">
        <v>2448</v>
      </c>
      <c r="D692" s="104" t="s">
        <v>4236</v>
      </c>
      <c r="E692" s="104" t="s">
        <v>426</v>
      </c>
      <c r="F692" s="105"/>
      <c r="H692" s="45" t="str">
        <f t="shared" si="30"/>
        <v>Ivana – Gojević – OK Vihor</v>
      </c>
      <c r="J692" s="45" t="str">
        <f t="shared" si="31"/>
        <v>Ivana – Gojević – OK Vihor</v>
      </c>
      <c r="L692" s="45" t="str">
        <f t="shared" si="32"/>
        <v>Ivana – Gojević</v>
      </c>
      <c r="N692" s="103"/>
      <c r="O692" s="104"/>
      <c r="P692" s="105"/>
    </row>
    <row r="693" spans="2:16" x14ac:dyDescent="0.25">
      <c r="B693" s="103">
        <v>1696</v>
      </c>
      <c r="C693" s="104" t="s">
        <v>1006</v>
      </c>
      <c r="D693" s="104" t="s">
        <v>4236</v>
      </c>
      <c r="E693" s="104" t="s">
        <v>426</v>
      </c>
      <c r="F693" s="105"/>
      <c r="H693" s="45" t="str">
        <f t="shared" si="30"/>
        <v>Josip – Gojević – OK Vihor</v>
      </c>
      <c r="J693" s="45" t="str">
        <f t="shared" si="31"/>
        <v>Josip – Gojević – OK Vihor</v>
      </c>
      <c r="L693" s="45" t="str">
        <f t="shared" si="32"/>
        <v>Josip – Gojević</v>
      </c>
      <c r="N693" s="103"/>
      <c r="O693" s="104"/>
      <c r="P693" s="105"/>
    </row>
    <row r="694" spans="2:16" x14ac:dyDescent="0.25">
      <c r="B694" s="103">
        <v>1801</v>
      </c>
      <c r="C694" s="104" t="s">
        <v>2602</v>
      </c>
      <c r="D694" s="104" t="s">
        <v>4236</v>
      </c>
      <c r="E694" s="104" t="s">
        <v>426</v>
      </c>
      <c r="F694" s="105"/>
      <c r="H694" s="45" t="str">
        <f t="shared" si="30"/>
        <v>Petra – Gojević – OK Vihor</v>
      </c>
      <c r="J694" s="45" t="str">
        <f t="shared" si="31"/>
        <v>Petra – Gojević – OK Vihor</v>
      </c>
      <c r="L694" s="45" t="str">
        <f t="shared" si="32"/>
        <v>Petra – Gojević</v>
      </c>
      <c r="N694" s="103"/>
      <c r="O694" s="104"/>
      <c r="P694" s="105"/>
    </row>
    <row r="695" spans="2:16" x14ac:dyDescent="0.25">
      <c r="B695" s="103">
        <v>1799</v>
      </c>
      <c r="C695" s="104" t="s">
        <v>4237</v>
      </c>
      <c r="D695" s="104" t="s">
        <v>4236</v>
      </c>
      <c r="E695" s="104" t="s">
        <v>426</v>
      </c>
      <c r="F695" s="105"/>
      <c r="H695" s="45" t="str">
        <f t="shared" si="30"/>
        <v>Timea – Gojević – OK Vihor</v>
      </c>
      <c r="J695" s="45" t="str">
        <f t="shared" si="31"/>
        <v>Timea – Gojević – OK Vihor</v>
      </c>
      <c r="L695" s="45" t="str">
        <f t="shared" si="32"/>
        <v>Timea – Gojević</v>
      </c>
      <c r="N695" s="103"/>
      <c r="O695" s="104"/>
      <c r="P695" s="105"/>
    </row>
    <row r="696" spans="2:16" x14ac:dyDescent="0.25">
      <c r="B696" s="103">
        <v>1387</v>
      </c>
      <c r="C696" s="104" t="s">
        <v>1955</v>
      </c>
      <c r="D696" s="104" t="s">
        <v>4238</v>
      </c>
      <c r="E696" s="104" t="s">
        <v>426</v>
      </c>
      <c r="F696" s="105" t="s">
        <v>1575</v>
      </c>
      <c r="H696" s="45" t="str">
        <f t="shared" si="30"/>
        <v>Vladimir – Grgesina – OK Vihor – M35</v>
      </c>
      <c r="J696" s="45" t="str">
        <f t="shared" si="31"/>
        <v>Vladimir – Grgesina – OK Vihor</v>
      </c>
      <c r="L696" s="45" t="str">
        <f t="shared" si="32"/>
        <v>Vladimir – Grgesina</v>
      </c>
      <c r="N696" s="103"/>
      <c r="O696" s="104"/>
      <c r="P696" s="105"/>
    </row>
    <row r="697" spans="2:16" x14ac:dyDescent="0.25">
      <c r="B697" s="103">
        <v>1812</v>
      </c>
      <c r="C697" s="104" t="s">
        <v>4239</v>
      </c>
      <c r="D697" s="104" t="s">
        <v>4240</v>
      </c>
      <c r="E697" s="104" t="s">
        <v>426</v>
      </c>
      <c r="F697" s="105"/>
      <c r="H697" s="45" t="str">
        <f t="shared" si="30"/>
        <v>Mirna – Grgurić – OK Vihor</v>
      </c>
      <c r="J697" s="45" t="str">
        <f t="shared" si="31"/>
        <v>Mirna – Grgurić – OK Vihor</v>
      </c>
      <c r="L697" s="45" t="str">
        <f t="shared" si="32"/>
        <v>Mirna – Grgurić</v>
      </c>
      <c r="N697" s="103"/>
      <c r="O697" s="104"/>
      <c r="P697" s="105"/>
    </row>
    <row r="698" spans="2:16" x14ac:dyDescent="0.25">
      <c r="B698" s="103">
        <v>1697</v>
      </c>
      <c r="C698" s="104" t="s">
        <v>1029</v>
      </c>
      <c r="D698" s="104" t="s">
        <v>4241</v>
      </c>
      <c r="E698" s="104" t="s">
        <v>426</v>
      </c>
      <c r="F698" s="105"/>
      <c r="H698" s="45" t="str">
        <f t="shared" si="30"/>
        <v>Tomislav – Grguric – OK Vihor</v>
      </c>
      <c r="J698" s="45" t="str">
        <f t="shared" si="31"/>
        <v>Tomislav – Grguric – OK Vihor</v>
      </c>
      <c r="L698" s="45" t="str">
        <f t="shared" si="32"/>
        <v>Tomislav – Grguric</v>
      </c>
      <c r="N698" s="103"/>
      <c r="O698" s="104"/>
      <c r="P698" s="105"/>
    </row>
    <row r="699" spans="2:16" x14ac:dyDescent="0.25">
      <c r="B699" s="103">
        <v>1112</v>
      </c>
      <c r="C699" s="104" t="s">
        <v>4242</v>
      </c>
      <c r="D699" s="104" t="s">
        <v>4243</v>
      </c>
      <c r="E699" s="104" t="s">
        <v>426</v>
      </c>
      <c r="F699" s="105" t="s">
        <v>1130</v>
      </c>
      <c r="H699" s="45" t="str">
        <f t="shared" si="30"/>
        <v>Alex – Gulta – OK Vihor – M21B</v>
      </c>
      <c r="J699" s="45" t="str">
        <f t="shared" si="31"/>
        <v>Alex – Gulta – OK Vihor</v>
      </c>
      <c r="L699" s="45" t="str">
        <f t="shared" si="32"/>
        <v>Alex – Gulta</v>
      </c>
      <c r="N699" s="103"/>
      <c r="O699" s="104"/>
      <c r="P699" s="105"/>
    </row>
    <row r="700" spans="2:16" x14ac:dyDescent="0.25">
      <c r="B700" s="103">
        <v>1409</v>
      </c>
      <c r="C700" s="104" t="s">
        <v>741</v>
      </c>
      <c r="D700" s="104" t="s">
        <v>4244</v>
      </c>
      <c r="E700" s="104" t="s">
        <v>426</v>
      </c>
      <c r="F700" s="105" t="s">
        <v>1909</v>
      </c>
      <c r="H700" s="45" t="str">
        <f t="shared" si="30"/>
        <v>Goran – Habjanec – OK Vihor – M45</v>
      </c>
      <c r="J700" s="45" t="str">
        <f t="shared" si="31"/>
        <v>Goran – Habjanec – OK Vihor</v>
      </c>
      <c r="L700" s="45" t="str">
        <f t="shared" si="32"/>
        <v>Goran – Habjanec</v>
      </c>
      <c r="N700" s="103"/>
      <c r="O700" s="104"/>
      <c r="P700" s="105"/>
    </row>
    <row r="701" spans="2:16" x14ac:dyDescent="0.25">
      <c r="B701" s="103">
        <v>1496</v>
      </c>
      <c r="C701" s="104" t="s">
        <v>438</v>
      </c>
      <c r="D701" s="104" t="s">
        <v>4245</v>
      </c>
      <c r="E701" s="104" t="s">
        <v>426</v>
      </c>
      <c r="F701" s="105" t="s">
        <v>1909</v>
      </c>
      <c r="H701" s="45" t="str">
        <f t="shared" si="30"/>
        <v>Ivan – Habuš – OK Vihor – M45</v>
      </c>
      <c r="J701" s="45" t="str">
        <f t="shared" si="31"/>
        <v>Ivan – Habuš – OK Vihor</v>
      </c>
      <c r="L701" s="45" t="str">
        <f t="shared" si="32"/>
        <v>Ivan – Habuš</v>
      </c>
      <c r="N701" s="103"/>
      <c r="O701" s="104"/>
      <c r="P701" s="105"/>
    </row>
    <row r="702" spans="2:16" x14ac:dyDescent="0.25">
      <c r="B702" s="103">
        <v>1024</v>
      </c>
      <c r="C702" s="104" t="s">
        <v>2525</v>
      </c>
      <c r="D702" s="104" t="s">
        <v>4246</v>
      </c>
      <c r="E702" s="104" t="s">
        <v>426</v>
      </c>
      <c r="F702" s="105"/>
      <c r="H702" s="45" t="str">
        <f t="shared" si="30"/>
        <v>Nika – Hajak – OK Vihor</v>
      </c>
      <c r="J702" s="45" t="str">
        <f t="shared" si="31"/>
        <v>Nika – Hajak – OK Vihor</v>
      </c>
      <c r="L702" s="45" t="str">
        <f t="shared" si="32"/>
        <v>Nika – Hajak</v>
      </c>
      <c r="N702" s="103"/>
      <c r="O702" s="104"/>
      <c r="P702" s="105"/>
    </row>
    <row r="703" spans="2:16" x14ac:dyDescent="0.25">
      <c r="B703" s="103">
        <v>1751</v>
      </c>
      <c r="C703" s="104" t="s">
        <v>3560</v>
      </c>
      <c r="D703" s="104" t="s">
        <v>3851</v>
      </c>
      <c r="E703" s="104" t="s">
        <v>426</v>
      </c>
      <c r="F703" s="105"/>
      <c r="H703" s="45" t="str">
        <f t="shared" si="30"/>
        <v>Marija – Herceg – OK Vihor</v>
      </c>
      <c r="J703" s="45" t="str">
        <f t="shared" si="31"/>
        <v>Marija – Herceg – OK Vihor</v>
      </c>
      <c r="L703" s="45" t="str">
        <f t="shared" si="32"/>
        <v>Marija – Herceg</v>
      </c>
      <c r="N703" s="103"/>
      <c r="O703" s="104"/>
      <c r="P703" s="105"/>
    </row>
    <row r="704" spans="2:16" x14ac:dyDescent="0.25">
      <c r="B704" s="103">
        <v>1917</v>
      </c>
      <c r="C704" s="104" t="s">
        <v>2437</v>
      </c>
      <c r="D704" s="104" t="s">
        <v>4247</v>
      </c>
      <c r="E704" s="104" t="s">
        <v>426</v>
      </c>
      <c r="F704" s="105"/>
      <c r="H704" s="45" t="str">
        <f t="shared" si="30"/>
        <v>Ana – Hiršl Barišec – OK Vihor</v>
      </c>
      <c r="J704" s="45" t="str">
        <f t="shared" si="31"/>
        <v>Ana – Hiršl Barišec – OK Vihor</v>
      </c>
      <c r="L704" s="45" t="str">
        <f t="shared" si="32"/>
        <v>Ana – Hiršl Barišec</v>
      </c>
      <c r="N704" s="103"/>
      <c r="O704" s="104"/>
      <c r="P704" s="105"/>
    </row>
    <row r="705" spans="2:16" x14ac:dyDescent="0.25">
      <c r="B705" s="103">
        <v>1146</v>
      </c>
      <c r="C705" s="104" t="s">
        <v>2511</v>
      </c>
      <c r="D705" s="104" t="s">
        <v>644</v>
      </c>
      <c r="E705" s="104" t="s">
        <v>426</v>
      </c>
      <c r="F705" s="105" t="s">
        <v>3443</v>
      </c>
      <c r="H705" s="45" t="str">
        <f t="shared" si="30"/>
        <v>Antonija – Hodak – OK Vihor – Ž45</v>
      </c>
      <c r="J705" s="45" t="str">
        <f t="shared" si="31"/>
        <v>Antonija – Hodak – OK Vihor</v>
      </c>
      <c r="L705" s="45" t="str">
        <f t="shared" si="32"/>
        <v>Antonija – Hodak</v>
      </c>
      <c r="N705" s="103"/>
      <c r="O705" s="104"/>
      <c r="P705" s="105"/>
    </row>
    <row r="706" spans="2:16" x14ac:dyDescent="0.25">
      <c r="B706" s="103">
        <v>1557</v>
      </c>
      <c r="C706" s="104" t="s">
        <v>645</v>
      </c>
      <c r="D706" s="104" t="s">
        <v>644</v>
      </c>
      <c r="E706" s="104" t="s">
        <v>426</v>
      </c>
      <c r="F706" s="105" t="s">
        <v>487</v>
      </c>
      <c r="H706" s="45" t="str">
        <f t="shared" si="30"/>
        <v>Janko – Hodak – OK Vihor – M14</v>
      </c>
      <c r="J706" s="45" t="str">
        <f t="shared" si="31"/>
        <v>Janko – Hodak – OK Vihor</v>
      </c>
      <c r="L706" s="45" t="str">
        <f t="shared" si="32"/>
        <v>Janko – Hodak</v>
      </c>
      <c r="N706" s="103"/>
      <c r="O706" s="104"/>
      <c r="P706" s="105"/>
    </row>
    <row r="707" spans="2:16" x14ac:dyDescent="0.25">
      <c r="B707" s="103">
        <v>1371</v>
      </c>
      <c r="C707" s="104" t="s">
        <v>2773</v>
      </c>
      <c r="D707" s="104" t="s">
        <v>644</v>
      </c>
      <c r="E707" s="104" t="s">
        <v>426</v>
      </c>
      <c r="F707" s="105" t="s">
        <v>2766</v>
      </c>
      <c r="H707" s="45" t="str">
        <f t="shared" si="30"/>
        <v>Mirta – Hodak – OK Vihor – Ž16</v>
      </c>
      <c r="J707" s="45" t="str">
        <f t="shared" si="31"/>
        <v>Mirta – Hodak – OK Vihor</v>
      </c>
      <c r="L707" s="45" t="str">
        <f t="shared" si="32"/>
        <v>Mirta – Hodak</v>
      </c>
      <c r="N707" s="103"/>
      <c r="O707" s="104"/>
      <c r="P707" s="105"/>
    </row>
    <row r="708" spans="2:16" x14ac:dyDescent="0.25">
      <c r="B708" s="103">
        <v>1523</v>
      </c>
      <c r="C708" s="104" t="s">
        <v>2448</v>
      </c>
      <c r="D708" s="104" t="s">
        <v>4248</v>
      </c>
      <c r="E708" s="104" t="s">
        <v>426</v>
      </c>
      <c r="F708" s="105" t="s">
        <v>3265</v>
      </c>
      <c r="H708" s="45" t="str">
        <f t="shared" si="30"/>
        <v>Ivana – Horbec – OK Vihor – Ž35</v>
      </c>
      <c r="J708" s="45" t="str">
        <f t="shared" si="31"/>
        <v>Ivana – Horbec – OK Vihor</v>
      </c>
      <c r="L708" s="45" t="str">
        <f t="shared" si="32"/>
        <v>Ivana – Horbec</v>
      </c>
      <c r="N708" s="103"/>
      <c r="O708" s="104"/>
      <c r="P708" s="105"/>
    </row>
    <row r="709" spans="2:16" x14ac:dyDescent="0.25">
      <c r="B709" s="103">
        <v>1480</v>
      </c>
      <c r="C709" s="104" t="s">
        <v>2007</v>
      </c>
      <c r="D709" s="104" t="s">
        <v>2006</v>
      </c>
      <c r="E709" s="104" t="s">
        <v>426</v>
      </c>
      <c r="F709" s="105" t="s">
        <v>1909</v>
      </c>
      <c r="H709" s="45" t="str">
        <f t="shared" si="30"/>
        <v>Zdenko – Horjan – OK Vihor – M45</v>
      </c>
      <c r="J709" s="45" t="str">
        <f t="shared" si="31"/>
        <v>Zdenko – Horjan – OK Vihor</v>
      </c>
      <c r="L709" s="45" t="str">
        <f t="shared" si="32"/>
        <v>Zdenko – Horjan</v>
      </c>
      <c r="N709" s="103"/>
      <c r="O709" s="104"/>
      <c r="P709" s="105"/>
    </row>
    <row r="710" spans="2:16" x14ac:dyDescent="0.25">
      <c r="B710" s="103">
        <v>1324</v>
      </c>
      <c r="C710" s="104" t="s">
        <v>3688</v>
      </c>
      <c r="D710" s="104" t="s">
        <v>3687</v>
      </c>
      <c r="E710" s="104" t="s">
        <v>426</v>
      </c>
      <c r="F710" s="105" t="s">
        <v>3680</v>
      </c>
      <c r="H710" s="45" t="str">
        <f t="shared" si="30"/>
        <v>Biserka – Horvat-Nikšić – OK Vihor – Ž65</v>
      </c>
      <c r="J710" s="45" t="str">
        <f t="shared" si="31"/>
        <v>Biserka – Horvat-Nikšić – OK Vihor</v>
      </c>
      <c r="L710" s="45" t="str">
        <f t="shared" si="32"/>
        <v>Biserka – Horvat-Nikšić</v>
      </c>
      <c r="N710" s="103"/>
      <c r="O710" s="104"/>
      <c r="P710" s="105"/>
    </row>
    <row r="711" spans="2:16" x14ac:dyDescent="0.25">
      <c r="B711" s="103">
        <v>1943</v>
      </c>
      <c r="C711" s="104" t="s">
        <v>3173</v>
      </c>
      <c r="D711" s="104" t="s">
        <v>881</v>
      </c>
      <c r="E711" s="104" t="s">
        <v>426</v>
      </c>
      <c r="F711" s="105" t="s">
        <v>3094</v>
      </c>
      <c r="H711" s="45" t="str">
        <f t="shared" si="30"/>
        <v>Andrea – Hribar – OK Vihor – Ž21B</v>
      </c>
      <c r="J711" s="45" t="str">
        <f t="shared" si="31"/>
        <v>Andrea – Hribar – OK Vihor</v>
      </c>
      <c r="L711" s="45" t="str">
        <f t="shared" si="32"/>
        <v>Andrea – Hribar</v>
      </c>
      <c r="N711" s="103"/>
      <c r="O711" s="104"/>
      <c r="P711" s="105"/>
    </row>
    <row r="712" spans="2:16" x14ac:dyDescent="0.25">
      <c r="B712" s="103">
        <v>1887</v>
      </c>
      <c r="C712" s="104" t="s">
        <v>636</v>
      </c>
      <c r="D712" s="104" t="s">
        <v>635</v>
      </c>
      <c r="E712" s="104" t="s">
        <v>426</v>
      </c>
      <c r="F712" s="105" t="s">
        <v>487</v>
      </c>
      <c r="H712" s="45" t="str">
        <f t="shared" si="30"/>
        <v>Tristan – Ilić – OK Vihor – M14</v>
      </c>
      <c r="J712" s="45" t="str">
        <f t="shared" si="31"/>
        <v>Tristan – Ilić – OK Vihor</v>
      </c>
      <c r="L712" s="45" t="str">
        <f t="shared" si="32"/>
        <v>Tristan – Ilić</v>
      </c>
      <c r="N712" s="103"/>
      <c r="O712" s="104"/>
      <c r="P712" s="105"/>
    </row>
    <row r="713" spans="2:16" x14ac:dyDescent="0.25">
      <c r="B713" s="103">
        <v>1802</v>
      </c>
      <c r="C713" s="104" t="s">
        <v>4249</v>
      </c>
      <c r="D713" s="104" t="s">
        <v>4250</v>
      </c>
      <c r="E713" s="104" t="s">
        <v>426</v>
      </c>
      <c r="F713" s="105"/>
      <c r="H713" s="45" t="str">
        <f t="shared" si="30"/>
        <v>Mihej – Ivančan – OK Vihor</v>
      </c>
      <c r="J713" s="45" t="str">
        <f t="shared" si="31"/>
        <v>Mihej – Ivančan – OK Vihor</v>
      </c>
      <c r="L713" s="45" t="str">
        <f t="shared" si="32"/>
        <v>Mihej – Ivančan</v>
      </c>
      <c r="N713" s="103"/>
      <c r="O713" s="104"/>
      <c r="P713" s="105"/>
    </row>
    <row r="714" spans="2:16" x14ac:dyDescent="0.25">
      <c r="B714" s="103">
        <v>1002</v>
      </c>
      <c r="C714" s="104" t="s">
        <v>4251</v>
      </c>
      <c r="D714" s="104" t="s">
        <v>4252</v>
      </c>
      <c r="E714" s="104" t="s">
        <v>426</v>
      </c>
      <c r="F714" s="105"/>
      <c r="H714" s="45" t="str">
        <f t="shared" si="30"/>
        <v>Aleks – Ivanov – OK Vihor</v>
      </c>
      <c r="J714" s="45" t="str">
        <f t="shared" si="31"/>
        <v>Aleks – Ivanov – OK Vihor</v>
      </c>
      <c r="L714" s="45" t="str">
        <f t="shared" si="32"/>
        <v>Aleks – Ivanov</v>
      </c>
      <c r="N714" s="103"/>
      <c r="O714" s="104"/>
      <c r="P714" s="105"/>
    </row>
    <row r="715" spans="2:16" x14ac:dyDescent="0.25">
      <c r="B715" s="103">
        <v>1698</v>
      </c>
      <c r="C715" s="104" t="s">
        <v>4253</v>
      </c>
      <c r="D715" s="104" t="s">
        <v>4254</v>
      </c>
      <c r="E715" s="104" t="s">
        <v>426</v>
      </c>
      <c r="F715" s="105" t="s">
        <v>1130</v>
      </c>
      <c r="H715" s="45" t="str">
        <f t="shared" ref="H715:H778" si="33">IF(C715="","",C715) &amp; IF(D715="",""," – " &amp; D715) &amp; IF(E715="",""," – " &amp; E715) &amp; IF(F715="",""," – " &amp; F715)</f>
        <v>Bernard – Ivezic – OK Vihor – M21B</v>
      </c>
      <c r="J715" s="45" t="str">
        <f t="shared" ref="J715:J778" si="34">IF(C715="","",C715) &amp; IF(D715="",""," – " &amp; D715) &amp; IF(E715="",""," – " &amp; E715)</f>
        <v>Bernard – Ivezic – OK Vihor</v>
      </c>
      <c r="L715" s="45" t="str">
        <f t="shared" ref="L715:L778" si="35">IF(C715="","",C715) &amp; IF(D715="",""," – " &amp; D715)</f>
        <v>Bernard – Ivezic</v>
      </c>
      <c r="N715" s="103"/>
      <c r="O715" s="104"/>
      <c r="P715" s="105"/>
    </row>
    <row r="716" spans="2:16" x14ac:dyDescent="0.25">
      <c r="B716" s="103">
        <v>1252</v>
      </c>
      <c r="C716" s="104" t="s">
        <v>4255</v>
      </c>
      <c r="D716" s="104" t="s">
        <v>4256</v>
      </c>
      <c r="E716" s="104" t="s">
        <v>426</v>
      </c>
      <c r="F716" s="105" t="s">
        <v>364</v>
      </c>
      <c r="H716" s="45" t="str">
        <f t="shared" si="33"/>
        <v>Viktor Ignjat – Ivezić – OK Vihor – M12</v>
      </c>
      <c r="J716" s="45" t="str">
        <f t="shared" si="34"/>
        <v>Viktor Ignjat – Ivezić – OK Vihor</v>
      </c>
      <c r="L716" s="45" t="str">
        <f t="shared" si="35"/>
        <v>Viktor Ignjat – Ivezić</v>
      </c>
      <c r="N716" s="103"/>
      <c r="O716" s="104"/>
      <c r="P716" s="105"/>
    </row>
    <row r="717" spans="2:16" x14ac:dyDescent="0.25">
      <c r="B717" s="103">
        <v>1888</v>
      </c>
      <c r="C717" s="104" t="s">
        <v>3227</v>
      </c>
      <c r="D717" s="104" t="s">
        <v>3226</v>
      </c>
      <c r="E717" s="104" t="s">
        <v>426</v>
      </c>
      <c r="F717" s="105" t="s">
        <v>3094</v>
      </c>
      <c r="H717" s="45" t="str">
        <f t="shared" si="33"/>
        <v>Luana – Ivošević – OK Vihor – Ž21B</v>
      </c>
      <c r="J717" s="45" t="str">
        <f t="shared" si="34"/>
        <v>Luana – Ivošević – OK Vihor</v>
      </c>
      <c r="L717" s="45" t="str">
        <f t="shared" si="35"/>
        <v>Luana – Ivošević</v>
      </c>
      <c r="N717" s="103"/>
      <c r="O717" s="104"/>
      <c r="P717" s="105"/>
    </row>
    <row r="718" spans="2:16" x14ac:dyDescent="0.25">
      <c r="B718" s="103">
        <v>1007</v>
      </c>
      <c r="C718" s="104" t="s">
        <v>3173</v>
      </c>
      <c r="D718" s="104" t="s">
        <v>4257</v>
      </c>
      <c r="E718" s="104" t="s">
        <v>426</v>
      </c>
      <c r="F718" s="105"/>
      <c r="H718" s="45" t="str">
        <f t="shared" si="33"/>
        <v>Andrea – Jambrosić Sakoman – OK Vihor</v>
      </c>
      <c r="J718" s="45" t="str">
        <f t="shared" si="34"/>
        <v>Andrea – Jambrosić Sakoman – OK Vihor</v>
      </c>
      <c r="L718" s="45" t="str">
        <f t="shared" si="35"/>
        <v>Andrea – Jambrosić Sakoman</v>
      </c>
      <c r="N718" s="103"/>
      <c r="O718" s="109"/>
      <c r="P718" s="105"/>
    </row>
    <row r="719" spans="2:16" x14ac:dyDescent="0.25">
      <c r="B719" s="103">
        <v>1889</v>
      </c>
      <c r="C719" s="104" t="s">
        <v>741</v>
      </c>
      <c r="D719" s="104" t="s">
        <v>740</v>
      </c>
      <c r="E719" s="104" t="s">
        <v>426</v>
      </c>
      <c r="F719" s="105" t="s">
        <v>652</v>
      </c>
      <c r="H719" s="45" t="str">
        <f t="shared" si="33"/>
        <v>Goran – Jandras – OK Vihor – M16</v>
      </c>
      <c r="J719" s="45" t="str">
        <f t="shared" si="34"/>
        <v>Goran – Jandras – OK Vihor</v>
      </c>
      <c r="L719" s="45" t="str">
        <f t="shared" si="35"/>
        <v>Goran – Jandras</v>
      </c>
      <c r="N719" s="103"/>
      <c r="O719" s="104"/>
      <c r="P719" s="105"/>
    </row>
    <row r="720" spans="2:16" x14ac:dyDescent="0.25">
      <c r="B720" s="103">
        <v>1890</v>
      </c>
      <c r="C720" s="104" t="s">
        <v>1483</v>
      </c>
      <c r="D720" s="104" t="s">
        <v>740</v>
      </c>
      <c r="E720" s="104" t="s">
        <v>426</v>
      </c>
      <c r="F720" s="105" t="s">
        <v>1130</v>
      </c>
      <c r="H720" s="45" t="str">
        <f t="shared" si="33"/>
        <v>Hrvoje – Jandras – OK Vihor – M21B</v>
      </c>
      <c r="J720" s="45" t="str">
        <f t="shared" si="34"/>
        <v>Hrvoje – Jandras – OK Vihor</v>
      </c>
      <c r="L720" s="45" t="str">
        <f t="shared" si="35"/>
        <v>Hrvoje – Jandras</v>
      </c>
      <c r="N720" s="103"/>
      <c r="O720" s="104"/>
      <c r="P720" s="105"/>
    </row>
    <row r="721" spans="2:16" x14ac:dyDescent="0.25">
      <c r="B721" s="103">
        <v>1394</v>
      </c>
      <c r="C721" s="104" t="s">
        <v>3921</v>
      </c>
      <c r="D721" s="104" t="s">
        <v>2628</v>
      </c>
      <c r="E721" s="104" t="s">
        <v>426</v>
      </c>
      <c r="F721" s="105" t="s">
        <v>2195</v>
      </c>
      <c r="H721" s="45" t="str">
        <f t="shared" si="33"/>
        <v>Dragan – Janković – OK Vihor – M55</v>
      </c>
      <c r="J721" s="45" t="str">
        <f t="shared" si="34"/>
        <v>Dragan – Janković – OK Vihor</v>
      </c>
      <c r="L721" s="45" t="str">
        <f t="shared" si="35"/>
        <v>Dragan – Janković</v>
      </c>
      <c r="N721" s="103"/>
      <c r="O721" s="104"/>
      <c r="P721" s="105"/>
    </row>
    <row r="722" spans="2:16" x14ac:dyDescent="0.25">
      <c r="B722" s="103">
        <v>1918</v>
      </c>
      <c r="C722" s="104" t="s">
        <v>4044</v>
      </c>
      <c r="D722" s="104" t="s">
        <v>4258</v>
      </c>
      <c r="E722" s="104" t="s">
        <v>426</v>
      </c>
      <c r="F722" s="105"/>
      <c r="H722" s="45" t="str">
        <f t="shared" si="33"/>
        <v>Patricija – Jedrejčić – OK Vihor</v>
      </c>
      <c r="J722" s="45" t="str">
        <f t="shared" si="34"/>
        <v>Patricija – Jedrejčić – OK Vihor</v>
      </c>
      <c r="L722" s="45" t="str">
        <f t="shared" si="35"/>
        <v>Patricija – Jedrejčić</v>
      </c>
      <c r="N722" s="103"/>
      <c r="O722" s="104"/>
      <c r="P722" s="105"/>
    </row>
    <row r="723" spans="2:16" x14ac:dyDescent="0.25">
      <c r="B723" s="103">
        <v>1415</v>
      </c>
      <c r="C723" s="104" t="s">
        <v>4259</v>
      </c>
      <c r="D723" s="104" t="s">
        <v>4260</v>
      </c>
      <c r="E723" s="104" t="s">
        <v>426</v>
      </c>
      <c r="F723" s="105" t="s">
        <v>1130</v>
      </c>
      <c r="H723" s="45" t="str">
        <f t="shared" si="33"/>
        <v>Nikica – Jokić – OK Vihor – M21B</v>
      </c>
      <c r="J723" s="45" t="str">
        <f t="shared" si="34"/>
        <v>Nikica – Jokić – OK Vihor</v>
      </c>
      <c r="L723" s="45" t="str">
        <f t="shared" si="35"/>
        <v>Nikica – Jokić</v>
      </c>
      <c r="N723" s="103"/>
      <c r="O723" s="104"/>
      <c r="P723" s="105"/>
    </row>
    <row r="724" spans="2:16" x14ac:dyDescent="0.25">
      <c r="B724" s="103">
        <v>1700</v>
      </c>
      <c r="C724" s="104" t="s">
        <v>2207</v>
      </c>
      <c r="D724" s="104" t="s">
        <v>4261</v>
      </c>
      <c r="E724" s="104" t="s">
        <v>426</v>
      </c>
      <c r="F724" s="105"/>
      <c r="H724" s="45" t="str">
        <f t="shared" si="33"/>
        <v>Darko – Josipović – OK Vihor</v>
      </c>
      <c r="J724" s="45" t="str">
        <f t="shared" si="34"/>
        <v>Darko – Josipović – OK Vihor</v>
      </c>
      <c r="L724" s="45" t="str">
        <f t="shared" si="35"/>
        <v>Darko – Josipović</v>
      </c>
      <c r="N724" s="103"/>
      <c r="O724" s="104"/>
      <c r="P724" s="105"/>
    </row>
    <row r="725" spans="2:16" x14ac:dyDescent="0.25">
      <c r="B725" s="103">
        <v>1699</v>
      </c>
      <c r="C725" s="104" t="s">
        <v>3819</v>
      </c>
      <c r="D725" s="104" t="s">
        <v>4261</v>
      </c>
      <c r="E725" s="104" t="s">
        <v>426</v>
      </c>
      <c r="F725" s="105"/>
      <c r="H725" s="45" t="str">
        <f t="shared" si="33"/>
        <v>Mirela – Josipović – OK Vihor</v>
      </c>
      <c r="J725" s="45" t="str">
        <f t="shared" si="34"/>
        <v>Mirela – Josipović – OK Vihor</v>
      </c>
      <c r="L725" s="45" t="str">
        <f t="shared" si="35"/>
        <v>Mirela – Josipović</v>
      </c>
      <c r="N725" s="103"/>
      <c r="O725" s="104"/>
      <c r="P725" s="105"/>
    </row>
    <row r="726" spans="2:16" x14ac:dyDescent="0.25">
      <c r="B726" s="103">
        <v>1440</v>
      </c>
      <c r="C726" s="104" t="s">
        <v>2704</v>
      </c>
      <c r="D726" s="104" t="s">
        <v>700</v>
      </c>
      <c r="E726" s="104" t="s">
        <v>426</v>
      </c>
      <c r="F726" s="105" t="s">
        <v>2637</v>
      </c>
      <c r="H726" s="45" t="str">
        <f t="shared" si="33"/>
        <v>Ema – Jurač – OK Vihor – Ž12</v>
      </c>
      <c r="J726" s="45" t="str">
        <f t="shared" si="34"/>
        <v>Ema – Jurač – OK Vihor</v>
      </c>
      <c r="L726" s="45" t="str">
        <f t="shared" si="35"/>
        <v>Ema – Jurač</v>
      </c>
      <c r="N726" s="103"/>
      <c r="O726" s="104"/>
      <c r="P726" s="105"/>
    </row>
    <row r="727" spans="2:16" x14ac:dyDescent="0.25">
      <c r="B727" s="103">
        <v>1550</v>
      </c>
      <c r="C727" s="104" t="s">
        <v>3060</v>
      </c>
      <c r="D727" s="104" t="s">
        <v>700</v>
      </c>
      <c r="E727" s="104" t="s">
        <v>426</v>
      </c>
      <c r="F727" s="105" t="s">
        <v>3094</v>
      </c>
      <c r="H727" s="45" t="str">
        <f t="shared" si="33"/>
        <v>Ines – Jurač – OK Vihor – Ž21B</v>
      </c>
      <c r="J727" s="45" t="str">
        <f t="shared" si="34"/>
        <v>Ines – Jurač – OK Vihor</v>
      </c>
      <c r="L727" s="45" t="str">
        <f t="shared" si="35"/>
        <v>Ines – Jurač</v>
      </c>
      <c r="N727" s="103"/>
      <c r="O727" s="104"/>
      <c r="P727" s="105"/>
    </row>
    <row r="728" spans="2:16" x14ac:dyDescent="0.25">
      <c r="B728" s="103">
        <v>1521</v>
      </c>
      <c r="C728" s="104" t="s">
        <v>605</v>
      </c>
      <c r="D728" s="104" t="s">
        <v>700</v>
      </c>
      <c r="E728" s="104" t="s">
        <v>426</v>
      </c>
      <c r="F728" s="105" t="s">
        <v>769</v>
      </c>
      <c r="H728" s="45" t="str">
        <f t="shared" si="33"/>
        <v>Marko – Jurač – OK Vihor – M20</v>
      </c>
      <c r="J728" s="45" t="str">
        <f t="shared" si="34"/>
        <v>Marko – Jurač – OK Vihor</v>
      </c>
      <c r="L728" s="45" t="str">
        <f t="shared" si="35"/>
        <v>Marko – Jurač</v>
      </c>
      <c r="N728" s="103"/>
      <c r="O728" s="104"/>
      <c r="P728" s="105"/>
    </row>
    <row r="729" spans="2:16" x14ac:dyDescent="0.25">
      <c r="B729" s="103">
        <v>1283</v>
      </c>
      <c r="C729" s="104" t="s">
        <v>453</v>
      </c>
      <c r="D729" s="104" t="s">
        <v>700</v>
      </c>
      <c r="E729" s="104" t="s">
        <v>426</v>
      </c>
      <c r="F729" s="105" t="s">
        <v>652</v>
      </c>
      <c r="H729" s="45" t="str">
        <f t="shared" si="33"/>
        <v>Petar – Jurač – OK Vihor – M16</v>
      </c>
      <c r="J729" s="45" t="str">
        <f t="shared" si="34"/>
        <v>Petar – Jurač – OK Vihor</v>
      </c>
      <c r="L729" s="45" t="str">
        <f t="shared" si="35"/>
        <v>Petar – Jurač</v>
      </c>
      <c r="N729" s="103"/>
      <c r="O729" s="104"/>
      <c r="P729" s="105"/>
    </row>
    <row r="730" spans="2:16" x14ac:dyDescent="0.25">
      <c r="B730" s="103">
        <v>1567</v>
      </c>
      <c r="C730" s="104" t="s">
        <v>1029</v>
      </c>
      <c r="D730" s="104" t="s">
        <v>700</v>
      </c>
      <c r="E730" s="104" t="s">
        <v>426</v>
      </c>
      <c r="F730" s="105" t="s">
        <v>1130</v>
      </c>
      <c r="H730" s="45" t="str">
        <f t="shared" si="33"/>
        <v>Tomislav – Jurač – OK Vihor – M21B</v>
      </c>
      <c r="J730" s="45" t="str">
        <f t="shared" si="34"/>
        <v>Tomislav – Jurač – OK Vihor</v>
      </c>
      <c r="L730" s="45" t="str">
        <f t="shared" si="35"/>
        <v>Tomislav – Jurač</v>
      </c>
      <c r="N730" s="103"/>
      <c r="O730" s="104"/>
      <c r="P730" s="105"/>
    </row>
    <row r="731" spans="2:16" x14ac:dyDescent="0.25">
      <c r="B731" s="103">
        <v>1919</v>
      </c>
      <c r="C731" s="104" t="s">
        <v>741</v>
      </c>
      <c r="D731" s="104" t="s">
        <v>1543</v>
      </c>
      <c r="E731" s="104" t="s">
        <v>426</v>
      </c>
      <c r="F731" s="105" t="s">
        <v>1130</v>
      </c>
      <c r="H731" s="45" t="str">
        <f t="shared" si="33"/>
        <v>Goran – Juratović – OK Vihor – M21B</v>
      </c>
      <c r="J731" s="45" t="str">
        <f t="shared" si="34"/>
        <v>Goran – Juratović – OK Vihor</v>
      </c>
      <c r="L731" s="45" t="str">
        <f t="shared" si="35"/>
        <v>Goran – Juratović</v>
      </c>
      <c r="N731" s="103"/>
      <c r="O731" s="104"/>
      <c r="P731" s="105"/>
    </row>
    <row r="732" spans="2:16" x14ac:dyDescent="0.25">
      <c r="B732" s="103">
        <v>1920</v>
      </c>
      <c r="C732" s="104" t="s">
        <v>509</v>
      </c>
      <c r="D732" s="104" t="s">
        <v>2524</v>
      </c>
      <c r="E732" s="104" t="s">
        <v>426</v>
      </c>
      <c r="F732" s="105" t="s">
        <v>1130</v>
      </c>
      <c r="H732" s="45" t="str">
        <f t="shared" si="33"/>
        <v>Luka – Jurić – OK Vihor – M21B</v>
      </c>
      <c r="J732" s="45" t="str">
        <f t="shared" si="34"/>
        <v>Luka – Jurić – OK Vihor</v>
      </c>
      <c r="L732" s="45" t="str">
        <f t="shared" si="35"/>
        <v>Luka – Jurić</v>
      </c>
      <c r="N732" s="103"/>
      <c r="O732" s="104"/>
      <c r="P732" s="105"/>
    </row>
    <row r="733" spans="2:16" x14ac:dyDescent="0.25">
      <c r="B733" s="103">
        <v>1891</v>
      </c>
      <c r="C733" s="104" t="s">
        <v>2623</v>
      </c>
      <c r="D733" s="104" t="s">
        <v>2524</v>
      </c>
      <c r="E733" s="104" t="s">
        <v>426</v>
      </c>
      <c r="F733" s="105" t="s">
        <v>3094</v>
      </c>
      <c r="H733" s="45" t="str">
        <f t="shared" si="33"/>
        <v>Mirjana – Jurić – OK Vihor – Ž21B</v>
      </c>
      <c r="J733" s="45" t="str">
        <f t="shared" si="34"/>
        <v>Mirjana – Jurić – OK Vihor</v>
      </c>
      <c r="L733" s="45" t="str">
        <f t="shared" si="35"/>
        <v>Mirjana – Jurić</v>
      </c>
      <c r="N733" s="103"/>
      <c r="O733" s="104"/>
      <c r="P733" s="105"/>
    </row>
    <row r="734" spans="2:16" x14ac:dyDescent="0.25">
      <c r="B734" s="103">
        <v>1892</v>
      </c>
      <c r="C734" s="104" t="s">
        <v>2525</v>
      </c>
      <c r="D734" s="104" t="s">
        <v>2524</v>
      </c>
      <c r="E734" s="104" t="s">
        <v>426</v>
      </c>
      <c r="F734" s="105" t="s">
        <v>2928</v>
      </c>
      <c r="H734" s="45" t="str">
        <f t="shared" si="33"/>
        <v>Nika – Jurić – OK Vihor – Ž20</v>
      </c>
      <c r="J734" s="45" t="str">
        <f t="shared" si="34"/>
        <v>Nika – Jurić – OK Vihor</v>
      </c>
      <c r="L734" s="45" t="str">
        <f t="shared" si="35"/>
        <v>Nika – Jurić</v>
      </c>
      <c r="N734" s="103"/>
      <c r="O734" s="104"/>
      <c r="P734" s="105"/>
    </row>
    <row r="735" spans="2:16" x14ac:dyDescent="0.25">
      <c r="B735" s="103">
        <v>1893</v>
      </c>
      <c r="C735" s="104" t="s">
        <v>2602</v>
      </c>
      <c r="D735" s="104" t="s">
        <v>2524</v>
      </c>
      <c r="E735" s="104" t="s">
        <v>426</v>
      </c>
      <c r="F735" s="105" t="s">
        <v>2732</v>
      </c>
      <c r="H735" s="45" t="str">
        <f t="shared" si="33"/>
        <v>Petra – Jurić – OK Vihor – Ž14</v>
      </c>
      <c r="J735" s="45" t="str">
        <f t="shared" si="34"/>
        <v>Petra – Jurić – OK Vihor</v>
      </c>
      <c r="L735" s="45" t="str">
        <f t="shared" si="35"/>
        <v>Petra – Jurić</v>
      </c>
      <c r="N735" s="103"/>
      <c r="O735" s="104"/>
      <c r="P735" s="105"/>
    </row>
    <row r="736" spans="2:16" x14ac:dyDescent="0.25">
      <c r="B736" s="103">
        <v>1701</v>
      </c>
      <c r="C736" s="104" t="s">
        <v>4262</v>
      </c>
      <c r="D736" s="104" t="s">
        <v>4263</v>
      </c>
      <c r="E736" s="104" t="s">
        <v>426</v>
      </c>
      <c r="F736" s="105"/>
      <c r="H736" s="45" t="str">
        <f t="shared" si="33"/>
        <v>Eugen – Jurković – OK Vihor</v>
      </c>
      <c r="J736" s="45" t="str">
        <f t="shared" si="34"/>
        <v>Eugen – Jurković – OK Vihor</v>
      </c>
      <c r="L736" s="45" t="str">
        <f t="shared" si="35"/>
        <v>Eugen – Jurković</v>
      </c>
      <c r="N736" s="103"/>
      <c r="O736" s="104"/>
      <c r="P736" s="105"/>
    </row>
    <row r="737" spans="2:16" x14ac:dyDescent="0.25">
      <c r="B737" s="103">
        <v>1026</v>
      </c>
      <c r="C737" s="104" t="s">
        <v>2893</v>
      </c>
      <c r="D737" s="104" t="s">
        <v>4264</v>
      </c>
      <c r="E737" s="104" t="s">
        <v>426</v>
      </c>
      <c r="F737" s="105"/>
      <c r="H737" s="45" t="str">
        <f t="shared" si="33"/>
        <v>Nina – Kale – OK Vihor</v>
      </c>
      <c r="J737" s="45" t="str">
        <f t="shared" si="34"/>
        <v>Nina – Kale – OK Vihor</v>
      </c>
      <c r="L737" s="45" t="str">
        <f t="shared" si="35"/>
        <v>Nina – Kale</v>
      </c>
      <c r="N737" s="103"/>
      <c r="O737" s="104"/>
      <c r="P737" s="105"/>
    </row>
    <row r="738" spans="2:16" x14ac:dyDescent="0.25">
      <c r="B738" s="103">
        <v>1702</v>
      </c>
      <c r="C738" s="104" t="s">
        <v>3773</v>
      </c>
      <c r="D738" s="104" t="s">
        <v>4265</v>
      </c>
      <c r="E738" s="104" t="s">
        <v>426</v>
      </c>
      <c r="F738" s="105"/>
      <c r="H738" s="45" t="str">
        <f t="shared" si="33"/>
        <v>Mia – Kamenjarin – OK Vihor</v>
      </c>
      <c r="J738" s="45" t="str">
        <f t="shared" si="34"/>
        <v>Mia – Kamenjarin – OK Vihor</v>
      </c>
      <c r="L738" s="45" t="str">
        <f t="shared" si="35"/>
        <v>Mia – Kamenjarin</v>
      </c>
      <c r="N738" s="103"/>
      <c r="O738" s="104"/>
      <c r="P738" s="105"/>
    </row>
    <row r="739" spans="2:16" x14ac:dyDescent="0.25">
      <c r="B739" s="103">
        <v>1426</v>
      </c>
      <c r="C739" s="104" t="s">
        <v>509</v>
      </c>
      <c r="D739" s="104" t="s">
        <v>4266</v>
      </c>
      <c r="E739" s="104" t="s">
        <v>426</v>
      </c>
      <c r="F739" s="105" t="s">
        <v>886</v>
      </c>
      <c r="H739" s="45" t="str">
        <f t="shared" si="33"/>
        <v>Luka – Karavidović – OK Vihor – M21A</v>
      </c>
      <c r="J739" s="45" t="str">
        <f t="shared" si="34"/>
        <v>Luka – Karavidović – OK Vihor</v>
      </c>
      <c r="L739" s="45" t="str">
        <f t="shared" si="35"/>
        <v>Luka – Karavidović</v>
      </c>
      <c r="N739" s="103"/>
      <c r="O739" s="104"/>
      <c r="P739" s="105"/>
    </row>
    <row r="740" spans="2:16" x14ac:dyDescent="0.25">
      <c r="B740" s="103">
        <v>1703</v>
      </c>
      <c r="C740" s="104" t="s">
        <v>3810</v>
      </c>
      <c r="D740" s="104" t="s">
        <v>4267</v>
      </c>
      <c r="E740" s="104" t="s">
        <v>426</v>
      </c>
      <c r="F740" s="105"/>
      <c r="H740" s="45" t="str">
        <f t="shared" si="33"/>
        <v>Fran – Karlović – OK Vihor</v>
      </c>
      <c r="J740" s="45" t="str">
        <f t="shared" si="34"/>
        <v>Fran – Karlović – OK Vihor</v>
      </c>
      <c r="L740" s="45" t="str">
        <f t="shared" si="35"/>
        <v>Fran – Karlović</v>
      </c>
      <c r="N740" s="103"/>
      <c r="O740" s="104"/>
      <c r="P740" s="105"/>
    </row>
    <row r="741" spans="2:16" x14ac:dyDescent="0.25">
      <c r="B741" s="103">
        <v>1510</v>
      </c>
      <c r="C741" s="104" t="s">
        <v>4268</v>
      </c>
      <c r="D741" s="104" t="s">
        <v>4269</v>
      </c>
      <c r="E741" s="104" t="s">
        <v>426</v>
      </c>
      <c r="F741" s="105"/>
      <c r="H741" s="45" t="str">
        <f t="shared" si="33"/>
        <v>Tina – Katić – OK Vihor</v>
      </c>
      <c r="J741" s="45" t="str">
        <f t="shared" si="34"/>
        <v>Tina – Katić – OK Vihor</v>
      </c>
      <c r="L741" s="45" t="str">
        <f t="shared" si="35"/>
        <v>Tina – Katić</v>
      </c>
      <c r="N741" s="103"/>
      <c r="O741" s="104"/>
      <c r="P741" s="105"/>
    </row>
    <row r="742" spans="2:16" x14ac:dyDescent="0.25">
      <c r="B742" s="103">
        <v>1894</v>
      </c>
      <c r="C742" s="104" t="s">
        <v>2595</v>
      </c>
      <c r="D742" s="104" t="s">
        <v>2594</v>
      </c>
      <c r="E742" s="104" t="s">
        <v>426</v>
      </c>
      <c r="F742" s="105" t="s">
        <v>3094</v>
      </c>
      <c r="H742" s="45" t="str">
        <f t="shared" si="33"/>
        <v>Maja – Katušić – OK Vihor – Ž21B</v>
      </c>
      <c r="J742" s="45" t="str">
        <f t="shared" si="34"/>
        <v>Maja – Katušić – OK Vihor</v>
      </c>
      <c r="L742" s="45" t="str">
        <f t="shared" si="35"/>
        <v>Maja – Katušić</v>
      </c>
      <c r="N742" s="103"/>
      <c r="O742" s="104"/>
      <c r="P742" s="105"/>
    </row>
    <row r="743" spans="2:16" x14ac:dyDescent="0.25">
      <c r="B743" s="103">
        <v>1921</v>
      </c>
      <c r="C743" s="104" t="s">
        <v>1364</v>
      </c>
      <c r="D743" s="104" t="s">
        <v>1363</v>
      </c>
      <c r="E743" s="104" t="s">
        <v>426</v>
      </c>
      <c r="F743" s="105" t="s">
        <v>1130</v>
      </c>
      <c r="H743" s="45" t="str">
        <f t="shared" si="33"/>
        <v>Domagoj – Kavečić – OK Vihor – M21B</v>
      </c>
      <c r="J743" s="45" t="str">
        <f t="shared" si="34"/>
        <v>Domagoj – Kavečić – OK Vihor</v>
      </c>
      <c r="L743" s="45" t="str">
        <f t="shared" si="35"/>
        <v>Domagoj – Kavečić</v>
      </c>
      <c r="N743" s="103"/>
      <c r="O743" s="104"/>
      <c r="P743" s="105"/>
    </row>
    <row r="744" spans="2:16" x14ac:dyDescent="0.25">
      <c r="B744" s="103">
        <v>1704</v>
      </c>
      <c r="C744" s="104" t="s">
        <v>4270</v>
      </c>
      <c r="D744" s="104" t="s">
        <v>4271</v>
      </c>
      <c r="E744" s="104" t="s">
        <v>426</v>
      </c>
      <c r="F744" s="105"/>
      <c r="H744" s="45" t="str">
        <f t="shared" si="33"/>
        <v>Bartol – Kekić – OK Vihor</v>
      </c>
      <c r="J744" s="45" t="str">
        <f t="shared" si="34"/>
        <v>Bartol – Kekić – OK Vihor</v>
      </c>
      <c r="L744" s="45" t="str">
        <f t="shared" si="35"/>
        <v>Bartol – Kekić</v>
      </c>
      <c r="N744" s="103"/>
      <c r="O744" s="104"/>
      <c r="P744" s="105"/>
    </row>
    <row r="745" spans="2:16" x14ac:dyDescent="0.25">
      <c r="B745" s="103">
        <v>1260</v>
      </c>
      <c r="C745" s="104" t="s">
        <v>2825</v>
      </c>
      <c r="D745" s="104" t="s">
        <v>4272</v>
      </c>
      <c r="E745" s="104" t="s">
        <v>426</v>
      </c>
      <c r="F745" s="105" t="s">
        <v>3265</v>
      </c>
      <c r="H745" s="45" t="str">
        <f t="shared" si="33"/>
        <v>Marta – Kiš – OK Vihor – Ž35</v>
      </c>
      <c r="J745" s="45" t="str">
        <f t="shared" si="34"/>
        <v>Marta – Kiš – OK Vihor</v>
      </c>
      <c r="L745" s="45" t="str">
        <f t="shared" si="35"/>
        <v>Marta – Kiš</v>
      </c>
      <c r="N745" s="103"/>
      <c r="O745" s="104"/>
      <c r="P745" s="105"/>
    </row>
    <row r="746" spans="2:16" x14ac:dyDescent="0.25">
      <c r="B746" s="103">
        <v>1705</v>
      </c>
      <c r="C746" s="104" t="s">
        <v>3826</v>
      </c>
      <c r="D746" s="104" t="s">
        <v>4273</v>
      </c>
      <c r="E746" s="104" t="s">
        <v>426</v>
      </c>
      <c r="F746" s="105"/>
      <c r="H746" s="45" t="str">
        <f t="shared" si="33"/>
        <v>Karla – Kiš Kamenjarin – OK Vihor</v>
      </c>
      <c r="J746" s="45" t="str">
        <f t="shared" si="34"/>
        <v>Karla – Kiš Kamenjarin – OK Vihor</v>
      </c>
      <c r="L746" s="45" t="str">
        <f t="shared" si="35"/>
        <v>Karla – Kiš Kamenjarin</v>
      </c>
      <c r="N746" s="103"/>
      <c r="O746" s="104"/>
      <c r="P746" s="105"/>
    </row>
    <row r="747" spans="2:16" x14ac:dyDescent="0.25">
      <c r="B747" s="103">
        <v>1922</v>
      </c>
      <c r="C747" s="104" t="s">
        <v>1306</v>
      </c>
      <c r="D747" s="104" t="s">
        <v>1305</v>
      </c>
      <c r="E747" s="104" t="s">
        <v>426</v>
      </c>
      <c r="F747" s="105" t="s">
        <v>1130</v>
      </c>
      <c r="H747" s="45" t="str">
        <f t="shared" si="33"/>
        <v>Tihomir – Klement – OK Vihor – M21B</v>
      </c>
      <c r="J747" s="45" t="str">
        <f t="shared" si="34"/>
        <v>Tihomir – Klement – OK Vihor</v>
      </c>
      <c r="L747" s="45" t="str">
        <f t="shared" si="35"/>
        <v>Tihomir – Klement</v>
      </c>
      <c r="N747" s="103"/>
      <c r="O747" s="104"/>
      <c r="P747" s="105"/>
    </row>
    <row r="748" spans="2:16" x14ac:dyDescent="0.25">
      <c r="B748" s="103">
        <v>1749</v>
      </c>
      <c r="C748" s="104" t="s">
        <v>3239</v>
      </c>
      <c r="D748" s="104" t="s">
        <v>4274</v>
      </c>
      <c r="E748" s="104" t="s">
        <v>426</v>
      </c>
      <c r="F748" s="105"/>
      <c r="H748" s="45" t="str">
        <f t="shared" si="33"/>
        <v>Martina – Knezović – OK Vihor</v>
      </c>
      <c r="J748" s="45" t="str">
        <f t="shared" si="34"/>
        <v>Martina – Knezović – OK Vihor</v>
      </c>
      <c r="L748" s="45" t="str">
        <f t="shared" si="35"/>
        <v>Martina – Knezović</v>
      </c>
      <c r="N748" s="103"/>
      <c r="O748" s="104"/>
      <c r="P748" s="105"/>
    </row>
    <row r="749" spans="2:16" x14ac:dyDescent="0.25">
      <c r="B749" s="103">
        <v>1124</v>
      </c>
      <c r="C749" s="104" t="s">
        <v>4275</v>
      </c>
      <c r="D749" s="104" t="s">
        <v>4276</v>
      </c>
      <c r="E749" s="104" t="s">
        <v>426</v>
      </c>
      <c r="F749" s="105" t="s">
        <v>1130</v>
      </c>
      <c r="H749" s="45" t="str">
        <f t="shared" si="33"/>
        <v>Tin – Kodba – OK Vihor – M21B</v>
      </c>
      <c r="J749" s="45" t="str">
        <f t="shared" si="34"/>
        <v>Tin – Kodba – OK Vihor</v>
      </c>
      <c r="L749" s="45" t="str">
        <f t="shared" si="35"/>
        <v>Tin – Kodba</v>
      </c>
      <c r="N749" s="103"/>
      <c r="O749" s="104"/>
      <c r="P749" s="105"/>
    </row>
    <row r="750" spans="2:16" x14ac:dyDescent="0.25">
      <c r="B750" s="103">
        <v>1263</v>
      </c>
      <c r="C750" s="104" t="s">
        <v>3803</v>
      </c>
      <c r="D750" s="104" t="s">
        <v>4276</v>
      </c>
      <c r="E750" s="104" t="s">
        <v>426</v>
      </c>
      <c r="F750" s="105" t="s">
        <v>1130</v>
      </c>
      <c r="H750" s="45" t="str">
        <f t="shared" si="33"/>
        <v>Vid – Kodba – OK Vihor – M21B</v>
      </c>
      <c r="J750" s="45" t="str">
        <f t="shared" si="34"/>
        <v>Vid – Kodba – OK Vihor</v>
      </c>
      <c r="L750" s="45" t="str">
        <f t="shared" si="35"/>
        <v>Vid – Kodba</v>
      </c>
      <c r="N750" s="103"/>
      <c r="O750" s="104"/>
      <c r="P750" s="105"/>
    </row>
    <row r="751" spans="2:16" x14ac:dyDescent="0.25">
      <c r="B751" s="103">
        <v>1707</v>
      </c>
      <c r="C751" s="104" t="s">
        <v>870</v>
      </c>
      <c r="D751" s="104" t="s">
        <v>4277</v>
      </c>
      <c r="E751" s="104" t="s">
        <v>426</v>
      </c>
      <c r="F751" s="105"/>
      <c r="H751" s="45" t="str">
        <f t="shared" si="33"/>
        <v>Antonio – Kolar – OK Vihor</v>
      </c>
      <c r="J751" s="45" t="str">
        <f t="shared" si="34"/>
        <v>Antonio – Kolar – OK Vihor</v>
      </c>
      <c r="L751" s="45" t="str">
        <f t="shared" si="35"/>
        <v>Antonio – Kolar</v>
      </c>
      <c r="N751" s="103"/>
      <c r="O751" s="104"/>
      <c r="P751" s="105"/>
    </row>
    <row r="752" spans="2:16" x14ac:dyDescent="0.25">
      <c r="B752" s="103">
        <v>1706</v>
      </c>
      <c r="C752" s="104" t="s">
        <v>3827</v>
      </c>
      <c r="D752" s="104" t="s">
        <v>4277</v>
      </c>
      <c r="E752" s="104" t="s">
        <v>426</v>
      </c>
      <c r="F752" s="105"/>
      <c r="H752" s="45" t="str">
        <f t="shared" si="33"/>
        <v>Roko – Kolar – OK Vihor</v>
      </c>
      <c r="J752" s="45" t="str">
        <f t="shared" si="34"/>
        <v>Roko – Kolar – OK Vihor</v>
      </c>
      <c r="L752" s="45" t="str">
        <f t="shared" si="35"/>
        <v>Roko – Kolar</v>
      </c>
      <c r="N752" s="103"/>
      <c r="O752" s="104"/>
      <c r="P752" s="105"/>
    </row>
    <row r="753" spans="2:16" x14ac:dyDescent="0.25">
      <c r="B753" s="103">
        <v>1070</v>
      </c>
      <c r="C753" s="104" t="s">
        <v>3522</v>
      </c>
      <c r="D753" s="104" t="s">
        <v>820</v>
      </c>
      <c r="E753" s="104" t="s">
        <v>426</v>
      </c>
      <c r="F753" s="105" t="s">
        <v>3443</v>
      </c>
      <c r="H753" s="45" t="str">
        <f t="shared" si="33"/>
        <v>Nataša – Kolarek – OK Vihor – Ž45</v>
      </c>
      <c r="J753" s="45" t="str">
        <f t="shared" si="34"/>
        <v>Nataša – Kolarek – OK Vihor</v>
      </c>
      <c r="L753" s="45" t="str">
        <f t="shared" si="35"/>
        <v>Nataša – Kolarek</v>
      </c>
      <c r="N753" s="103"/>
      <c r="O753" s="104"/>
      <c r="P753" s="105"/>
    </row>
    <row r="754" spans="2:16" x14ac:dyDescent="0.25">
      <c r="B754" s="103">
        <v>1477</v>
      </c>
      <c r="C754" s="104" t="s">
        <v>2525</v>
      </c>
      <c r="D754" s="104" t="s">
        <v>820</v>
      </c>
      <c r="E754" s="104" t="s">
        <v>426</v>
      </c>
      <c r="F754" s="105" t="s">
        <v>2928</v>
      </c>
      <c r="H754" s="45" t="str">
        <f t="shared" si="33"/>
        <v>Nika – Kolarek – OK Vihor – Ž20</v>
      </c>
      <c r="J754" s="45" t="str">
        <f t="shared" si="34"/>
        <v>Nika – Kolarek – OK Vihor</v>
      </c>
      <c r="L754" s="45" t="str">
        <f t="shared" si="35"/>
        <v>Nika – Kolarek</v>
      </c>
      <c r="N754" s="103"/>
      <c r="O754" s="104"/>
      <c r="P754" s="105"/>
    </row>
    <row r="755" spans="2:16" x14ac:dyDescent="0.25">
      <c r="B755" s="103">
        <v>1191</v>
      </c>
      <c r="C755" s="104" t="s">
        <v>821</v>
      </c>
      <c r="D755" s="104" t="s">
        <v>820</v>
      </c>
      <c r="E755" s="104" t="s">
        <v>426</v>
      </c>
      <c r="F755" s="105" t="s">
        <v>769</v>
      </c>
      <c r="H755" s="45" t="str">
        <f t="shared" si="33"/>
        <v>Noa – Kolarek – OK Vihor – M20</v>
      </c>
      <c r="J755" s="45" t="str">
        <f t="shared" si="34"/>
        <v>Noa – Kolarek – OK Vihor</v>
      </c>
      <c r="L755" s="45" t="str">
        <f t="shared" si="35"/>
        <v>Noa – Kolarek</v>
      </c>
      <c r="N755" s="103"/>
      <c r="O755" s="104"/>
      <c r="P755" s="105"/>
    </row>
    <row r="756" spans="2:16" x14ac:dyDescent="0.25">
      <c r="B756" s="103">
        <v>1524</v>
      </c>
      <c r="C756" s="104" t="s">
        <v>453</v>
      </c>
      <c r="D756" s="104" t="s">
        <v>4278</v>
      </c>
      <c r="E756" s="104" t="s">
        <v>426</v>
      </c>
      <c r="F756" s="105"/>
      <c r="H756" s="45" t="str">
        <f t="shared" si="33"/>
        <v>Petar – Korlaet – OK Vihor</v>
      </c>
      <c r="J756" s="45" t="str">
        <f t="shared" si="34"/>
        <v>Petar – Korlaet – OK Vihor</v>
      </c>
      <c r="L756" s="45" t="str">
        <f t="shared" si="35"/>
        <v>Petar – Korlaet</v>
      </c>
      <c r="N756" s="103"/>
      <c r="O756" s="104"/>
      <c r="P756" s="105"/>
    </row>
    <row r="757" spans="2:16" x14ac:dyDescent="0.25">
      <c r="B757" s="103">
        <v>1895</v>
      </c>
      <c r="C757" s="104" t="s">
        <v>2602</v>
      </c>
      <c r="D757" s="104" t="s">
        <v>1221</v>
      </c>
      <c r="E757" s="104" t="s">
        <v>426</v>
      </c>
      <c r="F757" s="105" t="s">
        <v>3094</v>
      </c>
      <c r="H757" s="45" t="str">
        <f t="shared" si="33"/>
        <v>Petra – Kos – OK Vihor – Ž21B</v>
      </c>
      <c r="J757" s="45" t="str">
        <f t="shared" si="34"/>
        <v>Petra – Kos – OK Vihor</v>
      </c>
      <c r="L757" s="45" t="str">
        <f t="shared" si="35"/>
        <v>Petra – Kos</v>
      </c>
      <c r="N757" s="103"/>
      <c r="O757" s="104"/>
      <c r="P757" s="105"/>
    </row>
    <row r="758" spans="2:16" x14ac:dyDescent="0.25">
      <c r="B758" s="103">
        <v>1930</v>
      </c>
      <c r="C758" s="104" t="s">
        <v>1222</v>
      </c>
      <c r="D758" s="104" t="s">
        <v>1221</v>
      </c>
      <c r="E758" s="104" t="s">
        <v>426</v>
      </c>
      <c r="F758" s="105" t="s">
        <v>1130</v>
      </c>
      <c r="H758" s="45" t="str">
        <f t="shared" si="33"/>
        <v>Zlatan – Kos – OK Vihor – M21B</v>
      </c>
      <c r="J758" s="45" t="str">
        <f t="shared" si="34"/>
        <v>Zlatan – Kos – OK Vihor</v>
      </c>
      <c r="L758" s="45" t="str">
        <f t="shared" si="35"/>
        <v>Zlatan – Kos</v>
      </c>
      <c r="N758" s="103"/>
      <c r="O758" s="104"/>
      <c r="P758" s="105"/>
    </row>
    <row r="759" spans="2:16" x14ac:dyDescent="0.25">
      <c r="B759" s="103">
        <v>1815</v>
      </c>
      <c r="C759" s="104" t="s">
        <v>4279</v>
      </c>
      <c r="D759" s="104" t="s">
        <v>2784</v>
      </c>
      <c r="E759" s="104" t="s">
        <v>426</v>
      </c>
      <c r="F759" s="105"/>
      <c r="H759" s="45" t="str">
        <f t="shared" si="33"/>
        <v>Nediljko – Kovač – OK Vihor</v>
      </c>
      <c r="J759" s="45" t="str">
        <f t="shared" si="34"/>
        <v>Nediljko – Kovač – OK Vihor</v>
      </c>
      <c r="L759" s="45" t="str">
        <f t="shared" si="35"/>
        <v>Nediljko – Kovač</v>
      </c>
      <c r="N759" s="103"/>
      <c r="O759" s="104"/>
      <c r="P759" s="105"/>
    </row>
    <row r="760" spans="2:16" x14ac:dyDescent="0.25">
      <c r="B760" s="103">
        <v>1405</v>
      </c>
      <c r="C760" s="104" t="s">
        <v>2437</v>
      </c>
      <c r="D760" s="104" t="s">
        <v>3772</v>
      </c>
      <c r="E760" s="104" t="s">
        <v>426</v>
      </c>
      <c r="F760" s="105" t="s">
        <v>3094</v>
      </c>
      <c r="H760" s="45" t="str">
        <f t="shared" si="33"/>
        <v>Ana – Kovačić – OK Vihor – Ž21B</v>
      </c>
      <c r="J760" s="45" t="str">
        <f t="shared" si="34"/>
        <v>Ana – Kovačić – OK Vihor</v>
      </c>
      <c r="L760" s="45" t="str">
        <f t="shared" si="35"/>
        <v>Ana – Kovačić</v>
      </c>
      <c r="N760" s="103"/>
      <c r="O760" s="104"/>
      <c r="P760" s="105"/>
    </row>
    <row r="761" spans="2:16" x14ac:dyDescent="0.25">
      <c r="B761" s="103">
        <v>1423</v>
      </c>
      <c r="C761" s="104" t="s">
        <v>3752</v>
      </c>
      <c r="D761" s="104" t="s">
        <v>4280</v>
      </c>
      <c r="E761" s="104" t="s">
        <v>426</v>
      </c>
      <c r="F761" s="105" t="s">
        <v>1130</v>
      </c>
      <c r="H761" s="45" t="str">
        <f t="shared" si="33"/>
        <v>Eduard – Kožul – OK Vihor – M21B</v>
      </c>
      <c r="J761" s="45" t="str">
        <f t="shared" si="34"/>
        <v>Eduard – Kožul – OK Vihor</v>
      </c>
      <c r="L761" s="45" t="str">
        <f t="shared" si="35"/>
        <v>Eduard – Kožul</v>
      </c>
      <c r="N761" s="103"/>
      <c r="O761" s="104"/>
      <c r="P761" s="105"/>
    </row>
    <row r="762" spans="2:16" x14ac:dyDescent="0.25">
      <c r="B762" s="103">
        <v>1182</v>
      </c>
      <c r="C762" s="104" t="s">
        <v>2437</v>
      </c>
      <c r="D762" s="104" t="s">
        <v>4281</v>
      </c>
      <c r="E762" s="104" t="s">
        <v>426</v>
      </c>
      <c r="F762" s="105" t="s">
        <v>2732</v>
      </c>
      <c r="H762" s="45" t="str">
        <f t="shared" si="33"/>
        <v>Ana – Krajnović – OK Vihor – Ž14</v>
      </c>
      <c r="J762" s="45" t="str">
        <f t="shared" si="34"/>
        <v>Ana – Krajnović – OK Vihor</v>
      </c>
      <c r="L762" s="45" t="str">
        <f t="shared" si="35"/>
        <v>Ana – Krajnović</v>
      </c>
      <c r="N762" s="103"/>
      <c r="O762" s="104"/>
      <c r="P762" s="105"/>
    </row>
    <row r="763" spans="2:16" x14ac:dyDescent="0.25">
      <c r="B763" s="103">
        <v>1295</v>
      </c>
      <c r="C763" s="104" t="s">
        <v>2021</v>
      </c>
      <c r="D763" s="104" t="s">
        <v>4281</v>
      </c>
      <c r="E763" s="104" t="s">
        <v>426</v>
      </c>
      <c r="F763" s="105" t="s">
        <v>1909</v>
      </c>
      <c r="H763" s="45" t="str">
        <f t="shared" si="33"/>
        <v>Ivo – Krajnović – OK Vihor – M45</v>
      </c>
      <c r="J763" s="45" t="str">
        <f t="shared" si="34"/>
        <v>Ivo – Krajnović – OK Vihor</v>
      </c>
      <c r="L763" s="45" t="str">
        <f t="shared" si="35"/>
        <v>Ivo – Krajnović</v>
      </c>
      <c r="N763" s="103"/>
      <c r="O763" s="104"/>
      <c r="P763" s="105"/>
    </row>
    <row r="764" spans="2:16" x14ac:dyDescent="0.25">
      <c r="B764" s="103">
        <v>1497</v>
      </c>
      <c r="C764" s="104" t="s">
        <v>509</v>
      </c>
      <c r="D764" s="104" t="s">
        <v>4281</v>
      </c>
      <c r="E764" s="104" t="s">
        <v>426</v>
      </c>
      <c r="F764" s="105" t="s">
        <v>769</v>
      </c>
      <c r="H764" s="45" t="str">
        <f t="shared" si="33"/>
        <v>Luka – Krajnović – OK Vihor – M20</v>
      </c>
      <c r="J764" s="45" t="str">
        <f t="shared" si="34"/>
        <v>Luka – Krajnović – OK Vihor</v>
      </c>
      <c r="L764" s="45" t="str">
        <f t="shared" si="35"/>
        <v>Luka – Krajnović</v>
      </c>
      <c r="N764" s="103"/>
      <c r="O764" s="104"/>
      <c r="P764" s="105"/>
    </row>
    <row r="765" spans="2:16" x14ac:dyDescent="0.25">
      <c r="B765" s="103">
        <v>1495</v>
      </c>
      <c r="C765" s="104" t="s">
        <v>1763</v>
      </c>
      <c r="D765" s="104" t="s">
        <v>4035</v>
      </c>
      <c r="E765" s="104" t="s">
        <v>426</v>
      </c>
      <c r="F765" s="105" t="s">
        <v>886</v>
      </c>
      <c r="H765" s="45" t="str">
        <f t="shared" si="33"/>
        <v>Miroslav – Kralj – OK Vihor – M21A</v>
      </c>
      <c r="J765" s="45" t="str">
        <f t="shared" si="34"/>
        <v>Miroslav – Kralj – OK Vihor</v>
      </c>
      <c r="L765" s="45" t="str">
        <f t="shared" si="35"/>
        <v>Miroslav – Kralj</v>
      </c>
      <c r="N765" s="103"/>
      <c r="O765" s="104"/>
      <c r="P765" s="105"/>
    </row>
    <row r="766" spans="2:16" x14ac:dyDescent="0.25">
      <c r="B766" s="103">
        <v>1896</v>
      </c>
      <c r="C766" s="104" t="s">
        <v>3234</v>
      </c>
      <c r="D766" s="104" t="s">
        <v>3233</v>
      </c>
      <c r="E766" s="104" t="s">
        <v>426</v>
      </c>
      <c r="F766" s="105" t="s">
        <v>3094</v>
      </c>
      <c r="H766" s="45" t="str">
        <f t="shared" si="33"/>
        <v>Nikolina – Kranjec – OK Vihor – Ž21B</v>
      </c>
      <c r="J766" s="45" t="str">
        <f t="shared" si="34"/>
        <v>Nikolina – Kranjec – OK Vihor</v>
      </c>
      <c r="L766" s="45" t="str">
        <f t="shared" si="35"/>
        <v>Nikolina – Kranjec</v>
      </c>
      <c r="N766" s="103"/>
      <c r="O766" s="104"/>
      <c r="P766" s="105"/>
    </row>
    <row r="767" spans="2:16" x14ac:dyDescent="0.25">
      <c r="B767" s="103">
        <v>1010</v>
      </c>
      <c r="C767" s="104" t="s">
        <v>4194</v>
      </c>
      <c r="D767" s="104" t="s">
        <v>4282</v>
      </c>
      <c r="E767" s="104" t="s">
        <v>426</v>
      </c>
      <c r="F767" s="105"/>
      <c r="H767" s="45" t="str">
        <f t="shared" si="33"/>
        <v>Anita – Kristian – OK Vihor</v>
      </c>
      <c r="J767" s="45" t="str">
        <f t="shared" si="34"/>
        <v>Anita – Kristian – OK Vihor</v>
      </c>
      <c r="L767" s="45" t="str">
        <f t="shared" si="35"/>
        <v>Anita – Kristian</v>
      </c>
      <c r="N767" s="103"/>
      <c r="O767" s="104"/>
      <c r="P767" s="105"/>
    </row>
    <row r="768" spans="2:16" x14ac:dyDescent="0.25">
      <c r="B768" s="103">
        <v>1386</v>
      </c>
      <c r="C768" s="104" t="s">
        <v>4283</v>
      </c>
      <c r="D768" s="104" t="s">
        <v>4284</v>
      </c>
      <c r="E768" s="104" t="s">
        <v>426</v>
      </c>
      <c r="F768" s="105" t="s">
        <v>1909</v>
      </c>
      <c r="H768" s="45" t="str">
        <f t="shared" si="33"/>
        <v>Edo – Krš – OK Vihor – M45</v>
      </c>
      <c r="J768" s="45" t="str">
        <f t="shared" si="34"/>
        <v>Edo – Krš – OK Vihor</v>
      </c>
      <c r="L768" s="45" t="str">
        <f t="shared" si="35"/>
        <v>Edo – Krš</v>
      </c>
      <c r="N768" s="103"/>
      <c r="O768" s="104"/>
      <c r="P768" s="105"/>
    </row>
    <row r="769" spans="2:16" x14ac:dyDescent="0.25">
      <c r="B769" s="103">
        <v>1216</v>
      </c>
      <c r="C769" s="104" t="s">
        <v>3600</v>
      </c>
      <c r="D769" s="104" t="s">
        <v>4284</v>
      </c>
      <c r="E769" s="104" t="s">
        <v>426</v>
      </c>
      <c r="F769" s="105" t="s">
        <v>3265</v>
      </c>
      <c r="H769" s="45" t="str">
        <f t="shared" si="33"/>
        <v>Sanja – Krš – OK Vihor – Ž35</v>
      </c>
      <c r="J769" s="45" t="str">
        <f t="shared" si="34"/>
        <v>Sanja – Krš – OK Vihor</v>
      </c>
      <c r="L769" s="45" t="str">
        <f t="shared" si="35"/>
        <v>Sanja – Krš</v>
      </c>
      <c r="N769" s="103"/>
      <c r="O769" s="104"/>
      <c r="P769" s="105"/>
    </row>
    <row r="770" spans="2:16" x14ac:dyDescent="0.25">
      <c r="B770" s="103">
        <v>1489</v>
      </c>
      <c r="C770" s="104" t="s">
        <v>920</v>
      </c>
      <c r="D770" s="104" t="s">
        <v>1166</v>
      </c>
      <c r="E770" s="104" t="s">
        <v>426</v>
      </c>
      <c r="F770" s="105" t="s">
        <v>1130</v>
      </c>
      <c r="H770" s="45" t="str">
        <f t="shared" si="33"/>
        <v>Matija – Kučinac – OK Vihor – M21B</v>
      </c>
      <c r="J770" s="45" t="str">
        <f t="shared" si="34"/>
        <v>Matija – Kučinac – OK Vihor</v>
      </c>
      <c r="L770" s="45" t="str">
        <f t="shared" si="35"/>
        <v>Matija – Kučinac</v>
      </c>
      <c r="N770" s="103"/>
      <c r="O770" s="104"/>
      <c r="P770" s="105"/>
    </row>
    <row r="771" spans="2:16" x14ac:dyDescent="0.25">
      <c r="B771" s="103">
        <v>1544</v>
      </c>
      <c r="C771" s="104" t="s">
        <v>3628</v>
      </c>
      <c r="D771" s="104" t="s">
        <v>1166</v>
      </c>
      <c r="E771" s="104" t="s">
        <v>426</v>
      </c>
      <c r="F771" s="105" t="s">
        <v>3619</v>
      </c>
      <c r="H771" s="45" t="str">
        <f t="shared" si="33"/>
        <v>Teodora – Kučinac – OK Vihor – Ž55</v>
      </c>
      <c r="J771" s="45" t="str">
        <f t="shared" si="34"/>
        <v>Teodora – Kučinac – OK Vihor</v>
      </c>
      <c r="L771" s="45" t="str">
        <f t="shared" si="35"/>
        <v>Teodora – Kučinac</v>
      </c>
      <c r="N771" s="103"/>
      <c r="O771" s="104"/>
      <c r="P771" s="105"/>
    </row>
    <row r="772" spans="2:16" x14ac:dyDescent="0.25">
      <c r="B772" s="103">
        <v>1069</v>
      </c>
      <c r="C772" s="104" t="s">
        <v>2142</v>
      </c>
      <c r="D772" s="104" t="s">
        <v>793</v>
      </c>
      <c r="E772" s="104" t="s">
        <v>426</v>
      </c>
      <c r="F772" s="105" t="s">
        <v>1909</v>
      </c>
      <c r="H772" s="45" t="str">
        <f t="shared" si="33"/>
        <v>Boris – Kukec – OK Vihor – M45</v>
      </c>
      <c r="J772" s="45" t="str">
        <f t="shared" si="34"/>
        <v>Boris – Kukec – OK Vihor</v>
      </c>
      <c r="L772" s="45" t="str">
        <f t="shared" si="35"/>
        <v>Boris – Kukec</v>
      </c>
      <c r="N772" s="103"/>
      <c r="O772" s="104"/>
      <c r="P772" s="105"/>
    </row>
    <row r="773" spans="2:16" x14ac:dyDescent="0.25">
      <c r="B773" s="103">
        <v>1105</v>
      </c>
      <c r="C773" s="104" t="s">
        <v>794</v>
      </c>
      <c r="D773" s="104" t="s">
        <v>793</v>
      </c>
      <c r="E773" s="104" t="s">
        <v>426</v>
      </c>
      <c r="F773" s="105" t="s">
        <v>769</v>
      </c>
      <c r="H773" s="45" t="str">
        <f t="shared" si="33"/>
        <v>Jura – Kukec – OK Vihor – M20</v>
      </c>
      <c r="J773" s="45" t="str">
        <f t="shared" si="34"/>
        <v>Jura – Kukec – OK Vihor</v>
      </c>
      <c r="L773" s="45" t="str">
        <f t="shared" si="35"/>
        <v>Jura – Kukec</v>
      </c>
      <c r="N773" s="103"/>
      <c r="O773" s="104"/>
      <c r="P773" s="105"/>
    </row>
    <row r="774" spans="2:16" x14ac:dyDescent="0.25">
      <c r="B774" s="103">
        <v>1397</v>
      </c>
      <c r="C774" s="104" t="s">
        <v>4285</v>
      </c>
      <c r="D774" s="104" t="s">
        <v>793</v>
      </c>
      <c r="E774" s="104" t="s">
        <v>426</v>
      </c>
      <c r="F774" s="105" t="s">
        <v>3443</v>
      </c>
      <c r="H774" s="45" t="str">
        <f t="shared" si="33"/>
        <v>Karolina – Kukec – OK Vihor – Ž45</v>
      </c>
      <c r="J774" s="45" t="str">
        <f t="shared" si="34"/>
        <v>Karolina – Kukec – OK Vihor</v>
      </c>
      <c r="L774" s="45" t="str">
        <f t="shared" si="35"/>
        <v>Karolina – Kukec</v>
      </c>
      <c r="N774" s="103"/>
      <c r="O774" s="104"/>
      <c r="P774" s="105"/>
    </row>
    <row r="775" spans="2:16" x14ac:dyDescent="0.25">
      <c r="B775" s="103">
        <v>1512</v>
      </c>
      <c r="C775" s="104" t="s">
        <v>2825</v>
      </c>
      <c r="D775" s="104" t="s">
        <v>793</v>
      </c>
      <c r="E775" s="104" t="s">
        <v>426</v>
      </c>
      <c r="F775" s="105" t="s">
        <v>2928</v>
      </c>
      <c r="H775" s="45" t="str">
        <f t="shared" si="33"/>
        <v>Marta – Kukec – OK Vihor – Ž20</v>
      </c>
      <c r="J775" s="45" t="str">
        <f t="shared" si="34"/>
        <v>Marta – Kukec – OK Vihor</v>
      </c>
      <c r="L775" s="45" t="str">
        <f t="shared" si="35"/>
        <v>Marta – Kukec</v>
      </c>
      <c r="N775" s="103"/>
      <c r="O775" s="104"/>
      <c r="P775" s="105"/>
    </row>
    <row r="776" spans="2:16" x14ac:dyDescent="0.25">
      <c r="B776" s="103">
        <v>1708</v>
      </c>
      <c r="C776" s="104" t="s">
        <v>4286</v>
      </c>
      <c r="D776" s="104" t="s">
        <v>4287</v>
      </c>
      <c r="E776" s="104" t="s">
        <v>426</v>
      </c>
      <c r="F776" s="105"/>
      <c r="H776" s="45" t="str">
        <f t="shared" si="33"/>
        <v>Matea – Kulušić – OK Vihor</v>
      </c>
      <c r="J776" s="45" t="str">
        <f t="shared" si="34"/>
        <v>Matea – Kulušić – OK Vihor</v>
      </c>
      <c r="L776" s="45" t="str">
        <f t="shared" si="35"/>
        <v>Matea – Kulušić</v>
      </c>
      <c r="N776" s="103"/>
      <c r="O776" s="104"/>
      <c r="P776" s="105"/>
    </row>
    <row r="777" spans="2:16" x14ac:dyDescent="0.25">
      <c r="B777" s="103">
        <v>1375</v>
      </c>
      <c r="C777" s="104" t="s">
        <v>2595</v>
      </c>
      <c r="D777" s="104" t="s">
        <v>3422</v>
      </c>
      <c r="E777" s="104" t="s">
        <v>426</v>
      </c>
      <c r="F777" s="105" t="s">
        <v>3265</v>
      </c>
      <c r="H777" s="45" t="str">
        <f t="shared" si="33"/>
        <v>Maja – Kušt – OK Vihor – Ž35</v>
      </c>
      <c r="J777" s="45" t="str">
        <f t="shared" si="34"/>
        <v>Maja – Kušt – OK Vihor</v>
      </c>
      <c r="L777" s="45" t="str">
        <f t="shared" si="35"/>
        <v>Maja – Kušt</v>
      </c>
      <c r="N777" s="103"/>
      <c r="O777" s="104"/>
      <c r="P777" s="105"/>
    </row>
    <row r="778" spans="2:16" x14ac:dyDescent="0.25">
      <c r="B778" s="103">
        <v>1029</v>
      </c>
      <c r="C778" s="104" t="s">
        <v>2602</v>
      </c>
      <c r="D778" s="104" t="s">
        <v>4288</v>
      </c>
      <c r="E778" s="104" t="s">
        <v>426</v>
      </c>
      <c r="F778" s="105"/>
      <c r="H778" s="45" t="str">
        <f t="shared" si="33"/>
        <v>Petra – Laškarin – OK Vihor</v>
      </c>
      <c r="J778" s="45" t="str">
        <f t="shared" si="34"/>
        <v>Petra – Laškarin – OK Vihor</v>
      </c>
      <c r="L778" s="45" t="str">
        <f t="shared" si="35"/>
        <v>Petra – Laškarin</v>
      </c>
      <c r="N778" s="103"/>
      <c r="O778" s="104"/>
      <c r="P778" s="105"/>
    </row>
    <row r="779" spans="2:16" x14ac:dyDescent="0.25">
      <c r="B779" s="103">
        <v>1076</v>
      </c>
      <c r="C779" s="104" t="s">
        <v>4289</v>
      </c>
      <c r="D779" s="104" t="s">
        <v>4290</v>
      </c>
      <c r="E779" s="104" t="s">
        <v>426</v>
      </c>
      <c r="F779" s="105" t="s">
        <v>3443</v>
      </c>
      <c r="H779" s="45" t="str">
        <f t="shared" ref="H779:H842" si="36">IF(C779="","",C779) &amp; IF(D779="",""," – " &amp; D779) &amp; IF(E779="",""," – " &amp; E779) &amp; IF(F779="",""," – " &amp; F779)</f>
        <v>Nevena – Letica – OK Vihor – Ž45</v>
      </c>
      <c r="J779" s="45" t="str">
        <f t="shared" ref="J779:J842" si="37">IF(C779="","",C779) &amp; IF(D779="",""," – " &amp; D779) &amp; IF(E779="",""," – " &amp; E779)</f>
        <v>Nevena – Letica – OK Vihor</v>
      </c>
      <c r="L779" s="45" t="str">
        <f t="shared" ref="L779:L842" si="38">IF(C779="","",C779) &amp; IF(D779="",""," – " &amp; D779)</f>
        <v>Nevena – Letica</v>
      </c>
      <c r="N779" s="103"/>
      <c r="O779" s="104"/>
      <c r="P779" s="105"/>
    </row>
    <row r="780" spans="2:16" x14ac:dyDescent="0.25">
      <c r="B780" s="103">
        <v>1013</v>
      </c>
      <c r="C780" s="104" t="s">
        <v>1364</v>
      </c>
      <c r="D780" s="104" t="s">
        <v>4291</v>
      </c>
      <c r="E780" s="104" t="s">
        <v>426</v>
      </c>
      <c r="F780" s="105"/>
      <c r="H780" s="45" t="str">
        <f t="shared" si="36"/>
        <v>Domagoj – Levanić – OK Vihor</v>
      </c>
      <c r="J780" s="45" t="str">
        <f t="shared" si="37"/>
        <v>Domagoj – Levanić – OK Vihor</v>
      </c>
      <c r="L780" s="45" t="str">
        <f t="shared" si="38"/>
        <v>Domagoj – Levanić</v>
      </c>
      <c r="N780" s="103"/>
      <c r="O780" s="104"/>
      <c r="P780" s="105"/>
    </row>
    <row r="781" spans="2:16" x14ac:dyDescent="0.25">
      <c r="B781" s="103">
        <v>1034</v>
      </c>
      <c r="C781" s="104" t="s">
        <v>1029</v>
      </c>
      <c r="D781" s="104" t="s">
        <v>4292</v>
      </c>
      <c r="E781" s="104" t="s">
        <v>426</v>
      </c>
      <c r="F781" s="105"/>
      <c r="H781" s="45" t="str">
        <f t="shared" si="36"/>
        <v>Tomislav – Lopandić – OK Vihor</v>
      </c>
      <c r="J781" s="45" t="str">
        <f t="shared" si="37"/>
        <v>Tomislav – Lopandić – OK Vihor</v>
      </c>
      <c r="L781" s="45" t="str">
        <f t="shared" si="38"/>
        <v>Tomislav – Lopandić</v>
      </c>
      <c r="N781" s="103"/>
      <c r="O781" s="104"/>
      <c r="P781" s="105"/>
    </row>
    <row r="782" spans="2:16" x14ac:dyDescent="0.25">
      <c r="B782" s="103">
        <v>1080</v>
      </c>
      <c r="C782" s="104" t="s">
        <v>4293</v>
      </c>
      <c r="D782" s="104" t="s">
        <v>4294</v>
      </c>
      <c r="E782" s="104" t="s">
        <v>426</v>
      </c>
      <c r="F782" s="105" t="s">
        <v>3443</v>
      </c>
      <c r="H782" s="45" t="str">
        <f t="shared" si="36"/>
        <v>Darinka – Lovrec – OK Vihor – Ž45</v>
      </c>
      <c r="J782" s="45" t="str">
        <f t="shared" si="37"/>
        <v>Darinka – Lovrec – OK Vihor</v>
      </c>
      <c r="L782" s="45" t="str">
        <f t="shared" si="38"/>
        <v>Darinka – Lovrec</v>
      </c>
      <c r="N782" s="103"/>
      <c r="O782" s="104"/>
      <c r="P782" s="105"/>
    </row>
    <row r="783" spans="2:16" x14ac:dyDescent="0.25">
      <c r="B783" s="103">
        <v>1360</v>
      </c>
      <c r="C783" s="104" t="s">
        <v>2485</v>
      </c>
      <c r="D783" s="104" t="s">
        <v>4294</v>
      </c>
      <c r="E783" s="104" t="s">
        <v>426</v>
      </c>
      <c r="F783" s="105" t="s">
        <v>3001</v>
      </c>
      <c r="H783" s="45" t="str">
        <f t="shared" si="36"/>
        <v>Iva – Lovrec – OK Vihor – Ž21A</v>
      </c>
      <c r="J783" s="45" t="str">
        <f t="shared" si="37"/>
        <v>Iva – Lovrec – OK Vihor</v>
      </c>
      <c r="L783" s="45" t="str">
        <f t="shared" si="38"/>
        <v>Iva – Lovrec</v>
      </c>
      <c r="N783" s="103"/>
      <c r="O783" s="104"/>
      <c r="P783" s="105"/>
    </row>
    <row r="784" spans="2:16" x14ac:dyDescent="0.25">
      <c r="B784" s="103">
        <v>1532</v>
      </c>
      <c r="C784" s="104" t="s">
        <v>3773</v>
      </c>
      <c r="D784" s="104" t="s">
        <v>4294</v>
      </c>
      <c r="E784" s="104" t="s">
        <v>426</v>
      </c>
      <c r="F784" s="105" t="s">
        <v>3094</v>
      </c>
      <c r="H784" s="45" t="str">
        <f t="shared" si="36"/>
        <v>Mia – Lovrec – OK Vihor – Ž21B</v>
      </c>
      <c r="J784" s="45" t="str">
        <f t="shared" si="37"/>
        <v>Mia – Lovrec – OK Vihor</v>
      </c>
      <c r="L784" s="45" t="str">
        <f t="shared" si="38"/>
        <v>Mia – Lovrec</v>
      </c>
      <c r="N784" s="103"/>
      <c r="O784" s="104"/>
      <c r="P784" s="105"/>
    </row>
    <row r="785" spans="2:16" x14ac:dyDescent="0.25">
      <c r="B785" s="103">
        <v>1482</v>
      </c>
      <c r="C785" s="104" t="s">
        <v>2305</v>
      </c>
      <c r="D785" s="104" t="s">
        <v>4294</v>
      </c>
      <c r="E785" s="104" t="s">
        <v>426</v>
      </c>
      <c r="F785" s="105" t="s">
        <v>2195</v>
      </c>
      <c r="H785" s="45" t="str">
        <f t="shared" si="36"/>
        <v>Nenad – Lovrec – OK Vihor – M55</v>
      </c>
      <c r="J785" s="45" t="str">
        <f t="shared" si="37"/>
        <v>Nenad – Lovrec – OK Vihor</v>
      </c>
      <c r="L785" s="45" t="str">
        <f t="shared" si="38"/>
        <v>Nenad – Lovrec</v>
      </c>
      <c r="N785" s="103"/>
      <c r="O785" s="104"/>
      <c r="P785" s="105"/>
    </row>
    <row r="786" spans="2:16" x14ac:dyDescent="0.25">
      <c r="B786" s="103">
        <v>1897</v>
      </c>
      <c r="C786" s="104" t="s">
        <v>1454</v>
      </c>
      <c r="D786" s="104" t="s">
        <v>1453</v>
      </c>
      <c r="E786" s="104" t="s">
        <v>426</v>
      </c>
      <c r="F786" s="105" t="s">
        <v>1130</v>
      </c>
      <c r="H786" s="45" t="str">
        <f t="shared" si="36"/>
        <v>Franjo – Lozančić – OK Vihor – M21B</v>
      </c>
      <c r="J786" s="45" t="str">
        <f t="shared" si="37"/>
        <v>Franjo – Lozančić – OK Vihor</v>
      </c>
      <c r="L786" s="45" t="str">
        <f t="shared" si="38"/>
        <v>Franjo – Lozančić</v>
      </c>
      <c r="N786" s="103"/>
      <c r="O786" s="104"/>
      <c r="P786" s="105"/>
    </row>
    <row r="787" spans="2:16" x14ac:dyDescent="0.25">
      <c r="B787" s="103">
        <v>1898</v>
      </c>
      <c r="C787" s="104" t="s">
        <v>1497</v>
      </c>
      <c r="D787" s="104" t="s">
        <v>1496</v>
      </c>
      <c r="E787" s="104" t="s">
        <v>426</v>
      </c>
      <c r="F787" s="105" t="s">
        <v>1130</v>
      </c>
      <c r="H787" s="45" t="str">
        <f t="shared" si="36"/>
        <v>Nikola – Lucić – OK Vihor – M21B</v>
      </c>
      <c r="J787" s="45" t="str">
        <f t="shared" si="37"/>
        <v>Nikola – Lucić – OK Vihor</v>
      </c>
      <c r="L787" s="45" t="str">
        <f t="shared" si="38"/>
        <v>Nikola – Lucić</v>
      </c>
      <c r="N787" s="103"/>
      <c r="O787" s="104"/>
      <c r="P787" s="105"/>
    </row>
    <row r="788" spans="2:16" x14ac:dyDescent="0.25">
      <c r="B788" s="103">
        <v>1899</v>
      </c>
      <c r="C788" s="104" t="s">
        <v>438</v>
      </c>
      <c r="D788" s="104" t="s">
        <v>2615</v>
      </c>
      <c r="E788" s="104" t="s">
        <v>426</v>
      </c>
      <c r="F788" s="105" t="s">
        <v>1130</v>
      </c>
      <c r="H788" s="45" t="str">
        <f t="shared" si="36"/>
        <v>Ivan – Majnarić – OK Vihor – M21B</v>
      </c>
      <c r="J788" s="45" t="str">
        <f t="shared" si="37"/>
        <v>Ivan – Majnarić – OK Vihor</v>
      </c>
      <c r="L788" s="45" t="str">
        <f t="shared" si="38"/>
        <v>Ivan – Majnarić</v>
      </c>
      <c r="N788" s="103"/>
      <c r="O788" s="104"/>
      <c r="P788" s="105"/>
    </row>
    <row r="789" spans="2:16" x14ac:dyDescent="0.25">
      <c r="B789" s="103">
        <v>1390</v>
      </c>
      <c r="C789" s="104" t="s">
        <v>3982</v>
      </c>
      <c r="D789" s="104" t="s">
        <v>4295</v>
      </c>
      <c r="E789" s="104" t="s">
        <v>426</v>
      </c>
      <c r="F789" s="105" t="s">
        <v>3094</v>
      </c>
      <c r="H789" s="45" t="str">
        <f t="shared" si="36"/>
        <v>Lorena – Malec – OK Vihor – Ž21B</v>
      </c>
      <c r="J789" s="45" t="str">
        <f t="shared" si="37"/>
        <v>Lorena – Malec – OK Vihor</v>
      </c>
      <c r="L789" s="45" t="str">
        <f t="shared" si="38"/>
        <v>Lorena – Malec</v>
      </c>
      <c r="N789" s="103"/>
      <c r="O789" s="104"/>
      <c r="P789" s="105"/>
    </row>
    <row r="790" spans="2:16" x14ac:dyDescent="0.25">
      <c r="B790" s="103">
        <v>1900</v>
      </c>
      <c r="C790" s="104" t="s">
        <v>1336</v>
      </c>
      <c r="D790" s="104" t="s">
        <v>1234</v>
      </c>
      <c r="E790" s="104" t="s">
        <v>426</v>
      </c>
      <c r="F790" s="105" t="s">
        <v>1130</v>
      </c>
      <c r="H790" s="45" t="str">
        <f t="shared" si="36"/>
        <v>Dario – Malović – OK Vihor – M21B</v>
      </c>
      <c r="J790" s="45" t="str">
        <f t="shared" si="37"/>
        <v>Dario – Malović – OK Vihor</v>
      </c>
      <c r="L790" s="45" t="str">
        <f t="shared" si="38"/>
        <v>Dario – Malović</v>
      </c>
      <c r="N790" s="103"/>
      <c r="O790" s="104"/>
      <c r="P790" s="105"/>
    </row>
    <row r="791" spans="2:16" x14ac:dyDescent="0.25">
      <c r="B791" s="103">
        <v>1411</v>
      </c>
      <c r="C791" s="104" t="s">
        <v>3776</v>
      </c>
      <c r="D791" s="104" t="s">
        <v>420</v>
      </c>
      <c r="E791" s="104" t="s">
        <v>426</v>
      </c>
      <c r="F791" s="105" t="s">
        <v>364</v>
      </c>
      <c r="H791" s="45" t="str">
        <f t="shared" si="36"/>
        <v>Bruno – Mance – OK Vihor – M12</v>
      </c>
      <c r="J791" s="45" t="str">
        <f t="shared" si="37"/>
        <v>Bruno – Mance – OK Vihor</v>
      </c>
      <c r="L791" s="45" t="str">
        <f t="shared" si="38"/>
        <v>Bruno – Mance</v>
      </c>
      <c r="N791" s="103"/>
      <c r="O791" s="104"/>
      <c r="P791" s="105"/>
    </row>
    <row r="792" spans="2:16" x14ac:dyDescent="0.25">
      <c r="B792" s="103">
        <v>1353</v>
      </c>
      <c r="C792" s="104" t="s">
        <v>3060</v>
      </c>
      <c r="D792" s="104" t="s">
        <v>420</v>
      </c>
      <c r="E792" s="104" t="s">
        <v>426</v>
      </c>
      <c r="F792" s="105" t="s">
        <v>3094</v>
      </c>
      <c r="H792" s="45" t="str">
        <f t="shared" si="36"/>
        <v>Ines – Mance – OK Vihor – Ž21B</v>
      </c>
      <c r="J792" s="45" t="str">
        <f t="shared" si="37"/>
        <v>Ines – Mance – OK Vihor</v>
      </c>
      <c r="L792" s="45" t="str">
        <f t="shared" si="38"/>
        <v>Ines – Mance</v>
      </c>
      <c r="N792" s="103"/>
      <c r="O792" s="104"/>
      <c r="P792" s="105"/>
    </row>
    <row r="793" spans="2:16" x14ac:dyDescent="0.25">
      <c r="B793" s="103">
        <v>1207</v>
      </c>
      <c r="C793" s="104" t="s">
        <v>421</v>
      </c>
      <c r="D793" s="104" t="s">
        <v>420</v>
      </c>
      <c r="E793" s="104" t="s">
        <v>426</v>
      </c>
      <c r="F793" s="105" t="s">
        <v>364</v>
      </c>
      <c r="H793" s="45" t="str">
        <f t="shared" si="36"/>
        <v>Teo – Mance – OK Vihor – M12</v>
      </c>
      <c r="J793" s="45" t="str">
        <f t="shared" si="37"/>
        <v>Teo – Mance – OK Vihor</v>
      </c>
      <c r="L793" s="45" t="str">
        <f t="shared" si="38"/>
        <v>Teo – Mance</v>
      </c>
      <c r="N793" s="103"/>
      <c r="O793" s="104"/>
      <c r="P793" s="105"/>
    </row>
    <row r="794" spans="2:16" x14ac:dyDescent="0.25">
      <c r="B794" s="103">
        <v>1152</v>
      </c>
      <c r="C794" s="104" t="s">
        <v>4296</v>
      </c>
      <c r="D794" s="104" t="s">
        <v>4297</v>
      </c>
      <c r="E794" s="104" t="s">
        <v>426</v>
      </c>
      <c r="F794" s="105" t="s">
        <v>3443</v>
      </c>
      <c r="H794" s="45" t="str">
        <f t="shared" si="36"/>
        <v>Jasna – Mandac – OK Vihor – Ž45</v>
      </c>
      <c r="J794" s="45" t="str">
        <f t="shared" si="37"/>
        <v>Jasna – Mandac – OK Vihor</v>
      </c>
      <c r="L794" s="45" t="str">
        <f t="shared" si="38"/>
        <v>Jasna – Mandac</v>
      </c>
      <c r="N794" s="103"/>
      <c r="O794" s="104"/>
      <c r="P794" s="105"/>
    </row>
    <row r="795" spans="2:16" x14ac:dyDescent="0.25">
      <c r="B795" s="103">
        <v>1018</v>
      </c>
      <c r="C795" s="104" t="s">
        <v>2912</v>
      </c>
      <c r="D795" s="104" t="s">
        <v>4298</v>
      </c>
      <c r="E795" s="104" t="s">
        <v>426</v>
      </c>
      <c r="F795" s="105"/>
      <c r="H795" s="45" t="str">
        <f t="shared" si="36"/>
        <v>Jelena – Manzin Ištvanović – OK Vihor</v>
      </c>
      <c r="J795" s="45" t="str">
        <f t="shared" si="37"/>
        <v>Jelena – Manzin Ištvanović – OK Vihor</v>
      </c>
      <c r="L795" s="45" t="str">
        <f t="shared" si="38"/>
        <v>Jelena – Manzin Ištvanović</v>
      </c>
      <c r="N795" s="103"/>
      <c r="O795" s="104"/>
      <c r="P795" s="105"/>
    </row>
    <row r="796" spans="2:16" x14ac:dyDescent="0.25">
      <c r="B796" s="103">
        <v>1410</v>
      </c>
      <c r="C796" s="104" t="s">
        <v>2882</v>
      </c>
      <c r="D796" s="104" t="s">
        <v>2083</v>
      </c>
      <c r="E796" s="104" t="s">
        <v>426</v>
      </c>
      <c r="F796" s="105" t="s">
        <v>2766</v>
      </c>
      <c r="H796" s="45" t="str">
        <f t="shared" si="36"/>
        <v>Ira – Mareković – OK Vihor – Ž16</v>
      </c>
      <c r="J796" s="45" t="str">
        <f t="shared" si="37"/>
        <v>Ira – Mareković – OK Vihor</v>
      </c>
      <c r="L796" s="45" t="str">
        <f t="shared" si="38"/>
        <v>Ira – Mareković</v>
      </c>
      <c r="N796" s="103"/>
      <c r="O796" s="104"/>
      <c r="P796" s="105"/>
    </row>
    <row r="797" spans="2:16" x14ac:dyDescent="0.25">
      <c r="B797" s="103">
        <v>1183</v>
      </c>
      <c r="C797" s="104" t="s">
        <v>1291</v>
      </c>
      <c r="D797" s="104" t="s">
        <v>2083</v>
      </c>
      <c r="E797" s="104" t="s">
        <v>426</v>
      </c>
      <c r="F797" s="105" t="s">
        <v>1909</v>
      </c>
      <c r="H797" s="45" t="str">
        <f t="shared" si="36"/>
        <v>Siniša – Mareković – OK Vihor – M45</v>
      </c>
      <c r="J797" s="45" t="str">
        <f t="shared" si="37"/>
        <v>Siniša – Mareković – OK Vihor</v>
      </c>
      <c r="L797" s="45" t="str">
        <f t="shared" si="38"/>
        <v>Siniša – Mareković</v>
      </c>
      <c r="N797" s="103"/>
      <c r="O797" s="104"/>
      <c r="P797" s="105"/>
    </row>
    <row r="798" spans="2:16" x14ac:dyDescent="0.25">
      <c r="B798" s="103">
        <v>1408</v>
      </c>
      <c r="C798" s="104" t="s">
        <v>472</v>
      </c>
      <c r="D798" s="104" t="s">
        <v>4299</v>
      </c>
      <c r="E798" s="104" t="s">
        <v>426</v>
      </c>
      <c r="F798" s="105" t="s">
        <v>487</v>
      </c>
      <c r="H798" s="45" t="str">
        <f t="shared" si="36"/>
        <v>Filip – Marendić – OK Vihor – M14</v>
      </c>
      <c r="J798" s="45" t="str">
        <f t="shared" si="37"/>
        <v>Filip – Marendić – OK Vihor</v>
      </c>
      <c r="L798" s="45" t="str">
        <f t="shared" si="38"/>
        <v>Filip – Marendić</v>
      </c>
      <c r="N798" s="103"/>
      <c r="O798" s="104"/>
      <c r="P798" s="105"/>
    </row>
    <row r="799" spans="2:16" x14ac:dyDescent="0.25">
      <c r="B799" s="103">
        <v>1234</v>
      </c>
      <c r="C799" s="104" t="s">
        <v>1029</v>
      </c>
      <c r="D799" s="104" t="s">
        <v>4300</v>
      </c>
      <c r="E799" s="104" t="s">
        <v>426</v>
      </c>
      <c r="F799" s="105" t="s">
        <v>1909</v>
      </c>
      <c r="H799" s="45" t="str">
        <f t="shared" si="36"/>
        <v>Tomislav – Marjanović – OK Vihor – M45</v>
      </c>
      <c r="J799" s="45" t="str">
        <f t="shared" si="37"/>
        <v>Tomislav – Marjanović – OK Vihor</v>
      </c>
      <c r="L799" s="45" t="str">
        <f t="shared" si="38"/>
        <v>Tomislav – Marjanović</v>
      </c>
      <c r="N799" s="103"/>
      <c r="O799" s="104"/>
      <c r="P799" s="105"/>
    </row>
    <row r="800" spans="2:16" x14ac:dyDescent="0.25">
      <c r="B800" s="103">
        <v>1901</v>
      </c>
      <c r="C800" s="104" t="s">
        <v>2448</v>
      </c>
      <c r="D800" s="104" t="s">
        <v>1052</v>
      </c>
      <c r="E800" s="104" t="s">
        <v>426</v>
      </c>
      <c r="F800" s="105" t="s">
        <v>3094</v>
      </c>
      <c r="H800" s="45" t="str">
        <f t="shared" si="36"/>
        <v>Ivana – Marković – OK Vihor – Ž21B</v>
      </c>
      <c r="J800" s="45" t="str">
        <f t="shared" si="37"/>
        <v>Ivana – Marković – OK Vihor</v>
      </c>
      <c r="L800" s="45" t="str">
        <f t="shared" si="38"/>
        <v>Ivana – Marković</v>
      </c>
      <c r="N800" s="103"/>
      <c r="O800" s="104"/>
      <c r="P800" s="105"/>
    </row>
    <row r="801" spans="2:16" x14ac:dyDescent="0.25">
      <c r="B801" s="103">
        <v>1190</v>
      </c>
      <c r="C801" s="104" t="s">
        <v>2437</v>
      </c>
      <c r="D801" s="104" t="s">
        <v>3248</v>
      </c>
      <c r="E801" s="104" t="s">
        <v>426</v>
      </c>
      <c r="F801" s="105" t="s">
        <v>3094</v>
      </c>
      <c r="H801" s="45" t="str">
        <f t="shared" si="36"/>
        <v>Ana – Markulin – OK Vihor – Ž21B</v>
      </c>
      <c r="J801" s="45" t="str">
        <f t="shared" si="37"/>
        <v>Ana – Markulin – OK Vihor</v>
      </c>
      <c r="L801" s="45" t="str">
        <f t="shared" si="38"/>
        <v>Ana – Markulin</v>
      </c>
      <c r="N801" s="103"/>
      <c r="O801" s="104"/>
      <c r="P801" s="105"/>
    </row>
    <row r="802" spans="2:16" x14ac:dyDescent="0.25">
      <c r="B802" s="103">
        <v>1016</v>
      </c>
      <c r="C802" s="104" t="s">
        <v>741</v>
      </c>
      <c r="D802" s="104" t="s">
        <v>4301</v>
      </c>
      <c r="E802" s="104" t="s">
        <v>426</v>
      </c>
      <c r="F802" s="105"/>
      <c r="H802" s="45" t="str">
        <f t="shared" si="36"/>
        <v>Goran – Marović – OK Vihor</v>
      </c>
      <c r="J802" s="45" t="str">
        <f t="shared" si="37"/>
        <v>Goran – Marović – OK Vihor</v>
      </c>
      <c r="L802" s="45" t="str">
        <f t="shared" si="38"/>
        <v>Goran – Marović</v>
      </c>
      <c r="N802" s="103"/>
      <c r="O802" s="104"/>
      <c r="P802" s="105"/>
    </row>
    <row r="803" spans="2:16" x14ac:dyDescent="0.25">
      <c r="B803" s="103">
        <v>1942</v>
      </c>
      <c r="C803" s="104" t="s">
        <v>1423</v>
      </c>
      <c r="D803" s="104" t="s">
        <v>1422</v>
      </c>
      <c r="E803" s="104" t="s">
        <v>426</v>
      </c>
      <c r="F803" s="105" t="s">
        <v>1130</v>
      </c>
      <c r="H803" s="45" t="str">
        <f t="shared" si="36"/>
        <v>Dino – Martinović – OK Vihor – M21B</v>
      </c>
      <c r="J803" s="45" t="str">
        <f t="shared" si="37"/>
        <v>Dino – Martinović – OK Vihor</v>
      </c>
      <c r="L803" s="45" t="str">
        <f t="shared" si="38"/>
        <v>Dino – Martinović</v>
      </c>
      <c r="N803" s="103"/>
      <c r="O803" s="104"/>
      <c r="P803" s="105"/>
    </row>
    <row r="804" spans="2:16" x14ac:dyDescent="0.25">
      <c r="B804" s="103">
        <v>1803</v>
      </c>
      <c r="C804" s="104" t="s">
        <v>3767</v>
      </c>
      <c r="D804" s="104" t="s">
        <v>4302</v>
      </c>
      <c r="E804" s="104" t="s">
        <v>426</v>
      </c>
      <c r="F804" s="105"/>
      <c r="H804" s="45" t="str">
        <f t="shared" si="36"/>
        <v>Šimun – Matešić – OK Vihor</v>
      </c>
      <c r="J804" s="45" t="str">
        <f t="shared" si="37"/>
        <v>Šimun – Matešić – OK Vihor</v>
      </c>
      <c r="L804" s="45" t="str">
        <f t="shared" si="38"/>
        <v>Šimun – Matešić</v>
      </c>
      <c r="N804" s="103"/>
      <c r="O804" s="104"/>
      <c r="P804" s="105"/>
    </row>
    <row r="805" spans="2:16" x14ac:dyDescent="0.25">
      <c r="B805" s="103">
        <v>1271</v>
      </c>
      <c r="C805" s="104" t="s">
        <v>1006</v>
      </c>
      <c r="D805" s="104" t="s">
        <v>2314</v>
      </c>
      <c r="E805" s="104" t="s">
        <v>426</v>
      </c>
      <c r="F805" s="105" t="s">
        <v>2195</v>
      </c>
      <c r="H805" s="45" t="str">
        <f t="shared" si="36"/>
        <v>Josip – Matijašić – OK Vihor – M55</v>
      </c>
      <c r="J805" s="45" t="str">
        <f t="shared" si="37"/>
        <v>Josip – Matijašić – OK Vihor</v>
      </c>
      <c r="L805" s="45" t="str">
        <f t="shared" si="38"/>
        <v>Josip – Matijašić</v>
      </c>
      <c r="N805" s="103"/>
      <c r="O805" s="104"/>
      <c r="P805" s="105"/>
    </row>
    <row r="806" spans="2:16" x14ac:dyDescent="0.25">
      <c r="B806" s="103">
        <v>1428</v>
      </c>
      <c r="C806" s="104" t="s">
        <v>2142</v>
      </c>
      <c r="D806" s="104" t="s">
        <v>542</v>
      </c>
      <c r="E806" s="104" t="s">
        <v>426</v>
      </c>
      <c r="F806" s="105" t="s">
        <v>1909</v>
      </c>
      <c r="H806" s="45" t="str">
        <f t="shared" si="36"/>
        <v>Boris – Mazić – OK Vihor – M45</v>
      </c>
      <c r="J806" s="45" t="str">
        <f t="shared" si="37"/>
        <v>Boris – Mazić – OK Vihor</v>
      </c>
      <c r="L806" s="45" t="str">
        <f t="shared" si="38"/>
        <v>Boris – Mazić</v>
      </c>
      <c r="N806" s="103"/>
      <c r="O806" s="104"/>
      <c r="P806" s="105"/>
    </row>
    <row r="807" spans="2:16" x14ac:dyDescent="0.25">
      <c r="B807" s="103">
        <v>1251</v>
      </c>
      <c r="C807" s="104" t="s">
        <v>4303</v>
      </c>
      <c r="D807" s="104" t="s">
        <v>542</v>
      </c>
      <c r="E807" s="104" t="s">
        <v>426</v>
      </c>
      <c r="F807" s="105" t="s">
        <v>364</v>
      </c>
      <c r="H807" s="45" t="str">
        <f t="shared" si="36"/>
        <v>Lovre – Mazić – OK Vihor – M12</v>
      </c>
      <c r="J807" s="45" t="str">
        <f t="shared" si="37"/>
        <v>Lovre – Mazić – OK Vihor</v>
      </c>
      <c r="L807" s="45" t="str">
        <f t="shared" si="38"/>
        <v>Lovre – Mazić</v>
      </c>
      <c r="N807" s="103"/>
      <c r="O807" s="104"/>
      <c r="P807" s="105"/>
    </row>
    <row r="808" spans="2:16" x14ac:dyDescent="0.25">
      <c r="B808" s="103">
        <v>1057</v>
      </c>
      <c r="C808" s="104" t="s">
        <v>543</v>
      </c>
      <c r="D808" s="104" t="s">
        <v>542</v>
      </c>
      <c r="E808" s="104" t="s">
        <v>426</v>
      </c>
      <c r="F808" s="105" t="s">
        <v>487</v>
      </c>
      <c r="H808" s="45" t="str">
        <f t="shared" si="36"/>
        <v>Mikula – Mazić – OK Vihor – M14</v>
      </c>
      <c r="J808" s="45" t="str">
        <f t="shared" si="37"/>
        <v>Mikula – Mazić – OK Vihor</v>
      </c>
      <c r="L808" s="45" t="str">
        <f t="shared" si="38"/>
        <v>Mikula – Mazić</v>
      </c>
      <c r="N808" s="103"/>
      <c r="O808" s="104"/>
      <c r="P808" s="105"/>
    </row>
    <row r="809" spans="2:16" x14ac:dyDescent="0.25">
      <c r="B809" s="103">
        <v>1221</v>
      </c>
      <c r="C809" s="104" t="s">
        <v>4304</v>
      </c>
      <c r="D809" s="104" t="s">
        <v>542</v>
      </c>
      <c r="E809" s="104" t="s">
        <v>426</v>
      </c>
      <c r="F809" s="105" t="s">
        <v>364</v>
      </c>
      <c r="H809" s="45" t="str">
        <f t="shared" si="36"/>
        <v>Vjeko – Mazić – OK Vihor – M12</v>
      </c>
      <c r="J809" s="45" t="str">
        <f t="shared" si="37"/>
        <v>Vjeko – Mazić – OK Vihor</v>
      </c>
      <c r="L809" s="45" t="str">
        <f t="shared" si="38"/>
        <v>Vjeko – Mazić</v>
      </c>
      <c r="N809" s="103"/>
      <c r="O809" s="104"/>
      <c r="P809" s="105"/>
    </row>
    <row r="810" spans="2:16" x14ac:dyDescent="0.25">
      <c r="B810" s="103">
        <v>1709</v>
      </c>
      <c r="C810" s="104" t="s">
        <v>2437</v>
      </c>
      <c r="D810" s="104" t="s">
        <v>4305</v>
      </c>
      <c r="E810" s="104" t="s">
        <v>426</v>
      </c>
      <c r="F810" s="105"/>
      <c r="H810" s="45" t="str">
        <f t="shared" si="36"/>
        <v>Ana – Medved – OK Vihor</v>
      </c>
      <c r="J810" s="45" t="str">
        <f t="shared" si="37"/>
        <v>Ana – Medved – OK Vihor</v>
      </c>
      <c r="L810" s="45" t="str">
        <f t="shared" si="38"/>
        <v>Ana – Medved</v>
      </c>
      <c r="N810" s="103"/>
      <c r="O810" s="104"/>
      <c r="P810" s="105"/>
    </row>
    <row r="811" spans="2:16" x14ac:dyDescent="0.25">
      <c r="B811" s="103">
        <v>1548</v>
      </c>
      <c r="C811" s="104" t="s">
        <v>2376</v>
      </c>
      <c r="D811" s="104" t="s">
        <v>2375</v>
      </c>
      <c r="E811" s="104" t="s">
        <v>426</v>
      </c>
      <c r="F811" s="105" t="s">
        <v>2367</v>
      </c>
      <c r="H811" s="45" t="str">
        <f t="shared" si="36"/>
        <v>Ivica – Mesić – OK Vihor – M65</v>
      </c>
      <c r="J811" s="45" t="str">
        <f t="shared" si="37"/>
        <v>Ivica – Mesić – OK Vihor</v>
      </c>
      <c r="L811" s="45" t="str">
        <f t="shared" si="38"/>
        <v>Ivica – Mesić</v>
      </c>
      <c r="N811" s="103"/>
      <c r="O811" s="104"/>
      <c r="P811" s="105"/>
    </row>
    <row r="812" spans="2:16" x14ac:dyDescent="0.25">
      <c r="B812" s="103">
        <v>1136</v>
      </c>
      <c r="C812" s="104" t="s">
        <v>2612</v>
      </c>
      <c r="D812" s="104" t="s">
        <v>2375</v>
      </c>
      <c r="E812" s="104" t="s">
        <v>426</v>
      </c>
      <c r="F812" s="105" t="s">
        <v>3094</v>
      </c>
      <c r="H812" s="45" t="str">
        <f t="shared" si="36"/>
        <v>Maša – Mesić – OK Vihor – Ž21B</v>
      </c>
      <c r="J812" s="45" t="str">
        <f t="shared" si="37"/>
        <v>Maša – Mesić – OK Vihor</v>
      </c>
      <c r="L812" s="45" t="str">
        <f t="shared" si="38"/>
        <v>Maša – Mesić</v>
      </c>
      <c r="N812" s="103"/>
      <c r="O812" s="104"/>
      <c r="P812" s="105"/>
    </row>
    <row r="813" spans="2:16" x14ac:dyDescent="0.25">
      <c r="B813" s="103">
        <v>1167</v>
      </c>
      <c r="C813" s="104" t="s">
        <v>920</v>
      </c>
      <c r="D813" s="104" t="s">
        <v>2375</v>
      </c>
      <c r="E813" s="104" t="s">
        <v>426</v>
      </c>
      <c r="F813" s="105" t="s">
        <v>1130</v>
      </c>
      <c r="H813" s="45" t="str">
        <f t="shared" si="36"/>
        <v>Matija – Mesić – OK Vihor – M21B</v>
      </c>
      <c r="J813" s="45" t="str">
        <f t="shared" si="37"/>
        <v>Matija – Mesić – OK Vihor</v>
      </c>
      <c r="L813" s="45" t="str">
        <f t="shared" si="38"/>
        <v>Matija – Mesić</v>
      </c>
      <c r="N813" s="103"/>
      <c r="O813" s="104"/>
      <c r="P813" s="105"/>
    </row>
    <row r="814" spans="2:16" x14ac:dyDescent="0.25">
      <c r="B814" s="103">
        <v>1710</v>
      </c>
      <c r="C814" s="104" t="s">
        <v>1968</v>
      </c>
      <c r="D814" s="104" t="s">
        <v>2304</v>
      </c>
      <c r="E814" s="104" t="s">
        <v>426</v>
      </c>
      <c r="F814" s="105"/>
      <c r="H814" s="45" t="str">
        <f t="shared" si="36"/>
        <v>Bojan – Mihaljević – OK Vihor</v>
      </c>
      <c r="J814" s="45" t="str">
        <f t="shared" si="37"/>
        <v>Bojan – Mihaljević – OK Vihor</v>
      </c>
      <c r="L814" s="45" t="str">
        <f t="shared" si="38"/>
        <v>Bojan – Mihaljević</v>
      </c>
      <c r="N814" s="103"/>
      <c r="O814" s="104"/>
      <c r="P814" s="105"/>
    </row>
    <row r="815" spans="2:16" x14ac:dyDescent="0.25">
      <c r="B815" s="103">
        <v>1533</v>
      </c>
      <c r="C815" s="104" t="s">
        <v>2305</v>
      </c>
      <c r="D815" s="104" t="s">
        <v>2304</v>
      </c>
      <c r="E815" s="104" t="s">
        <v>426</v>
      </c>
      <c r="F815" s="105" t="s">
        <v>2195</v>
      </c>
      <c r="H815" s="45" t="str">
        <f t="shared" si="36"/>
        <v>Nenad – Mihaljević – OK Vihor – M55</v>
      </c>
      <c r="J815" s="45" t="str">
        <f t="shared" si="37"/>
        <v>Nenad – Mihaljević – OK Vihor</v>
      </c>
      <c r="L815" s="45" t="str">
        <f t="shared" si="38"/>
        <v>Nenad – Mihaljević</v>
      </c>
      <c r="N815" s="103"/>
      <c r="O815" s="104"/>
      <c r="P815" s="105"/>
    </row>
    <row r="816" spans="2:16" x14ac:dyDescent="0.25">
      <c r="B816" s="103">
        <v>1422</v>
      </c>
      <c r="C816" s="104" t="s">
        <v>1029</v>
      </c>
      <c r="D816" s="104" t="s">
        <v>4306</v>
      </c>
      <c r="E816" s="104" t="s">
        <v>426</v>
      </c>
      <c r="F816" s="105" t="s">
        <v>769</v>
      </c>
      <c r="H816" s="45" t="str">
        <f t="shared" si="36"/>
        <v>Tomislav – Mikić – OK Vihor – M20</v>
      </c>
      <c r="J816" s="45" t="str">
        <f t="shared" si="37"/>
        <v>Tomislav – Mikić – OK Vihor</v>
      </c>
      <c r="L816" s="45" t="str">
        <f t="shared" si="38"/>
        <v>Tomislav – Mikić</v>
      </c>
      <c r="N816" s="103"/>
      <c r="O816" s="104"/>
      <c r="P816" s="105"/>
    </row>
    <row r="817" spans="2:16" x14ac:dyDescent="0.25">
      <c r="B817" s="103">
        <v>1460</v>
      </c>
      <c r="C817" s="104" t="s">
        <v>3231</v>
      </c>
      <c r="D817" s="104" t="s">
        <v>3230</v>
      </c>
      <c r="E817" s="104" t="s">
        <v>426</v>
      </c>
      <c r="F817" s="105" t="s">
        <v>3094</v>
      </c>
      <c r="H817" s="45" t="str">
        <f t="shared" si="36"/>
        <v>Aleksandra – Miličević – OK Vihor – Ž21B</v>
      </c>
      <c r="J817" s="45" t="str">
        <f t="shared" si="37"/>
        <v>Aleksandra – Miličević – OK Vihor</v>
      </c>
      <c r="L817" s="45" t="str">
        <f t="shared" si="38"/>
        <v>Aleksandra – Miličević</v>
      </c>
      <c r="N817" s="103"/>
      <c r="O817" s="104"/>
      <c r="P817" s="105"/>
    </row>
    <row r="818" spans="2:16" x14ac:dyDescent="0.25">
      <c r="B818" s="103">
        <v>1065</v>
      </c>
      <c r="C818" s="104" t="s">
        <v>3262</v>
      </c>
      <c r="D818" s="104" t="s">
        <v>3857</v>
      </c>
      <c r="E818" s="104" t="s">
        <v>426</v>
      </c>
      <c r="F818" s="105" t="s">
        <v>3443</v>
      </c>
      <c r="H818" s="45" t="str">
        <f t="shared" si="36"/>
        <v>Željka – Miljković – OK Vihor – Ž45</v>
      </c>
      <c r="J818" s="45" t="str">
        <f t="shared" si="37"/>
        <v>Željka – Miljković – OK Vihor</v>
      </c>
      <c r="L818" s="45" t="str">
        <f t="shared" si="38"/>
        <v>Željka – Miljković</v>
      </c>
      <c r="N818" s="103"/>
      <c r="O818" s="109"/>
      <c r="P818" s="105"/>
    </row>
    <row r="819" spans="2:16" x14ac:dyDescent="0.25">
      <c r="B819" s="103">
        <v>1239</v>
      </c>
      <c r="C819" s="104" t="s">
        <v>1483</v>
      </c>
      <c r="D819" s="104" t="s">
        <v>4091</v>
      </c>
      <c r="E819" s="104" t="s">
        <v>426</v>
      </c>
      <c r="F819" s="105" t="s">
        <v>364</v>
      </c>
      <c r="H819" s="45" t="str">
        <f t="shared" si="36"/>
        <v>Hrvoje – Mirković – OK Vihor – M12</v>
      </c>
      <c r="J819" s="45" t="str">
        <f t="shared" si="37"/>
        <v>Hrvoje – Mirković – OK Vihor</v>
      </c>
      <c r="L819" s="45" t="str">
        <f t="shared" si="38"/>
        <v>Hrvoje – Mirković</v>
      </c>
      <c r="N819" s="103"/>
      <c r="O819" s="104"/>
      <c r="P819" s="105"/>
    </row>
    <row r="820" spans="2:16" x14ac:dyDescent="0.25">
      <c r="B820" s="103">
        <v>1877</v>
      </c>
      <c r="C820" s="104" t="s">
        <v>2448</v>
      </c>
      <c r="D820" s="104" t="s">
        <v>4091</v>
      </c>
      <c r="E820" s="104" t="s">
        <v>426</v>
      </c>
      <c r="F820" s="105" t="s">
        <v>3094</v>
      </c>
      <c r="H820" s="45" t="str">
        <f t="shared" si="36"/>
        <v>Ivana – Mirković – OK Vihor – Ž21B</v>
      </c>
      <c r="J820" s="45" t="str">
        <f t="shared" si="37"/>
        <v>Ivana – Mirković – OK Vihor</v>
      </c>
      <c r="L820" s="45" t="str">
        <f t="shared" si="38"/>
        <v>Ivana – Mirković</v>
      </c>
      <c r="N820" s="103"/>
      <c r="O820" s="104"/>
      <c r="P820" s="105"/>
    </row>
    <row r="821" spans="2:16" x14ac:dyDescent="0.25">
      <c r="B821" s="103">
        <v>1224</v>
      </c>
      <c r="C821" s="104" t="s">
        <v>1980</v>
      </c>
      <c r="D821" s="104" t="s">
        <v>4091</v>
      </c>
      <c r="E821" s="104" t="s">
        <v>426</v>
      </c>
      <c r="F821" s="105" t="s">
        <v>1909</v>
      </c>
      <c r="H821" s="45" t="str">
        <f t="shared" si="36"/>
        <v>Marijan – Mirković – OK Vihor – M45</v>
      </c>
      <c r="J821" s="45" t="str">
        <f t="shared" si="37"/>
        <v>Marijan – Mirković – OK Vihor</v>
      </c>
      <c r="L821" s="45" t="str">
        <f t="shared" si="38"/>
        <v>Marijan – Mirković</v>
      </c>
      <c r="N821" s="103"/>
      <c r="O821" s="104"/>
      <c r="P821" s="105"/>
    </row>
    <row r="822" spans="2:16" x14ac:dyDescent="0.25">
      <c r="B822" s="103">
        <v>1876</v>
      </c>
      <c r="C822" s="104" t="s">
        <v>3783</v>
      </c>
      <c r="D822" s="104" t="s">
        <v>4091</v>
      </c>
      <c r="E822" s="104" t="s">
        <v>426</v>
      </c>
      <c r="F822" s="105" t="s">
        <v>364</v>
      </c>
      <c r="H822" s="45" t="str">
        <f t="shared" si="36"/>
        <v>Mislav – Mirković – OK Vihor – M12</v>
      </c>
      <c r="J822" s="45" t="str">
        <f t="shared" si="37"/>
        <v>Mislav – Mirković – OK Vihor</v>
      </c>
      <c r="L822" s="45" t="str">
        <f t="shared" si="38"/>
        <v>Mislav – Mirković</v>
      </c>
      <c r="N822" s="103"/>
      <c r="O822" s="104"/>
      <c r="P822" s="105"/>
    </row>
    <row r="823" spans="2:16" x14ac:dyDescent="0.25">
      <c r="B823" s="103">
        <v>1395</v>
      </c>
      <c r="C823" s="104" t="s">
        <v>3801</v>
      </c>
      <c r="D823" s="104" t="s">
        <v>4091</v>
      </c>
      <c r="E823" s="104" t="s">
        <v>426</v>
      </c>
      <c r="F823" s="105" t="s">
        <v>652</v>
      </c>
      <c r="H823" s="45" t="str">
        <f t="shared" si="36"/>
        <v>Zvonimir – Mirković – OK Vihor – M16</v>
      </c>
      <c r="J823" s="45" t="str">
        <f t="shared" si="37"/>
        <v>Zvonimir – Mirković – OK Vihor</v>
      </c>
      <c r="L823" s="45" t="str">
        <f t="shared" si="38"/>
        <v>Zvonimir – Mirković</v>
      </c>
      <c r="N823" s="103"/>
      <c r="O823" s="104"/>
      <c r="P823" s="105"/>
    </row>
    <row r="824" spans="2:16" x14ac:dyDescent="0.25">
      <c r="B824" s="103">
        <v>1902</v>
      </c>
      <c r="C824" s="104" t="s">
        <v>2612</v>
      </c>
      <c r="D824" s="104" t="s">
        <v>2611</v>
      </c>
      <c r="E824" s="104" t="s">
        <v>426</v>
      </c>
      <c r="F824" s="105" t="s">
        <v>3094</v>
      </c>
      <c r="H824" s="45" t="str">
        <f t="shared" si="36"/>
        <v>Maša – Miščević – OK Vihor – Ž21B</v>
      </c>
      <c r="J824" s="45" t="str">
        <f t="shared" si="37"/>
        <v>Maša – Miščević – OK Vihor</v>
      </c>
      <c r="L824" s="45" t="str">
        <f t="shared" si="38"/>
        <v>Maša – Miščević</v>
      </c>
      <c r="N824" s="103"/>
      <c r="O824" s="104"/>
      <c r="P824" s="105"/>
    </row>
    <row r="825" spans="2:16" x14ac:dyDescent="0.25">
      <c r="B825" s="103">
        <v>1328</v>
      </c>
      <c r="C825" s="104" t="s">
        <v>4307</v>
      </c>
      <c r="D825" s="104" t="s">
        <v>4020</v>
      </c>
      <c r="E825" s="104" t="s">
        <v>426</v>
      </c>
      <c r="F825" s="105" t="s">
        <v>1130</v>
      </c>
      <c r="H825" s="45" t="str">
        <f t="shared" si="36"/>
        <v>Gordan – Mlinarić – OK Vihor – M21B</v>
      </c>
      <c r="J825" s="45" t="str">
        <f t="shared" si="37"/>
        <v>Gordan – Mlinarić – OK Vihor</v>
      </c>
      <c r="L825" s="45" t="str">
        <f t="shared" si="38"/>
        <v>Gordan – Mlinarić</v>
      </c>
      <c r="N825" s="103"/>
      <c r="O825" s="104"/>
      <c r="P825" s="105"/>
    </row>
    <row r="826" spans="2:16" x14ac:dyDescent="0.25">
      <c r="B826" s="103">
        <v>1804</v>
      </c>
      <c r="C826" s="104" t="s">
        <v>4308</v>
      </c>
      <c r="D826" s="104" t="s">
        <v>4309</v>
      </c>
      <c r="E826" s="104" t="s">
        <v>426</v>
      </c>
      <c r="F826" s="105"/>
      <c r="H826" s="45" t="str">
        <f t="shared" si="36"/>
        <v>Lucas – Nežić – OK Vihor</v>
      </c>
      <c r="J826" s="45" t="str">
        <f t="shared" si="37"/>
        <v>Lucas – Nežić – OK Vihor</v>
      </c>
      <c r="L826" s="45" t="str">
        <f t="shared" si="38"/>
        <v>Lucas – Nežić</v>
      </c>
      <c r="N826" s="103"/>
      <c r="O826" s="104"/>
      <c r="P826" s="105"/>
    </row>
    <row r="827" spans="2:16" x14ac:dyDescent="0.25">
      <c r="B827" s="103">
        <v>1445</v>
      </c>
      <c r="C827" s="104" t="s">
        <v>3450</v>
      </c>
      <c r="D827" s="104" t="s">
        <v>573</v>
      </c>
      <c r="E827" s="104" t="s">
        <v>426</v>
      </c>
      <c r="F827" s="105" t="s">
        <v>3443</v>
      </c>
      <c r="H827" s="45" t="str">
        <f t="shared" si="36"/>
        <v>Bojana – Nikolić – OK Vihor – Ž45</v>
      </c>
      <c r="J827" s="45" t="str">
        <f t="shared" si="37"/>
        <v>Bojana – Nikolić – OK Vihor</v>
      </c>
      <c r="L827" s="45" t="str">
        <f t="shared" si="38"/>
        <v>Bojana – Nikolić</v>
      </c>
      <c r="N827" s="103"/>
      <c r="O827" s="104"/>
      <c r="P827" s="105"/>
    </row>
    <row r="828" spans="2:16" x14ac:dyDescent="0.25">
      <c r="B828" s="103">
        <v>1041</v>
      </c>
      <c r="C828" s="104" t="s">
        <v>2825</v>
      </c>
      <c r="D828" s="104" t="s">
        <v>573</v>
      </c>
      <c r="E828" s="104" t="s">
        <v>426</v>
      </c>
      <c r="F828" s="105" t="s">
        <v>2766</v>
      </c>
      <c r="H828" s="45" t="str">
        <f t="shared" si="36"/>
        <v>Marta – Nikolić – OK Vihor – Ž16</v>
      </c>
      <c r="J828" s="45" t="str">
        <f t="shared" si="37"/>
        <v>Marta – Nikolić – OK Vihor</v>
      </c>
      <c r="L828" s="45" t="str">
        <f t="shared" si="38"/>
        <v>Marta – Nikolić</v>
      </c>
      <c r="N828" s="103"/>
      <c r="O828" s="104"/>
      <c r="P828" s="105"/>
    </row>
    <row r="829" spans="2:16" x14ac:dyDescent="0.25">
      <c r="B829" s="103">
        <v>1054</v>
      </c>
      <c r="C829" s="104" t="s">
        <v>574</v>
      </c>
      <c r="D829" s="104" t="s">
        <v>573</v>
      </c>
      <c r="E829" s="104" t="s">
        <v>426</v>
      </c>
      <c r="F829" s="105" t="s">
        <v>487</v>
      </c>
      <c r="H829" s="45" t="str">
        <f t="shared" si="36"/>
        <v>Matko – Nikolić – OK Vihor – M14</v>
      </c>
      <c r="J829" s="45" t="str">
        <f t="shared" si="37"/>
        <v>Matko – Nikolić – OK Vihor</v>
      </c>
      <c r="L829" s="45" t="str">
        <f t="shared" si="38"/>
        <v>Matko – Nikolić</v>
      </c>
      <c r="N829" s="103"/>
      <c r="O829" s="104"/>
      <c r="P829" s="105"/>
    </row>
    <row r="830" spans="2:16" x14ac:dyDescent="0.25">
      <c r="B830" s="103">
        <v>1923</v>
      </c>
      <c r="C830" s="104" t="s">
        <v>1524</v>
      </c>
      <c r="D830" s="104" t="s">
        <v>4310</v>
      </c>
      <c r="E830" s="104" t="s">
        <v>426</v>
      </c>
      <c r="F830" s="105"/>
      <c r="H830" s="45" t="str">
        <f t="shared" si="36"/>
        <v>Mladen – Nikšić – OK Vihor</v>
      </c>
      <c r="J830" s="45" t="str">
        <f t="shared" si="37"/>
        <v>Mladen – Nikšić – OK Vihor</v>
      </c>
      <c r="L830" s="45" t="str">
        <f t="shared" si="38"/>
        <v>Mladen – Nikšić</v>
      </c>
      <c r="N830" s="103"/>
      <c r="O830" s="104"/>
      <c r="P830" s="105"/>
    </row>
    <row r="831" spans="2:16" x14ac:dyDescent="0.25">
      <c r="B831" s="103">
        <v>1017</v>
      </c>
      <c r="C831" s="104" t="s">
        <v>741</v>
      </c>
      <c r="D831" s="104" t="s">
        <v>4021</v>
      </c>
      <c r="E831" s="104" t="s">
        <v>426</v>
      </c>
      <c r="F831" s="105"/>
      <c r="H831" s="45" t="str">
        <f t="shared" si="36"/>
        <v>Goran – Novak – OK Vihor</v>
      </c>
      <c r="J831" s="45" t="str">
        <f t="shared" si="37"/>
        <v>Goran – Novak – OK Vihor</v>
      </c>
      <c r="L831" s="45" t="str">
        <f t="shared" si="38"/>
        <v>Goran – Novak</v>
      </c>
      <c r="N831" s="103"/>
      <c r="O831" s="104"/>
      <c r="P831" s="105"/>
    </row>
    <row r="832" spans="2:16" x14ac:dyDescent="0.25">
      <c r="B832" s="103">
        <v>1468</v>
      </c>
      <c r="C832" s="104" t="s">
        <v>1126</v>
      </c>
      <c r="D832" s="104" t="s">
        <v>1883</v>
      </c>
      <c r="E832" s="104" t="s">
        <v>426</v>
      </c>
      <c r="F832" s="105"/>
      <c r="H832" s="45" t="str">
        <f t="shared" si="36"/>
        <v>Ivor – Novosel – OK Vihor</v>
      </c>
      <c r="J832" s="45" t="str">
        <f t="shared" si="37"/>
        <v>Ivor – Novosel – OK Vihor</v>
      </c>
      <c r="L832" s="45" t="str">
        <f t="shared" si="38"/>
        <v>Ivor – Novosel</v>
      </c>
      <c r="N832" s="103"/>
      <c r="O832" s="104"/>
      <c r="P832" s="105"/>
    </row>
    <row r="833" spans="2:16" x14ac:dyDescent="0.25">
      <c r="B833" s="103">
        <v>1714</v>
      </c>
      <c r="C833" s="104" t="s">
        <v>4311</v>
      </c>
      <c r="D833" s="104" t="s">
        <v>4312</v>
      </c>
      <c r="E833" s="104" t="s">
        <v>426</v>
      </c>
      <c r="F833" s="105"/>
      <c r="H833" s="45" t="str">
        <f t="shared" si="36"/>
        <v>Danijel – Odak – OK Vihor</v>
      </c>
      <c r="J833" s="45" t="str">
        <f t="shared" si="37"/>
        <v>Danijel – Odak – OK Vihor</v>
      </c>
      <c r="L833" s="45" t="str">
        <f t="shared" si="38"/>
        <v>Danijel – Odak</v>
      </c>
      <c r="N833" s="103"/>
      <c r="O833" s="104"/>
      <c r="P833" s="105"/>
    </row>
    <row r="834" spans="2:16" x14ac:dyDescent="0.25">
      <c r="B834" s="103">
        <v>1712</v>
      </c>
      <c r="C834" s="104" t="s">
        <v>476</v>
      </c>
      <c r="D834" s="104" t="s">
        <v>4312</v>
      </c>
      <c r="E834" s="104" t="s">
        <v>426</v>
      </c>
      <c r="F834" s="105"/>
      <c r="H834" s="45" t="str">
        <f t="shared" si="36"/>
        <v>Jakov – Odak – OK Vihor</v>
      </c>
      <c r="J834" s="45" t="str">
        <f t="shared" si="37"/>
        <v>Jakov – Odak – OK Vihor</v>
      </c>
      <c r="L834" s="45" t="str">
        <f t="shared" si="38"/>
        <v>Jakov – Odak</v>
      </c>
      <c r="N834" s="103"/>
      <c r="O834" s="104"/>
      <c r="P834" s="105"/>
    </row>
    <row r="835" spans="2:16" x14ac:dyDescent="0.25">
      <c r="B835" s="103">
        <v>1711</v>
      </c>
      <c r="C835" s="104" t="s">
        <v>3522</v>
      </c>
      <c r="D835" s="104" t="s">
        <v>4312</v>
      </c>
      <c r="E835" s="104" t="s">
        <v>426</v>
      </c>
      <c r="F835" s="105"/>
      <c r="H835" s="45" t="str">
        <f t="shared" si="36"/>
        <v>Nataša – Odak – OK Vihor</v>
      </c>
      <c r="J835" s="45" t="str">
        <f t="shared" si="37"/>
        <v>Nataša – Odak – OK Vihor</v>
      </c>
      <c r="L835" s="45" t="str">
        <f t="shared" si="38"/>
        <v>Nataša – Odak</v>
      </c>
      <c r="N835" s="103"/>
      <c r="O835" s="104"/>
      <c r="P835" s="105"/>
    </row>
    <row r="836" spans="2:16" x14ac:dyDescent="0.25">
      <c r="B836" s="103">
        <v>1713</v>
      </c>
      <c r="C836" s="104" t="s">
        <v>4041</v>
      </c>
      <c r="D836" s="104" t="s">
        <v>4312</v>
      </c>
      <c r="E836" s="104" t="s">
        <v>426</v>
      </c>
      <c r="F836" s="105"/>
      <c r="H836" s="45" t="str">
        <f t="shared" si="36"/>
        <v>Toni – Odak – OK Vihor</v>
      </c>
      <c r="J836" s="45" t="str">
        <f t="shared" si="37"/>
        <v>Toni – Odak – OK Vihor</v>
      </c>
      <c r="L836" s="45" t="str">
        <f t="shared" si="38"/>
        <v>Toni – Odak</v>
      </c>
      <c r="N836" s="103"/>
      <c r="O836" s="104"/>
      <c r="P836" s="105"/>
    </row>
    <row r="837" spans="2:16" x14ac:dyDescent="0.25">
      <c r="B837" s="103">
        <v>1022</v>
      </c>
      <c r="C837" s="104" t="s">
        <v>4313</v>
      </c>
      <c r="D837" s="104" t="s">
        <v>4314</v>
      </c>
      <c r="E837" s="104" t="s">
        <v>426</v>
      </c>
      <c r="F837" s="105"/>
      <c r="H837" s="45" t="str">
        <f t="shared" si="36"/>
        <v>Max – Omerzu – OK Vihor</v>
      </c>
      <c r="J837" s="45" t="str">
        <f t="shared" si="37"/>
        <v>Max – Omerzu – OK Vihor</v>
      </c>
      <c r="L837" s="45" t="str">
        <f t="shared" si="38"/>
        <v>Max – Omerzu</v>
      </c>
      <c r="N837" s="103"/>
      <c r="O837" s="104"/>
      <c r="P837" s="105"/>
    </row>
    <row r="838" spans="2:16" x14ac:dyDescent="0.25">
      <c r="B838" s="103">
        <v>1446</v>
      </c>
      <c r="C838" s="104" t="s">
        <v>4315</v>
      </c>
      <c r="D838" s="104" t="s">
        <v>4316</v>
      </c>
      <c r="E838" s="104" t="s">
        <v>426</v>
      </c>
      <c r="F838" s="105" t="s">
        <v>1130</v>
      </c>
      <c r="H838" s="45" t="str">
        <f t="shared" si="36"/>
        <v>Boško – Opalić – OK Vihor – M21B</v>
      </c>
      <c r="J838" s="45" t="str">
        <f t="shared" si="37"/>
        <v>Boško – Opalić – OK Vihor</v>
      </c>
      <c r="L838" s="45" t="str">
        <f t="shared" si="38"/>
        <v>Boško – Opalić</v>
      </c>
      <c r="N838" s="103"/>
      <c r="O838" s="104"/>
      <c r="P838" s="105"/>
    </row>
    <row r="839" spans="2:16" x14ac:dyDescent="0.25">
      <c r="B839" s="103">
        <v>1924</v>
      </c>
      <c r="C839" s="104" t="s">
        <v>3244</v>
      </c>
      <c r="D839" s="104" t="s">
        <v>3243</v>
      </c>
      <c r="E839" s="104" t="s">
        <v>426</v>
      </c>
      <c r="F839" s="105" t="s">
        <v>3094</v>
      </c>
      <c r="H839" s="45" t="str">
        <f t="shared" si="36"/>
        <v>Ljiljana – Oršulić – OK Vihor – Ž21B</v>
      </c>
      <c r="J839" s="45" t="str">
        <f t="shared" si="37"/>
        <v>Ljiljana – Oršulić – OK Vihor</v>
      </c>
      <c r="L839" s="45" t="str">
        <f t="shared" si="38"/>
        <v>Ljiljana – Oršulić</v>
      </c>
      <c r="N839" s="103"/>
      <c r="O839" s="104"/>
      <c r="P839" s="105"/>
    </row>
    <row r="840" spans="2:16" x14ac:dyDescent="0.25">
      <c r="B840" s="103">
        <v>1168</v>
      </c>
      <c r="C840" s="104" t="s">
        <v>3060</v>
      </c>
      <c r="D840" s="104" t="s">
        <v>4317</v>
      </c>
      <c r="E840" s="104" t="s">
        <v>426</v>
      </c>
      <c r="F840" s="105" t="s">
        <v>2637</v>
      </c>
      <c r="H840" s="45" t="str">
        <f t="shared" si="36"/>
        <v>Ines – Ostajmer – OK Vihor – Ž12</v>
      </c>
      <c r="J840" s="45" t="str">
        <f t="shared" si="37"/>
        <v>Ines – Ostajmer – OK Vihor</v>
      </c>
      <c r="L840" s="45" t="str">
        <f t="shared" si="38"/>
        <v>Ines – Ostajmer</v>
      </c>
      <c r="N840" s="103"/>
      <c r="O840" s="104"/>
      <c r="P840" s="105"/>
    </row>
    <row r="841" spans="2:16" x14ac:dyDescent="0.25">
      <c r="B841" s="103">
        <v>1716</v>
      </c>
      <c r="C841" s="104" t="s">
        <v>2425</v>
      </c>
      <c r="D841" s="104" t="s">
        <v>4318</v>
      </c>
      <c r="E841" s="104" t="s">
        <v>426</v>
      </c>
      <c r="F841" s="105"/>
      <c r="H841" s="45" t="str">
        <f t="shared" si="36"/>
        <v>Barbara – Pajk – OK Vihor</v>
      </c>
      <c r="J841" s="45" t="str">
        <f t="shared" si="37"/>
        <v>Barbara – Pajk – OK Vihor</v>
      </c>
      <c r="L841" s="45" t="str">
        <f t="shared" si="38"/>
        <v>Barbara – Pajk</v>
      </c>
      <c r="N841" s="103"/>
      <c r="O841" s="104"/>
      <c r="P841" s="105"/>
    </row>
    <row r="842" spans="2:16" x14ac:dyDescent="0.25">
      <c r="B842" s="103">
        <v>1715</v>
      </c>
      <c r="C842" s="104" t="s">
        <v>4319</v>
      </c>
      <c r="D842" s="104" t="s">
        <v>4318</v>
      </c>
      <c r="E842" s="104" t="s">
        <v>426</v>
      </c>
      <c r="F842" s="105"/>
      <c r="H842" s="45" t="str">
        <f t="shared" si="36"/>
        <v>Leonard – Pajk – OK Vihor</v>
      </c>
      <c r="J842" s="45" t="str">
        <f t="shared" si="37"/>
        <v>Leonard – Pajk – OK Vihor</v>
      </c>
      <c r="L842" s="45" t="str">
        <f t="shared" si="38"/>
        <v>Leonard – Pajk</v>
      </c>
      <c r="N842" s="103"/>
      <c r="O842" s="104"/>
      <c r="P842" s="105"/>
    </row>
    <row r="843" spans="2:16" x14ac:dyDescent="0.25">
      <c r="B843" s="103">
        <v>1038</v>
      </c>
      <c r="C843" s="104" t="s">
        <v>1510</v>
      </c>
      <c r="D843" s="104" t="s">
        <v>3102</v>
      </c>
      <c r="E843" s="104" t="s">
        <v>426</v>
      </c>
      <c r="F843" s="105"/>
      <c r="H843" s="45" t="str">
        <f t="shared" ref="H843:H906" si="39">IF(C843="","",C843) &amp; IF(D843="",""," – " &amp; D843) &amp; IF(E843="",""," – " &amp; E843) &amp; IF(F843="",""," – " &amp; F843)</f>
        <v>Zoran – Pajnić – OK Vihor</v>
      </c>
      <c r="J843" s="45" t="str">
        <f t="shared" ref="J843:J906" si="40">IF(C843="","",C843) &amp; IF(D843="",""," – " &amp; D843) &amp; IF(E843="",""," – " &amp; E843)</f>
        <v>Zoran – Pajnić – OK Vihor</v>
      </c>
      <c r="L843" s="45" t="str">
        <f t="shared" ref="L843:L906" si="41">IF(C843="","",C843) &amp; IF(D843="",""," – " &amp; D843)</f>
        <v>Zoran – Pajnić</v>
      </c>
      <c r="N843" s="103"/>
      <c r="O843" s="104"/>
      <c r="P843" s="105"/>
    </row>
    <row r="844" spans="2:16" x14ac:dyDescent="0.25">
      <c r="B844" s="103">
        <v>1925</v>
      </c>
      <c r="C844" s="104" t="s">
        <v>2070</v>
      </c>
      <c r="D844" s="104" t="s">
        <v>2069</v>
      </c>
      <c r="E844" s="104" t="s">
        <v>426</v>
      </c>
      <c r="F844" s="105" t="s">
        <v>1909</v>
      </c>
      <c r="H844" s="45" t="str">
        <f t="shared" si="39"/>
        <v>Alen – Paliska – OK Vihor – M45</v>
      </c>
      <c r="J844" s="45" t="str">
        <f t="shared" si="40"/>
        <v>Alen – Paliska – OK Vihor</v>
      </c>
      <c r="L844" s="45" t="str">
        <f t="shared" si="41"/>
        <v>Alen – Paliska</v>
      </c>
      <c r="N844" s="103"/>
      <c r="O844" s="104"/>
      <c r="P844" s="105"/>
    </row>
    <row r="845" spans="2:16" x14ac:dyDescent="0.25">
      <c r="B845" s="103">
        <v>1805</v>
      </c>
      <c r="C845" s="104" t="s">
        <v>438</v>
      </c>
      <c r="D845" s="104" t="s">
        <v>4320</v>
      </c>
      <c r="E845" s="104" t="s">
        <v>426</v>
      </c>
      <c r="F845" s="105"/>
      <c r="H845" s="45" t="str">
        <f t="shared" si="39"/>
        <v>Ivan – Papak – OK Vihor</v>
      </c>
      <c r="J845" s="45" t="str">
        <f t="shared" si="40"/>
        <v>Ivan – Papak – OK Vihor</v>
      </c>
      <c r="L845" s="45" t="str">
        <f t="shared" si="41"/>
        <v>Ivan – Papak</v>
      </c>
      <c r="N845" s="103"/>
      <c r="O845" s="104"/>
      <c r="P845" s="105"/>
    </row>
    <row r="846" spans="2:16" x14ac:dyDescent="0.25">
      <c r="B846" s="103">
        <v>1189</v>
      </c>
      <c r="C846" s="104" t="s">
        <v>3130</v>
      </c>
      <c r="D846" s="104" t="s">
        <v>2387</v>
      </c>
      <c r="E846" s="104" t="s">
        <v>426</v>
      </c>
      <c r="F846" s="105" t="s">
        <v>3094</v>
      </c>
      <c r="H846" s="45" t="str">
        <f t="shared" si="39"/>
        <v>Ana-Marija – Pavić – OK Vihor – Ž21B</v>
      </c>
      <c r="J846" s="45" t="str">
        <f t="shared" si="40"/>
        <v>Ana-Marija – Pavić – OK Vihor</v>
      </c>
      <c r="L846" s="45" t="str">
        <f t="shared" si="41"/>
        <v>Ana-Marija – Pavić</v>
      </c>
      <c r="N846" s="103"/>
      <c r="O846" s="104"/>
      <c r="P846" s="105"/>
    </row>
    <row r="847" spans="2:16" x14ac:dyDescent="0.25">
      <c r="B847" s="103">
        <v>1813</v>
      </c>
      <c r="C847" s="104" t="s">
        <v>4321</v>
      </c>
      <c r="D847" s="104" t="s">
        <v>2387</v>
      </c>
      <c r="E847" s="104" t="s">
        <v>426</v>
      </c>
      <c r="F847" s="105"/>
      <c r="H847" s="45" t="str">
        <f t="shared" si="39"/>
        <v>Margareta – Pavić – OK Vihor</v>
      </c>
      <c r="J847" s="45" t="str">
        <f t="shared" si="40"/>
        <v>Margareta – Pavić – OK Vihor</v>
      </c>
      <c r="L847" s="45" t="str">
        <f t="shared" si="41"/>
        <v>Margareta – Pavić</v>
      </c>
      <c r="N847" s="103"/>
      <c r="O847" s="104"/>
      <c r="P847" s="105"/>
    </row>
    <row r="848" spans="2:16" x14ac:dyDescent="0.25">
      <c r="B848" s="103">
        <v>1530</v>
      </c>
      <c r="C848" s="104" t="s">
        <v>2742</v>
      </c>
      <c r="D848" s="104" t="s">
        <v>2387</v>
      </c>
      <c r="E848" s="104" t="s">
        <v>426</v>
      </c>
      <c r="F848" s="105" t="s">
        <v>2732</v>
      </c>
      <c r="H848" s="45" t="str">
        <f t="shared" si="39"/>
        <v>Monika – Pavić – OK Vihor – Ž14</v>
      </c>
      <c r="J848" s="45" t="str">
        <f t="shared" si="40"/>
        <v>Monika – Pavić – OK Vihor</v>
      </c>
      <c r="L848" s="45" t="str">
        <f t="shared" si="41"/>
        <v>Monika – Pavić</v>
      </c>
      <c r="N848" s="103"/>
      <c r="O848" s="104"/>
      <c r="P848" s="105"/>
    </row>
    <row r="849" spans="2:16" x14ac:dyDescent="0.25">
      <c r="B849" s="103">
        <v>1145</v>
      </c>
      <c r="C849" s="104" t="s">
        <v>1029</v>
      </c>
      <c r="D849" s="104" t="s">
        <v>2387</v>
      </c>
      <c r="E849" s="104" t="s">
        <v>426</v>
      </c>
      <c r="F849" s="105" t="s">
        <v>2367</v>
      </c>
      <c r="H849" s="45" t="str">
        <f t="shared" si="39"/>
        <v>Tomislav – Pavić – OK Vihor – M65</v>
      </c>
      <c r="J849" s="45" t="str">
        <f t="shared" si="40"/>
        <v>Tomislav – Pavić – OK Vihor</v>
      </c>
      <c r="L849" s="45" t="str">
        <f t="shared" si="41"/>
        <v>Tomislav – Pavić</v>
      </c>
      <c r="N849" s="103"/>
      <c r="O849" s="104"/>
      <c r="P849" s="105"/>
    </row>
    <row r="850" spans="2:16" x14ac:dyDescent="0.25">
      <c r="B850" s="103">
        <v>1118</v>
      </c>
      <c r="C850" s="104" t="s">
        <v>4322</v>
      </c>
      <c r="D850" s="104" t="s">
        <v>2387</v>
      </c>
      <c r="E850" s="104" t="s">
        <v>426</v>
      </c>
      <c r="F850" s="105" t="s">
        <v>652</v>
      </c>
      <c r="H850" s="45" t="str">
        <f t="shared" si="39"/>
        <v>Viktor – Pavić – OK Vihor – M16</v>
      </c>
      <c r="J850" s="45" t="str">
        <f t="shared" si="40"/>
        <v>Viktor – Pavić – OK Vihor</v>
      </c>
      <c r="L850" s="45" t="str">
        <f t="shared" si="41"/>
        <v>Viktor – Pavić</v>
      </c>
      <c r="N850" s="103"/>
      <c r="O850" s="104"/>
      <c r="P850" s="105"/>
    </row>
    <row r="851" spans="2:16" x14ac:dyDescent="0.25">
      <c r="B851" s="103">
        <v>1717</v>
      </c>
      <c r="C851" s="104" t="s">
        <v>2437</v>
      </c>
      <c r="D851" s="104" t="s">
        <v>4323</v>
      </c>
      <c r="E851" s="104" t="s">
        <v>426</v>
      </c>
      <c r="F851" s="105"/>
      <c r="H851" s="45" t="str">
        <f t="shared" si="39"/>
        <v>Ana – Pavin – OK Vihor</v>
      </c>
      <c r="J851" s="45" t="str">
        <f t="shared" si="40"/>
        <v>Ana – Pavin – OK Vihor</v>
      </c>
      <c r="L851" s="45" t="str">
        <f t="shared" si="41"/>
        <v>Ana – Pavin</v>
      </c>
      <c r="N851" s="103"/>
      <c r="O851" s="104"/>
      <c r="P851" s="105"/>
    </row>
    <row r="852" spans="2:16" x14ac:dyDescent="0.25">
      <c r="B852" s="103">
        <v>1391</v>
      </c>
      <c r="C852" s="104" t="s">
        <v>4324</v>
      </c>
      <c r="D852" s="104" t="s">
        <v>2120</v>
      </c>
      <c r="E852" s="104" t="s">
        <v>426</v>
      </c>
      <c r="F852" s="105" t="s">
        <v>3443</v>
      </c>
      <c r="H852" s="45" t="str">
        <f t="shared" si="39"/>
        <v>Daliborka – Pavlin – OK Vihor – Ž45</v>
      </c>
      <c r="J852" s="45" t="str">
        <f t="shared" si="40"/>
        <v>Daliborka – Pavlin – OK Vihor</v>
      </c>
      <c r="L852" s="45" t="str">
        <f t="shared" si="41"/>
        <v>Daliborka – Pavlin</v>
      </c>
      <c r="N852" s="103"/>
      <c r="O852" s="104"/>
      <c r="P852" s="105"/>
    </row>
    <row r="853" spans="2:16" x14ac:dyDescent="0.25">
      <c r="B853" s="103">
        <v>1237</v>
      </c>
      <c r="C853" s="104" t="s">
        <v>1364</v>
      </c>
      <c r="D853" s="104" t="s">
        <v>2120</v>
      </c>
      <c r="E853" s="104" t="s">
        <v>426</v>
      </c>
      <c r="F853" s="105" t="s">
        <v>1909</v>
      </c>
      <c r="H853" s="45" t="str">
        <f t="shared" si="39"/>
        <v>Domagoj – Pavlin – OK Vihor – M45</v>
      </c>
      <c r="J853" s="45" t="str">
        <f t="shared" si="40"/>
        <v>Domagoj – Pavlin – OK Vihor</v>
      </c>
      <c r="L853" s="45" t="str">
        <f t="shared" si="41"/>
        <v>Domagoj – Pavlin</v>
      </c>
      <c r="N853" s="103"/>
      <c r="O853" s="104"/>
      <c r="P853" s="105"/>
    </row>
    <row r="854" spans="2:16" x14ac:dyDescent="0.25">
      <c r="B854" s="103">
        <v>1431</v>
      </c>
      <c r="C854" s="104" t="s">
        <v>2950</v>
      </c>
      <c r="D854" s="104" t="s">
        <v>2120</v>
      </c>
      <c r="E854" s="104" t="s">
        <v>426</v>
      </c>
      <c r="F854" s="105" t="s">
        <v>2928</v>
      </c>
      <c r="H854" s="45" t="str">
        <f t="shared" si="39"/>
        <v>Paula – Pavlin – OK Vihor – Ž20</v>
      </c>
      <c r="J854" s="45" t="str">
        <f t="shared" si="40"/>
        <v>Paula – Pavlin – OK Vihor</v>
      </c>
      <c r="L854" s="45" t="str">
        <f t="shared" si="41"/>
        <v>Paula – Pavlin</v>
      </c>
      <c r="N854" s="103"/>
      <c r="O854" s="104"/>
      <c r="P854" s="105"/>
    </row>
    <row r="855" spans="2:16" x14ac:dyDescent="0.25">
      <c r="B855" s="103">
        <v>1718</v>
      </c>
      <c r="C855" s="104" t="s">
        <v>3765</v>
      </c>
      <c r="D855" s="104" t="s">
        <v>4325</v>
      </c>
      <c r="E855" s="104" t="s">
        <v>426</v>
      </c>
      <c r="F855" s="105"/>
      <c r="H855" s="45" t="str">
        <f t="shared" si="39"/>
        <v>Leon – Pavliša – OK Vihor</v>
      </c>
      <c r="J855" s="45" t="str">
        <f t="shared" si="40"/>
        <v>Leon – Pavliša – OK Vihor</v>
      </c>
      <c r="L855" s="45" t="str">
        <f t="shared" si="41"/>
        <v>Leon – Pavliša</v>
      </c>
      <c r="N855" s="103"/>
      <c r="O855" s="104"/>
      <c r="P855" s="105"/>
    </row>
    <row r="856" spans="2:16" x14ac:dyDescent="0.25">
      <c r="B856" s="103">
        <v>1340</v>
      </c>
      <c r="C856" s="104" t="s">
        <v>3600</v>
      </c>
      <c r="D856" s="104" t="s">
        <v>4326</v>
      </c>
      <c r="E856" s="104" t="s">
        <v>426</v>
      </c>
      <c r="F856" s="105" t="s">
        <v>3443</v>
      </c>
      <c r="H856" s="45" t="str">
        <f t="shared" si="39"/>
        <v>Sanja – Penc – OK Vihor – Ž45</v>
      </c>
      <c r="J856" s="45" t="str">
        <f t="shared" si="40"/>
        <v>Sanja – Penc – OK Vihor</v>
      </c>
      <c r="L856" s="45" t="str">
        <f t="shared" si="41"/>
        <v>Sanja – Penc</v>
      </c>
      <c r="N856" s="103"/>
      <c r="O856" s="104"/>
      <c r="P856" s="105"/>
    </row>
    <row r="857" spans="2:16" x14ac:dyDescent="0.25">
      <c r="B857" s="103">
        <v>1248</v>
      </c>
      <c r="C857" s="104" t="s">
        <v>4327</v>
      </c>
      <c r="D857" s="104" t="s">
        <v>2047</v>
      </c>
      <c r="E857" s="104" t="s">
        <v>426</v>
      </c>
      <c r="F857" s="105" t="s">
        <v>3094</v>
      </c>
      <c r="H857" s="45" t="str">
        <f t="shared" si="39"/>
        <v>Jelka – Penić – OK Vihor – Ž21B</v>
      </c>
      <c r="J857" s="45" t="str">
        <f t="shared" si="40"/>
        <v>Jelka – Penić – OK Vihor</v>
      </c>
      <c r="L857" s="45" t="str">
        <f t="shared" si="41"/>
        <v>Jelka – Penić</v>
      </c>
      <c r="N857" s="103"/>
      <c r="O857" s="104"/>
      <c r="P857" s="105"/>
    </row>
    <row r="858" spans="2:16" x14ac:dyDescent="0.25">
      <c r="B858" s="103">
        <v>1277</v>
      </c>
      <c r="C858" s="104" t="s">
        <v>4328</v>
      </c>
      <c r="D858" s="104" t="s">
        <v>2047</v>
      </c>
      <c r="E858" s="104" t="s">
        <v>426</v>
      </c>
      <c r="F858" s="105" t="s">
        <v>1130</v>
      </c>
      <c r="H858" s="45" t="str">
        <f t="shared" si="39"/>
        <v>Jerko – Penić – OK Vihor – M21B</v>
      </c>
      <c r="J858" s="45" t="str">
        <f t="shared" si="40"/>
        <v>Jerko – Penić – OK Vihor</v>
      </c>
      <c r="L858" s="45" t="str">
        <f t="shared" si="41"/>
        <v>Jerko – Penić</v>
      </c>
      <c r="N858" s="103"/>
      <c r="O858" s="104"/>
      <c r="P858" s="105"/>
    </row>
    <row r="859" spans="2:16" x14ac:dyDescent="0.25">
      <c r="B859" s="103">
        <v>1030</v>
      </c>
      <c r="C859" s="104" t="s">
        <v>4047</v>
      </c>
      <c r="D859" s="104" t="s">
        <v>4329</v>
      </c>
      <c r="E859" s="104" t="s">
        <v>426</v>
      </c>
      <c r="F859" s="105"/>
      <c r="H859" s="45" t="str">
        <f t="shared" si="39"/>
        <v>Silvija – Perak – OK Vihor</v>
      </c>
      <c r="J859" s="45" t="str">
        <f t="shared" si="40"/>
        <v>Silvija – Perak – OK Vihor</v>
      </c>
      <c r="L859" s="45" t="str">
        <f t="shared" si="41"/>
        <v>Silvija – Perak</v>
      </c>
      <c r="N859" s="103"/>
      <c r="O859" s="104"/>
      <c r="P859" s="105"/>
    </row>
    <row r="860" spans="2:16" x14ac:dyDescent="0.25">
      <c r="B860" s="103">
        <v>1361</v>
      </c>
      <c r="C860" s="104" t="s">
        <v>4330</v>
      </c>
      <c r="D860" s="104" t="s">
        <v>3753</v>
      </c>
      <c r="E860" s="104" t="s">
        <v>426</v>
      </c>
      <c r="F860" s="105" t="s">
        <v>3094</v>
      </c>
      <c r="H860" s="45" t="str">
        <f t="shared" si="39"/>
        <v>Mihaela Marija – Perković – OK Vihor – Ž21B</v>
      </c>
      <c r="J860" s="45" t="str">
        <f t="shared" si="40"/>
        <v>Mihaela Marija – Perković – OK Vihor</v>
      </c>
      <c r="L860" s="45" t="str">
        <f t="shared" si="41"/>
        <v>Mihaela Marija – Perković</v>
      </c>
      <c r="N860" s="103"/>
      <c r="O860" s="104"/>
      <c r="P860" s="105"/>
    </row>
    <row r="861" spans="2:16" x14ac:dyDescent="0.25">
      <c r="B861" s="103">
        <v>1359</v>
      </c>
      <c r="C861" s="104" t="s">
        <v>1140</v>
      </c>
      <c r="D861" s="104" t="s">
        <v>1139</v>
      </c>
      <c r="E861" s="104" t="s">
        <v>426</v>
      </c>
      <c r="F861" s="105" t="s">
        <v>1130</v>
      </c>
      <c r="H861" s="45" t="str">
        <f t="shared" si="39"/>
        <v>Danko – Pleše – OK Vihor – M21B</v>
      </c>
      <c r="J861" s="45" t="str">
        <f t="shared" si="40"/>
        <v>Danko – Pleše – OK Vihor</v>
      </c>
      <c r="L861" s="45" t="str">
        <f t="shared" si="41"/>
        <v>Danko – Pleše</v>
      </c>
      <c r="N861" s="103"/>
      <c r="O861" s="104"/>
      <c r="P861" s="105"/>
    </row>
    <row r="862" spans="2:16" x14ac:dyDescent="0.25">
      <c r="B862" s="103">
        <v>1433</v>
      </c>
      <c r="C862" s="104" t="s">
        <v>3980</v>
      </c>
      <c r="D862" s="104" t="s">
        <v>4331</v>
      </c>
      <c r="E862" s="104" t="s">
        <v>426</v>
      </c>
      <c r="F862" s="105" t="s">
        <v>1130</v>
      </c>
      <c r="H862" s="45" t="str">
        <f t="shared" si="39"/>
        <v>Alan – Požgaj – OK Vihor – M21B</v>
      </c>
      <c r="J862" s="45" t="str">
        <f t="shared" si="40"/>
        <v>Alan – Požgaj – OK Vihor</v>
      </c>
      <c r="L862" s="45" t="str">
        <f t="shared" si="41"/>
        <v>Alan – Požgaj</v>
      </c>
      <c r="N862" s="103"/>
      <c r="O862" s="104"/>
      <c r="P862" s="105"/>
    </row>
    <row r="863" spans="2:16" x14ac:dyDescent="0.25">
      <c r="B863" s="103">
        <v>1389</v>
      </c>
      <c r="C863" s="104" t="s">
        <v>3763</v>
      </c>
      <c r="D863" s="104" t="s">
        <v>4331</v>
      </c>
      <c r="E863" s="104" t="s">
        <v>426</v>
      </c>
      <c r="F863" s="105"/>
      <c r="H863" s="45" t="str">
        <f t="shared" si="39"/>
        <v>Irena – Požgaj – OK Vihor</v>
      </c>
      <c r="J863" s="45" t="str">
        <f t="shared" si="40"/>
        <v>Irena – Požgaj – OK Vihor</v>
      </c>
      <c r="L863" s="45" t="str">
        <f t="shared" si="41"/>
        <v>Irena – Požgaj</v>
      </c>
      <c r="N863" s="103"/>
      <c r="O863" s="104"/>
      <c r="P863" s="105"/>
    </row>
    <row r="864" spans="2:16" x14ac:dyDescent="0.25">
      <c r="B864" s="103">
        <v>1172</v>
      </c>
      <c r="C864" s="104" t="s">
        <v>590</v>
      </c>
      <c r="D864" s="104" t="s">
        <v>4331</v>
      </c>
      <c r="E864" s="104" t="s">
        <v>426</v>
      </c>
      <c r="F864" s="105" t="s">
        <v>769</v>
      </c>
      <c r="H864" s="45" t="str">
        <f t="shared" si="39"/>
        <v>Karlo – Požgaj – OK Vihor – M20</v>
      </c>
      <c r="J864" s="45" t="str">
        <f t="shared" si="40"/>
        <v>Karlo – Požgaj – OK Vihor</v>
      </c>
      <c r="L864" s="45" t="str">
        <f t="shared" si="41"/>
        <v>Karlo – Požgaj</v>
      </c>
      <c r="N864" s="103"/>
      <c r="O864" s="104"/>
      <c r="P864" s="105"/>
    </row>
    <row r="865" spans="2:16" x14ac:dyDescent="0.25">
      <c r="B865" s="103">
        <v>1185</v>
      </c>
      <c r="C865" s="104" t="s">
        <v>4319</v>
      </c>
      <c r="D865" s="104" t="s">
        <v>4331</v>
      </c>
      <c r="E865" s="104" t="s">
        <v>426</v>
      </c>
      <c r="F865" s="105"/>
      <c r="H865" s="45" t="str">
        <f t="shared" si="39"/>
        <v>Leonard – Požgaj – OK Vihor</v>
      </c>
      <c r="J865" s="45" t="str">
        <f t="shared" si="40"/>
        <v>Leonard – Požgaj – OK Vihor</v>
      </c>
      <c r="L865" s="45" t="str">
        <f t="shared" si="41"/>
        <v>Leonard – Požgaj</v>
      </c>
      <c r="N865" s="103"/>
      <c r="O865" s="104"/>
      <c r="P865" s="105"/>
    </row>
    <row r="866" spans="2:16" x14ac:dyDescent="0.25">
      <c r="B866" s="103">
        <v>1213</v>
      </c>
      <c r="C866" s="104" t="s">
        <v>509</v>
      </c>
      <c r="D866" s="104" t="s">
        <v>4331</v>
      </c>
      <c r="E866" s="104" t="s">
        <v>426</v>
      </c>
      <c r="F866" s="105" t="s">
        <v>364</v>
      </c>
      <c r="H866" s="45" t="str">
        <f t="shared" si="39"/>
        <v>Luka – Požgaj – OK Vihor – M12</v>
      </c>
      <c r="J866" s="45" t="str">
        <f t="shared" si="40"/>
        <v>Luka – Požgaj – OK Vihor</v>
      </c>
      <c r="L866" s="45" t="str">
        <f t="shared" si="41"/>
        <v>Luka – Požgaj</v>
      </c>
      <c r="N866" s="103"/>
      <c r="O866" s="104"/>
      <c r="P866" s="105"/>
    </row>
    <row r="867" spans="2:16" x14ac:dyDescent="0.25">
      <c r="B867" s="103">
        <v>1926</v>
      </c>
      <c r="C867" s="104" t="s">
        <v>1524</v>
      </c>
      <c r="D867" s="104" t="s">
        <v>1523</v>
      </c>
      <c r="E867" s="104" t="s">
        <v>426</v>
      </c>
      <c r="F867" s="105" t="s">
        <v>1130</v>
      </c>
      <c r="H867" s="45" t="str">
        <f t="shared" si="39"/>
        <v>Mladen – Prekrat – OK Vihor – M21B</v>
      </c>
      <c r="J867" s="45" t="str">
        <f t="shared" si="40"/>
        <v>Mladen – Prekrat – OK Vihor</v>
      </c>
      <c r="L867" s="45" t="str">
        <f t="shared" si="41"/>
        <v>Mladen – Prekrat</v>
      </c>
      <c r="N867" s="103"/>
      <c r="O867" s="104"/>
      <c r="P867" s="105"/>
    </row>
    <row r="868" spans="2:16" x14ac:dyDescent="0.25">
      <c r="B868" s="103">
        <v>1508</v>
      </c>
      <c r="C868" s="104" t="s">
        <v>2950</v>
      </c>
      <c r="D868" s="104" t="s">
        <v>4332</v>
      </c>
      <c r="E868" s="104" t="s">
        <v>426</v>
      </c>
      <c r="F868" s="105" t="s">
        <v>3001</v>
      </c>
      <c r="H868" s="45" t="str">
        <f t="shared" si="39"/>
        <v>Paula – Prpić – OK Vihor – Ž21A</v>
      </c>
      <c r="J868" s="45" t="str">
        <f t="shared" si="40"/>
        <v>Paula – Prpić – OK Vihor</v>
      </c>
      <c r="L868" s="45" t="str">
        <f t="shared" si="41"/>
        <v>Paula – Prpić</v>
      </c>
      <c r="N868" s="103"/>
      <c r="O868" s="104"/>
      <c r="P868" s="105"/>
    </row>
    <row r="869" spans="2:16" x14ac:dyDescent="0.25">
      <c r="B869" s="103">
        <v>1502</v>
      </c>
      <c r="C869" s="104" t="s">
        <v>4333</v>
      </c>
      <c r="D869" s="104" t="s">
        <v>4334</v>
      </c>
      <c r="E869" s="104" t="s">
        <v>426</v>
      </c>
      <c r="F869" s="105" t="s">
        <v>3094</v>
      </c>
      <c r="H869" s="45" t="str">
        <f t="shared" si="39"/>
        <v>Vedrana – Radić – OK Vihor – Ž21B</v>
      </c>
      <c r="J869" s="45" t="str">
        <f t="shared" si="40"/>
        <v>Vedrana – Radić – OK Vihor</v>
      </c>
      <c r="L869" s="45" t="str">
        <f t="shared" si="41"/>
        <v>Vedrana – Radić</v>
      </c>
      <c r="N869" s="103"/>
      <c r="O869" s="104"/>
      <c r="P869" s="105"/>
    </row>
    <row r="870" spans="2:16" x14ac:dyDescent="0.25">
      <c r="B870" s="103">
        <v>1421</v>
      </c>
      <c r="C870" s="104" t="s">
        <v>4335</v>
      </c>
      <c r="D870" s="104" t="s">
        <v>4336</v>
      </c>
      <c r="E870" s="104" t="s">
        <v>426</v>
      </c>
      <c r="F870" s="105" t="s">
        <v>3094</v>
      </c>
      <c r="H870" s="45" t="str">
        <f t="shared" si="39"/>
        <v>Marijeta – Radman – OK Vihor – Ž21B</v>
      </c>
      <c r="J870" s="45" t="str">
        <f t="shared" si="40"/>
        <v>Marijeta – Radman – OK Vihor</v>
      </c>
      <c r="L870" s="45" t="str">
        <f t="shared" si="41"/>
        <v>Marijeta – Radman</v>
      </c>
      <c r="N870" s="103"/>
      <c r="O870" s="104"/>
      <c r="P870" s="105"/>
    </row>
    <row r="871" spans="2:16" x14ac:dyDescent="0.25">
      <c r="B871" s="103">
        <v>1074</v>
      </c>
      <c r="C871" s="104" t="s">
        <v>4194</v>
      </c>
      <c r="D871" s="104" t="s">
        <v>4337</v>
      </c>
      <c r="E871" s="104" t="s">
        <v>426</v>
      </c>
      <c r="F871" s="105" t="s">
        <v>3443</v>
      </c>
      <c r="H871" s="45" t="str">
        <f t="shared" si="39"/>
        <v>Anita – Radoš – OK Vihor – Ž45</v>
      </c>
      <c r="J871" s="45" t="str">
        <f t="shared" si="40"/>
        <v>Anita – Radoš – OK Vihor</v>
      </c>
      <c r="L871" s="45" t="str">
        <f t="shared" si="41"/>
        <v>Anita – Radoš</v>
      </c>
      <c r="N871" s="103"/>
      <c r="O871" s="104"/>
      <c r="P871" s="105"/>
    </row>
    <row r="872" spans="2:16" x14ac:dyDescent="0.25">
      <c r="B872" s="103">
        <v>1066</v>
      </c>
      <c r="C872" s="104" t="s">
        <v>1547</v>
      </c>
      <c r="D872" s="104" t="s">
        <v>4337</v>
      </c>
      <c r="E872" s="104" t="s">
        <v>426</v>
      </c>
      <c r="F872" s="105" t="s">
        <v>364</v>
      </c>
      <c r="H872" s="45" t="str">
        <f t="shared" si="39"/>
        <v>Ante – Radoš – OK Vihor – M12</v>
      </c>
      <c r="J872" s="45" t="str">
        <f t="shared" si="40"/>
        <v>Ante – Radoš – OK Vihor</v>
      </c>
      <c r="L872" s="45" t="str">
        <f t="shared" si="41"/>
        <v>Ante – Radoš</v>
      </c>
      <c r="N872" s="103"/>
      <c r="O872" s="104"/>
      <c r="P872" s="105"/>
    </row>
    <row r="873" spans="2:16" x14ac:dyDescent="0.25">
      <c r="B873" s="103">
        <v>1547</v>
      </c>
      <c r="C873" s="104" t="s">
        <v>2448</v>
      </c>
      <c r="D873" s="104" t="s">
        <v>4337</v>
      </c>
      <c r="E873" s="104" t="s">
        <v>426</v>
      </c>
      <c r="F873" s="105" t="s">
        <v>2766</v>
      </c>
      <c r="H873" s="45" t="str">
        <f t="shared" si="39"/>
        <v>Ivana – Radoš – OK Vihor – Ž16</v>
      </c>
      <c r="J873" s="45" t="str">
        <f t="shared" si="40"/>
        <v>Ivana – Radoš – OK Vihor</v>
      </c>
      <c r="L873" s="45" t="str">
        <f t="shared" si="41"/>
        <v>Ivana – Radoš</v>
      </c>
      <c r="N873" s="103"/>
      <c r="O873" s="104"/>
      <c r="P873" s="105"/>
    </row>
    <row r="874" spans="2:16" x14ac:dyDescent="0.25">
      <c r="B874" s="103">
        <v>1745</v>
      </c>
      <c r="C874" s="104" t="s">
        <v>1454</v>
      </c>
      <c r="D874" s="104" t="s">
        <v>4338</v>
      </c>
      <c r="E874" s="104" t="s">
        <v>426</v>
      </c>
      <c r="F874" s="105"/>
      <c r="H874" s="45" t="str">
        <f t="shared" si="39"/>
        <v>Franjo – Radošević – OK Vihor</v>
      </c>
      <c r="J874" s="45" t="str">
        <f t="shared" si="40"/>
        <v>Franjo – Radošević – OK Vihor</v>
      </c>
      <c r="L874" s="45" t="str">
        <f t="shared" si="41"/>
        <v>Franjo – Radošević</v>
      </c>
      <c r="N874" s="103"/>
      <c r="O874" s="104"/>
      <c r="P874" s="105"/>
    </row>
    <row r="875" spans="2:16" x14ac:dyDescent="0.25">
      <c r="B875" s="103">
        <v>1177</v>
      </c>
      <c r="C875" s="104" t="s">
        <v>3919</v>
      </c>
      <c r="D875" s="104" t="s">
        <v>4339</v>
      </c>
      <c r="E875" s="104" t="s">
        <v>426</v>
      </c>
      <c r="F875" s="105" t="s">
        <v>3443</v>
      </c>
      <c r="H875" s="45" t="str">
        <f t="shared" si="39"/>
        <v>Tamara – Radulić Butorac – OK Vihor – Ž45</v>
      </c>
      <c r="J875" s="45" t="str">
        <f t="shared" si="40"/>
        <v>Tamara – Radulić Butorac – OK Vihor</v>
      </c>
      <c r="L875" s="45" t="str">
        <f t="shared" si="41"/>
        <v>Tamara – Radulić Butorac</v>
      </c>
      <c r="N875" s="103"/>
      <c r="O875" s="104"/>
      <c r="P875" s="105"/>
    </row>
    <row r="876" spans="2:16" x14ac:dyDescent="0.25">
      <c r="B876" s="103">
        <v>1332</v>
      </c>
      <c r="C876" s="104" t="s">
        <v>4340</v>
      </c>
      <c r="D876" s="104" t="s">
        <v>4341</v>
      </c>
      <c r="E876" s="104" t="s">
        <v>426</v>
      </c>
      <c r="F876" s="105" t="s">
        <v>3619</v>
      </c>
      <c r="H876" s="45" t="str">
        <f t="shared" si="39"/>
        <v>Žana – Rajić – OK Vihor – Ž55</v>
      </c>
      <c r="J876" s="45" t="str">
        <f t="shared" si="40"/>
        <v>Žana – Rajić – OK Vihor</v>
      </c>
      <c r="L876" s="45" t="str">
        <f t="shared" si="41"/>
        <v>Žana – Rajić</v>
      </c>
      <c r="N876" s="103"/>
      <c r="O876" s="104"/>
      <c r="P876" s="105"/>
    </row>
    <row r="877" spans="2:16" x14ac:dyDescent="0.25">
      <c r="B877" s="103">
        <v>1374</v>
      </c>
      <c r="C877" s="104" t="s">
        <v>1729</v>
      </c>
      <c r="D877" s="104" t="s">
        <v>463</v>
      </c>
      <c r="E877" s="104" t="s">
        <v>426</v>
      </c>
      <c r="F877" s="105" t="s">
        <v>1575</v>
      </c>
      <c r="H877" s="45" t="str">
        <f t="shared" si="39"/>
        <v>Duje – Rako – OK Vihor – M35</v>
      </c>
      <c r="J877" s="45" t="str">
        <f t="shared" si="40"/>
        <v>Duje – Rako – OK Vihor</v>
      </c>
      <c r="L877" s="45" t="str">
        <f t="shared" si="41"/>
        <v>Duje – Rako</v>
      </c>
      <c r="N877" s="103"/>
      <c r="O877" s="104"/>
      <c r="P877" s="105"/>
    </row>
    <row r="878" spans="2:16" x14ac:dyDescent="0.25">
      <c r="B878" s="103">
        <v>1098</v>
      </c>
      <c r="C878" s="104" t="s">
        <v>464</v>
      </c>
      <c r="D878" s="104" t="s">
        <v>463</v>
      </c>
      <c r="E878" s="104" t="s">
        <v>426</v>
      </c>
      <c r="F878" s="105" t="s">
        <v>364</v>
      </c>
      <c r="H878" s="45" t="str">
        <f t="shared" si="39"/>
        <v>Jure – Rako – OK Vihor – M12</v>
      </c>
      <c r="J878" s="45" t="str">
        <f t="shared" si="40"/>
        <v>Jure – Rako – OK Vihor</v>
      </c>
      <c r="L878" s="45" t="str">
        <f t="shared" si="41"/>
        <v>Jure – Rako</v>
      </c>
      <c r="N878" s="103"/>
      <c r="O878" s="104"/>
      <c r="P878" s="105"/>
    </row>
    <row r="879" spans="2:16" x14ac:dyDescent="0.25">
      <c r="B879" s="103">
        <v>1047</v>
      </c>
      <c r="C879" s="104" t="s">
        <v>2730</v>
      </c>
      <c r="D879" s="104" t="s">
        <v>463</v>
      </c>
      <c r="E879" s="104" t="s">
        <v>426</v>
      </c>
      <c r="F879" s="105" t="s">
        <v>2732</v>
      </c>
      <c r="H879" s="45" t="str">
        <f t="shared" si="39"/>
        <v>Paola – Rako – OK Vihor – Ž14</v>
      </c>
      <c r="J879" s="45" t="str">
        <f t="shared" si="40"/>
        <v>Paola – Rako – OK Vihor</v>
      </c>
      <c r="L879" s="45" t="str">
        <f t="shared" si="41"/>
        <v>Paola – Rako</v>
      </c>
      <c r="N879" s="103"/>
      <c r="O879" s="104"/>
      <c r="P879" s="105"/>
    </row>
    <row r="880" spans="2:16" x14ac:dyDescent="0.25">
      <c r="B880" s="103">
        <v>1322</v>
      </c>
      <c r="C880" s="104" t="s">
        <v>3328</v>
      </c>
      <c r="D880" s="104" t="s">
        <v>463</v>
      </c>
      <c r="E880" s="104" t="s">
        <v>426</v>
      </c>
      <c r="F880" s="105" t="s">
        <v>3265</v>
      </c>
      <c r="H880" s="45" t="str">
        <f t="shared" si="39"/>
        <v>Sabina – Rako – OK Vihor – Ž35</v>
      </c>
      <c r="J880" s="45" t="str">
        <f t="shared" si="40"/>
        <v>Sabina – Rako – OK Vihor</v>
      </c>
      <c r="L880" s="45" t="str">
        <f t="shared" si="41"/>
        <v>Sabina – Rako</v>
      </c>
      <c r="N880" s="103"/>
      <c r="O880" s="104"/>
      <c r="P880" s="105"/>
    </row>
    <row r="881" spans="2:16" x14ac:dyDescent="0.25">
      <c r="B881" s="103">
        <v>1242</v>
      </c>
      <c r="C881" s="104" t="s">
        <v>509</v>
      </c>
      <c r="D881" s="104" t="s">
        <v>4342</v>
      </c>
      <c r="E881" s="104" t="s">
        <v>426</v>
      </c>
      <c r="F881" s="105"/>
      <c r="H881" s="45" t="str">
        <f t="shared" si="39"/>
        <v>Luka – Relić – OK Vihor</v>
      </c>
      <c r="J881" s="45" t="str">
        <f t="shared" si="40"/>
        <v>Luka – Relić – OK Vihor</v>
      </c>
      <c r="L881" s="45" t="str">
        <f t="shared" si="41"/>
        <v>Luka – Relić</v>
      </c>
      <c r="N881" s="103"/>
      <c r="O881" s="104"/>
      <c r="P881" s="105"/>
    </row>
    <row r="882" spans="2:16" x14ac:dyDescent="0.25">
      <c r="B882" s="103">
        <v>1903</v>
      </c>
      <c r="C882" s="104" t="s">
        <v>1944</v>
      </c>
      <c r="D882" s="104" t="s">
        <v>4343</v>
      </c>
      <c r="E882" s="104" t="s">
        <v>426</v>
      </c>
      <c r="F882" s="105" t="s">
        <v>1130</v>
      </c>
      <c r="H882" s="45" t="str">
        <f t="shared" si="39"/>
        <v>Robert – Rigo – OK Vihor – M21B</v>
      </c>
      <c r="J882" s="45" t="str">
        <f t="shared" si="40"/>
        <v>Robert – Rigo – OK Vihor</v>
      </c>
      <c r="L882" s="45" t="str">
        <f t="shared" si="41"/>
        <v>Robert – Rigo</v>
      </c>
      <c r="N882" s="103"/>
      <c r="O882" s="104"/>
      <c r="P882" s="105"/>
    </row>
    <row r="883" spans="2:16" x14ac:dyDescent="0.25">
      <c r="B883" s="103">
        <v>1068</v>
      </c>
      <c r="C883" s="104" t="s">
        <v>388</v>
      </c>
      <c r="D883" s="104" t="s">
        <v>4344</v>
      </c>
      <c r="E883" s="104" t="s">
        <v>426</v>
      </c>
      <c r="F883" s="105"/>
      <c r="H883" s="45" t="str">
        <f t="shared" si="39"/>
        <v>Marin – Rogulj – OK Vihor</v>
      </c>
      <c r="J883" s="45" t="str">
        <f t="shared" si="40"/>
        <v>Marin – Rogulj – OK Vihor</v>
      </c>
      <c r="L883" s="45" t="str">
        <f t="shared" si="41"/>
        <v>Marin – Rogulj</v>
      </c>
      <c r="N883" s="103"/>
      <c r="O883" s="104"/>
      <c r="P883" s="105"/>
    </row>
    <row r="884" spans="2:16" x14ac:dyDescent="0.25">
      <c r="B884" s="103">
        <v>1156</v>
      </c>
      <c r="C884" s="104" t="s">
        <v>3818</v>
      </c>
      <c r="D884" s="104" t="s">
        <v>4344</v>
      </c>
      <c r="E884" s="104" t="s">
        <v>426</v>
      </c>
      <c r="F884" s="105" t="s">
        <v>2637</v>
      </c>
      <c r="H884" s="45" t="str">
        <f t="shared" si="39"/>
        <v>Tonka – Rogulj – OK Vihor – Ž12</v>
      </c>
      <c r="J884" s="45" t="str">
        <f t="shared" si="40"/>
        <v>Tonka – Rogulj – OK Vihor</v>
      </c>
      <c r="L884" s="45" t="str">
        <f t="shared" si="41"/>
        <v>Tonka – Rogulj</v>
      </c>
      <c r="N884" s="103"/>
      <c r="O884" s="104"/>
      <c r="P884" s="105"/>
    </row>
    <row r="885" spans="2:16" x14ac:dyDescent="0.25">
      <c r="B885" s="103">
        <v>1218</v>
      </c>
      <c r="C885" s="104" t="s">
        <v>2437</v>
      </c>
      <c r="D885" s="104" t="s">
        <v>4345</v>
      </c>
      <c r="E885" s="104" t="s">
        <v>426</v>
      </c>
      <c r="F885" s="105" t="s">
        <v>3265</v>
      </c>
      <c r="H885" s="45" t="str">
        <f t="shared" si="39"/>
        <v>Ana – Rumiha – OK Vihor – Ž35</v>
      </c>
      <c r="J885" s="45" t="str">
        <f t="shared" si="40"/>
        <v>Ana – Rumiha – OK Vihor</v>
      </c>
      <c r="L885" s="45" t="str">
        <f t="shared" si="41"/>
        <v>Ana – Rumiha</v>
      </c>
      <c r="N885" s="103"/>
      <c r="O885" s="104"/>
      <c r="P885" s="105"/>
    </row>
    <row r="886" spans="2:16" x14ac:dyDescent="0.25">
      <c r="B886" s="103">
        <v>1719</v>
      </c>
      <c r="C886" s="104" t="s">
        <v>3239</v>
      </c>
      <c r="D886" s="104" t="s">
        <v>4346</v>
      </c>
      <c r="E886" s="104" t="s">
        <v>426</v>
      </c>
      <c r="F886" s="105"/>
      <c r="H886" s="45" t="str">
        <f t="shared" si="39"/>
        <v>Martina – Ružić – OK Vihor</v>
      </c>
      <c r="J886" s="45" t="str">
        <f t="shared" si="40"/>
        <v>Martina – Ružić – OK Vihor</v>
      </c>
      <c r="L886" s="45" t="str">
        <f t="shared" si="41"/>
        <v>Martina – Ružić</v>
      </c>
      <c r="N886" s="103"/>
      <c r="O886" s="104"/>
      <c r="P886" s="105"/>
    </row>
    <row r="887" spans="2:16" x14ac:dyDescent="0.25">
      <c r="B887" s="103">
        <v>1722</v>
      </c>
      <c r="C887" s="104" t="s">
        <v>4347</v>
      </c>
      <c r="D887" s="104" t="s">
        <v>4346</v>
      </c>
      <c r="E887" s="104" t="s">
        <v>426</v>
      </c>
      <c r="F887" s="105"/>
      <c r="H887" s="45" t="str">
        <f t="shared" si="39"/>
        <v>Rok – Ružić – OK Vihor</v>
      </c>
      <c r="J887" s="45" t="str">
        <f t="shared" si="40"/>
        <v>Rok – Ružić – OK Vihor</v>
      </c>
      <c r="L887" s="45" t="str">
        <f t="shared" si="41"/>
        <v>Rok – Ružić</v>
      </c>
      <c r="N887" s="103"/>
      <c r="O887" s="104"/>
      <c r="P887" s="105"/>
    </row>
    <row r="888" spans="2:16" x14ac:dyDescent="0.25">
      <c r="B888" s="103">
        <v>1721</v>
      </c>
      <c r="C888" s="104" t="s">
        <v>3818</v>
      </c>
      <c r="D888" s="104" t="s">
        <v>4346</v>
      </c>
      <c r="E888" s="104" t="s">
        <v>426</v>
      </c>
      <c r="F888" s="105"/>
      <c r="H888" s="45" t="str">
        <f t="shared" si="39"/>
        <v>Tonka – Ružić – OK Vihor</v>
      </c>
      <c r="J888" s="45" t="str">
        <f t="shared" si="40"/>
        <v>Tonka – Ružić – OK Vihor</v>
      </c>
      <c r="L888" s="45" t="str">
        <f t="shared" si="41"/>
        <v>Tonka – Ružić</v>
      </c>
      <c r="N888" s="103"/>
      <c r="O888" s="104"/>
      <c r="P888" s="105"/>
    </row>
    <row r="889" spans="2:16" x14ac:dyDescent="0.25">
      <c r="B889" s="103">
        <v>1720</v>
      </c>
      <c r="C889" s="104" t="s">
        <v>1510</v>
      </c>
      <c r="D889" s="104" t="s">
        <v>4346</v>
      </c>
      <c r="E889" s="104" t="s">
        <v>426</v>
      </c>
      <c r="F889" s="105"/>
      <c r="H889" s="45" t="str">
        <f t="shared" si="39"/>
        <v>Zoran – Ružić – OK Vihor</v>
      </c>
      <c r="J889" s="45" t="str">
        <f t="shared" si="40"/>
        <v>Zoran – Ružić – OK Vihor</v>
      </c>
      <c r="L889" s="45" t="str">
        <f t="shared" si="41"/>
        <v>Zoran – Ružić</v>
      </c>
      <c r="N889" s="103"/>
      <c r="O889" s="104"/>
      <c r="P889" s="105"/>
    </row>
    <row r="890" spans="2:16" x14ac:dyDescent="0.25">
      <c r="B890" s="103">
        <v>1020</v>
      </c>
      <c r="C890" s="104" t="s">
        <v>4348</v>
      </c>
      <c r="D890" s="104" t="s">
        <v>4349</v>
      </c>
      <c r="E890" s="104" t="s">
        <v>426</v>
      </c>
      <c r="F890" s="105"/>
      <c r="H890" s="45" t="str">
        <f t="shared" si="39"/>
        <v>Jorge – Salgado – OK Vihor</v>
      </c>
      <c r="J890" s="45" t="str">
        <f t="shared" si="40"/>
        <v>Jorge – Salgado – OK Vihor</v>
      </c>
      <c r="L890" s="45" t="str">
        <f t="shared" si="41"/>
        <v>Jorge – Salgado</v>
      </c>
      <c r="N890" s="103"/>
      <c r="O890" s="104"/>
      <c r="P890" s="105"/>
    </row>
    <row r="891" spans="2:16" x14ac:dyDescent="0.25">
      <c r="B891" s="103">
        <v>1102</v>
      </c>
      <c r="C891" s="104" t="s">
        <v>438</v>
      </c>
      <c r="D891" s="104" t="s">
        <v>4350</v>
      </c>
      <c r="E891" s="104" t="s">
        <v>426</v>
      </c>
      <c r="F891" s="105"/>
      <c r="H891" s="45" t="str">
        <f t="shared" si="39"/>
        <v>Ivan – Salgado Vinter – OK Vihor</v>
      </c>
      <c r="J891" s="45" t="str">
        <f t="shared" si="40"/>
        <v>Ivan – Salgado Vinter – OK Vihor</v>
      </c>
      <c r="L891" s="45" t="str">
        <f t="shared" si="41"/>
        <v>Ivan – Salgado Vinter</v>
      </c>
      <c r="N891" s="103"/>
      <c r="O891" s="104"/>
      <c r="P891" s="105"/>
    </row>
    <row r="892" spans="2:16" x14ac:dyDescent="0.25">
      <c r="B892" s="103">
        <v>1103</v>
      </c>
      <c r="C892" s="104" t="s">
        <v>405</v>
      </c>
      <c r="D892" s="104" t="s">
        <v>4350</v>
      </c>
      <c r="E892" s="104" t="s">
        <v>426</v>
      </c>
      <c r="F892" s="105"/>
      <c r="H892" s="45" t="str">
        <f t="shared" si="39"/>
        <v>Mario – Salgado Vinter – OK Vihor</v>
      </c>
      <c r="J892" s="45" t="str">
        <f t="shared" si="40"/>
        <v>Mario – Salgado Vinter – OK Vihor</v>
      </c>
      <c r="L892" s="45" t="str">
        <f t="shared" si="41"/>
        <v>Mario – Salgado Vinter</v>
      </c>
      <c r="N892" s="103"/>
      <c r="O892" s="104"/>
      <c r="P892" s="105"/>
    </row>
    <row r="893" spans="2:16" x14ac:dyDescent="0.25">
      <c r="B893" s="103">
        <v>1317</v>
      </c>
      <c r="C893" s="104" t="s">
        <v>4037</v>
      </c>
      <c r="D893" s="104" t="s">
        <v>4351</v>
      </c>
      <c r="E893" s="104" t="s">
        <v>426</v>
      </c>
      <c r="F893" s="105"/>
      <c r="H893" s="45" t="str">
        <f t="shared" si="39"/>
        <v>Niko – Savović – OK Vihor</v>
      </c>
      <c r="J893" s="45" t="str">
        <f t="shared" si="40"/>
        <v>Niko – Savović – OK Vihor</v>
      </c>
      <c r="L893" s="45" t="str">
        <f t="shared" si="41"/>
        <v>Niko – Savović</v>
      </c>
      <c r="N893" s="103"/>
      <c r="O893" s="104"/>
      <c r="P893" s="105"/>
    </row>
    <row r="894" spans="2:16" x14ac:dyDescent="0.25">
      <c r="B894" s="103">
        <v>1001</v>
      </c>
      <c r="C894" s="104" t="s">
        <v>4352</v>
      </c>
      <c r="D894" s="104" t="s">
        <v>4353</v>
      </c>
      <c r="E894" s="104" t="s">
        <v>426</v>
      </c>
      <c r="F894" s="105"/>
      <c r="H894" s="45" t="str">
        <f t="shared" si="39"/>
        <v>Alberto – Selandari – OK Vihor</v>
      </c>
      <c r="J894" s="45" t="str">
        <f t="shared" si="40"/>
        <v>Alberto – Selandari – OK Vihor</v>
      </c>
      <c r="L894" s="45" t="str">
        <f t="shared" si="41"/>
        <v>Alberto – Selandari</v>
      </c>
      <c r="N894" s="103"/>
      <c r="O894" s="104"/>
      <c r="P894" s="105"/>
    </row>
    <row r="895" spans="2:16" x14ac:dyDescent="0.25">
      <c r="B895" s="103">
        <v>1273</v>
      </c>
      <c r="C895" s="104" t="s">
        <v>4194</v>
      </c>
      <c r="D895" s="104" t="s">
        <v>4354</v>
      </c>
      <c r="E895" s="104" t="s">
        <v>426</v>
      </c>
      <c r="F895" s="105" t="s">
        <v>3094</v>
      </c>
      <c r="H895" s="45" t="str">
        <f t="shared" si="39"/>
        <v>Anita – Sem – OK Vihor – Ž21B</v>
      </c>
      <c r="J895" s="45" t="str">
        <f t="shared" si="40"/>
        <v>Anita – Sem – OK Vihor</v>
      </c>
      <c r="L895" s="45" t="str">
        <f t="shared" si="41"/>
        <v>Anita – Sem</v>
      </c>
      <c r="N895" s="103"/>
      <c r="O895" s="104"/>
      <c r="P895" s="105"/>
    </row>
    <row r="896" spans="2:16" x14ac:dyDescent="0.25">
      <c r="B896" s="103">
        <v>1927</v>
      </c>
      <c r="C896" s="104" t="s">
        <v>741</v>
      </c>
      <c r="D896" s="104" t="s">
        <v>4355</v>
      </c>
      <c r="E896" s="104" t="s">
        <v>426</v>
      </c>
      <c r="F896" s="105"/>
      <c r="H896" s="45" t="str">
        <f t="shared" si="39"/>
        <v>Goran – Šepić – OK Vihor</v>
      </c>
      <c r="J896" s="45" t="str">
        <f t="shared" si="40"/>
        <v>Goran – Šepić – OK Vihor</v>
      </c>
      <c r="L896" s="45" t="str">
        <f t="shared" si="41"/>
        <v>Goran – Šepić</v>
      </c>
      <c r="N896" s="103"/>
      <c r="O896" s="104"/>
      <c r="P896" s="105"/>
    </row>
    <row r="897" spans="2:16" x14ac:dyDescent="0.25">
      <c r="B897" s="103">
        <v>1287</v>
      </c>
      <c r="C897" s="104" t="s">
        <v>2448</v>
      </c>
      <c r="D897" s="104" t="s">
        <v>4356</v>
      </c>
      <c r="E897" s="104" t="s">
        <v>426</v>
      </c>
      <c r="F897" s="105" t="s">
        <v>3094</v>
      </c>
      <c r="H897" s="45" t="str">
        <f t="shared" si="39"/>
        <v>Ivana – Šestan Krajnović – OK Vihor – Ž21B</v>
      </c>
      <c r="J897" s="45" t="str">
        <f t="shared" si="40"/>
        <v>Ivana – Šestan Krajnović – OK Vihor</v>
      </c>
      <c r="L897" s="45" t="str">
        <f t="shared" si="41"/>
        <v>Ivana – Šestan Krajnović</v>
      </c>
      <c r="N897" s="103"/>
      <c r="O897" s="104"/>
      <c r="P897" s="105"/>
    </row>
    <row r="898" spans="2:16" x14ac:dyDescent="0.25">
      <c r="B898" s="103">
        <v>1012</v>
      </c>
      <c r="C898" s="104" t="s">
        <v>4357</v>
      </c>
      <c r="D898" s="104" t="s">
        <v>4358</v>
      </c>
      <c r="E898" s="104" t="s">
        <v>426</v>
      </c>
      <c r="F898" s="105"/>
      <c r="H898" s="45" t="str">
        <f t="shared" si="39"/>
        <v>Dejan – Šimičević – OK Vihor</v>
      </c>
      <c r="J898" s="45" t="str">
        <f t="shared" si="40"/>
        <v>Dejan – Šimičević – OK Vihor</v>
      </c>
      <c r="L898" s="45" t="str">
        <f t="shared" si="41"/>
        <v>Dejan – Šimičević</v>
      </c>
      <c r="N898" s="103"/>
      <c r="O898" s="104"/>
      <c r="P898" s="105"/>
    </row>
    <row r="899" spans="2:16" x14ac:dyDescent="0.25">
      <c r="B899" s="103">
        <v>1457</v>
      </c>
      <c r="C899" s="104" t="s">
        <v>3560</v>
      </c>
      <c r="D899" s="104" t="s">
        <v>4359</v>
      </c>
      <c r="E899" s="104" t="s">
        <v>426</v>
      </c>
      <c r="F899" s="105" t="s">
        <v>3619</v>
      </c>
      <c r="H899" s="45" t="str">
        <f t="shared" si="39"/>
        <v>Marija – Sirovec – OK Vihor – Ž55</v>
      </c>
      <c r="J899" s="45" t="str">
        <f t="shared" si="40"/>
        <v>Marija – Sirovec – OK Vihor</v>
      </c>
      <c r="L899" s="45" t="str">
        <f t="shared" si="41"/>
        <v>Marija – Sirovec</v>
      </c>
      <c r="N899" s="103"/>
      <c r="O899" s="104"/>
      <c r="P899" s="105"/>
    </row>
    <row r="900" spans="2:16" x14ac:dyDescent="0.25">
      <c r="B900" s="103">
        <v>1298</v>
      </c>
      <c r="C900" s="104" t="s">
        <v>4360</v>
      </c>
      <c r="D900" s="104" t="s">
        <v>4359</v>
      </c>
      <c r="E900" s="104" t="s">
        <v>426</v>
      </c>
      <c r="F900" s="105" t="s">
        <v>3094</v>
      </c>
      <c r="H900" s="45" t="str">
        <f t="shared" si="39"/>
        <v>Tara – Sirovec – OK Vihor – Ž21B</v>
      </c>
      <c r="J900" s="45" t="str">
        <f t="shared" si="40"/>
        <v>Tara – Sirovec – OK Vihor</v>
      </c>
      <c r="L900" s="45" t="str">
        <f t="shared" si="41"/>
        <v>Tara – Sirovec</v>
      </c>
      <c r="N900" s="103"/>
      <c r="O900" s="104"/>
      <c r="P900" s="105"/>
    </row>
    <row r="901" spans="2:16" x14ac:dyDescent="0.25">
      <c r="B901" s="103">
        <v>1058</v>
      </c>
      <c r="C901" s="104" t="s">
        <v>4149</v>
      </c>
      <c r="D901" s="104" t="s">
        <v>4359</v>
      </c>
      <c r="E901" s="104" t="s">
        <v>426</v>
      </c>
      <c r="F901" s="105" t="s">
        <v>2195</v>
      </c>
      <c r="H901" s="45" t="str">
        <f t="shared" si="39"/>
        <v>Zlatko – Sirovec – OK Vihor – M55</v>
      </c>
      <c r="J901" s="45" t="str">
        <f t="shared" si="40"/>
        <v>Zlatko – Sirovec – OK Vihor</v>
      </c>
      <c r="L901" s="45" t="str">
        <f t="shared" si="41"/>
        <v>Zlatko – Sirovec</v>
      </c>
      <c r="N901" s="103"/>
      <c r="O901" s="104"/>
      <c r="P901" s="105"/>
    </row>
    <row r="902" spans="2:16" x14ac:dyDescent="0.25">
      <c r="B902" s="103">
        <v>1904</v>
      </c>
      <c r="C902" s="104" t="s">
        <v>4361</v>
      </c>
      <c r="D902" s="104" t="s">
        <v>4362</v>
      </c>
      <c r="E902" s="104" t="s">
        <v>426</v>
      </c>
      <c r="F902" s="105" t="s">
        <v>1130</v>
      </c>
      <c r="H902" s="45" t="str">
        <f t="shared" si="39"/>
        <v>Donateo – Sitarić-Knezić – OK Vihor – M21B</v>
      </c>
      <c r="J902" s="45" t="str">
        <f t="shared" si="40"/>
        <v>Donateo – Sitarić-Knezić – OK Vihor</v>
      </c>
      <c r="L902" s="45" t="str">
        <f t="shared" si="41"/>
        <v>Donateo – Sitarić-Knezić</v>
      </c>
      <c r="N902" s="103"/>
      <c r="O902" s="104"/>
      <c r="P902" s="105"/>
    </row>
    <row r="903" spans="2:16" x14ac:dyDescent="0.25">
      <c r="B903" s="103">
        <v>1492</v>
      </c>
      <c r="C903" s="104" t="s">
        <v>1263</v>
      </c>
      <c r="D903" s="104" t="s">
        <v>4363</v>
      </c>
      <c r="E903" s="104" t="s">
        <v>426</v>
      </c>
      <c r="F903" s="105" t="s">
        <v>1909</v>
      </c>
      <c r="H903" s="45" t="str">
        <f t="shared" si="39"/>
        <v>Kristijan – Šivak – OK Vihor – M45</v>
      </c>
      <c r="J903" s="45" t="str">
        <f t="shared" si="40"/>
        <v>Kristijan – Šivak – OK Vihor</v>
      </c>
      <c r="L903" s="45" t="str">
        <f t="shared" si="41"/>
        <v>Kristijan – Šivak</v>
      </c>
      <c r="N903" s="103"/>
      <c r="O903" s="104"/>
      <c r="P903" s="105"/>
    </row>
    <row r="904" spans="2:16" x14ac:dyDescent="0.25">
      <c r="B904" s="103">
        <v>1723</v>
      </c>
      <c r="C904" s="104" t="s">
        <v>4364</v>
      </c>
      <c r="D904" s="104" t="s">
        <v>4365</v>
      </c>
      <c r="E904" s="104" t="s">
        <v>426</v>
      </c>
      <c r="F904" s="105"/>
      <c r="H904" s="45" t="str">
        <f t="shared" si="39"/>
        <v>Paul – Skobe – OK Vihor</v>
      </c>
      <c r="J904" s="45" t="str">
        <f t="shared" si="40"/>
        <v>Paul – Skobe – OK Vihor</v>
      </c>
      <c r="L904" s="45" t="str">
        <f t="shared" si="41"/>
        <v>Paul – Skobe</v>
      </c>
      <c r="N904" s="103"/>
      <c r="O904" s="104"/>
      <c r="P904" s="105"/>
    </row>
    <row r="905" spans="2:16" x14ac:dyDescent="0.25">
      <c r="B905" s="103">
        <v>1807</v>
      </c>
      <c r="C905" s="104" t="s">
        <v>4366</v>
      </c>
      <c r="D905" s="104" t="s">
        <v>4365</v>
      </c>
      <c r="E905" s="104" t="s">
        <v>426</v>
      </c>
      <c r="F905" s="105"/>
      <c r="H905" s="45" t="str">
        <f t="shared" si="39"/>
        <v>Tymothy – Skobe – OK Vihor</v>
      </c>
      <c r="J905" s="45" t="str">
        <f t="shared" si="40"/>
        <v>Tymothy – Skobe – OK Vihor</v>
      </c>
      <c r="L905" s="45" t="str">
        <f t="shared" si="41"/>
        <v>Tymothy – Skobe</v>
      </c>
      <c r="N905" s="103"/>
      <c r="O905" s="104"/>
      <c r="P905" s="105"/>
    </row>
    <row r="906" spans="2:16" x14ac:dyDescent="0.25">
      <c r="B906" s="103">
        <v>1806</v>
      </c>
      <c r="C906" s="104" t="s">
        <v>4367</v>
      </c>
      <c r="D906" s="104" t="s">
        <v>4365</v>
      </c>
      <c r="E906" s="104" t="s">
        <v>426</v>
      </c>
      <c r="F906" s="105"/>
      <c r="H906" s="45" t="str">
        <f t="shared" si="39"/>
        <v>Valentina – Skobe – OK Vihor</v>
      </c>
      <c r="J906" s="45" t="str">
        <f t="shared" si="40"/>
        <v>Valentina – Skobe – OK Vihor</v>
      </c>
      <c r="L906" s="45" t="str">
        <f t="shared" si="41"/>
        <v>Valentina – Skobe</v>
      </c>
      <c r="N906" s="103"/>
      <c r="O906" s="104"/>
      <c r="P906" s="105"/>
    </row>
    <row r="907" spans="2:16" x14ac:dyDescent="0.25">
      <c r="B907" s="103">
        <v>1028</v>
      </c>
      <c r="C907" s="104" t="s">
        <v>2499</v>
      </c>
      <c r="D907" s="104" t="s">
        <v>2498</v>
      </c>
      <c r="E907" s="104" t="s">
        <v>426</v>
      </c>
      <c r="F907" s="105" t="s">
        <v>364</v>
      </c>
      <c r="H907" s="45" t="str">
        <f t="shared" ref="H907:H970" si="42">IF(C907="","",C907) &amp; IF(D907="",""," – " &amp; D907) &amp; IF(E907="",""," – " &amp; E907) &amp; IF(F907="",""," – " &amp; F907)</f>
        <v>Oliver – Skočić – OK Vihor – M12</v>
      </c>
      <c r="J907" s="45" t="str">
        <f t="shared" ref="J907:J970" si="43">IF(C907="","",C907) &amp; IF(D907="",""," – " &amp; D907) &amp; IF(E907="",""," – " &amp; E907)</f>
        <v>Oliver – Skočić – OK Vihor</v>
      </c>
      <c r="L907" s="45" t="str">
        <f t="shared" ref="L907:L970" si="44">IF(C907="","",C907) &amp; IF(D907="",""," – " &amp; D907)</f>
        <v>Oliver – Skočić</v>
      </c>
      <c r="N907" s="103"/>
      <c r="O907" s="104"/>
      <c r="P907" s="105"/>
    </row>
    <row r="908" spans="2:16" x14ac:dyDescent="0.25">
      <c r="B908" s="103">
        <v>1049</v>
      </c>
      <c r="C908" s="104" t="s">
        <v>2912</v>
      </c>
      <c r="D908" s="104" t="s">
        <v>4368</v>
      </c>
      <c r="E908" s="104" t="s">
        <v>426</v>
      </c>
      <c r="F908" s="105"/>
      <c r="H908" s="45" t="str">
        <f t="shared" si="42"/>
        <v>Jelena – Slijepčević – OK Vihor</v>
      </c>
      <c r="J908" s="45" t="str">
        <f t="shared" si="43"/>
        <v>Jelena – Slijepčević – OK Vihor</v>
      </c>
      <c r="L908" s="45" t="str">
        <f t="shared" si="44"/>
        <v>Jelena – Slijepčević</v>
      </c>
      <c r="N908" s="103"/>
      <c r="O908" s="104"/>
      <c r="P908" s="105"/>
    </row>
    <row r="909" spans="2:16" x14ac:dyDescent="0.25">
      <c r="B909" s="103">
        <v>1503</v>
      </c>
      <c r="C909" s="104" t="s">
        <v>4369</v>
      </c>
      <c r="D909" s="104" t="s">
        <v>4370</v>
      </c>
      <c r="E909" s="104" t="s">
        <v>426</v>
      </c>
      <c r="F909" s="105" t="s">
        <v>652</v>
      </c>
      <c r="H909" s="45" t="str">
        <f t="shared" si="42"/>
        <v>Mika – Smital – OK Vihor – M16</v>
      </c>
      <c r="J909" s="45" t="str">
        <f t="shared" si="43"/>
        <v>Mika – Smital – OK Vihor</v>
      </c>
      <c r="L909" s="45" t="str">
        <f t="shared" si="44"/>
        <v>Mika – Smital</v>
      </c>
      <c r="N909" s="103"/>
      <c r="O909" s="104"/>
      <c r="P909" s="105"/>
    </row>
    <row r="910" spans="2:16" x14ac:dyDescent="0.25">
      <c r="B910" s="103">
        <v>1104</v>
      </c>
      <c r="C910" s="104" t="s">
        <v>4371</v>
      </c>
      <c r="D910" s="104" t="s">
        <v>4370</v>
      </c>
      <c r="E910" s="104" t="s">
        <v>426</v>
      </c>
      <c r="F910" s="105"/>
      <c r="H910" s="45" t="str">
        <f t="shared" si="42"/>
        <v>Tomo – Smital – OK Vihor</v>
      </c>
      <c r="J910" s="45" t="str">
        <f t="shared" si="43"/>
        <v>Tomo – Smital – OK Vihor</v>
      </c>
      <c r="L910" s="45" t="str">
        <f t="shared" si="44"/>
        <v>Tomo – Smital</v>
      </c>
      <c r="N910" s="103"/>
      <c r="O910" s="104"/>
      <c r="P910" s="105"/>
    </row>
    <row r="911" spans="2:16" x14ac:dyDescent="0.25">
      <c r="B911" s="103">
        <v>1945</v>
      </c>
      <c r="C911" s="104" t="s">
        <v>4268</v>
      </c>
      <c r="D911" s="104" t="s">
        <v>3945</v>
      </c>
      <c r="E911" s="104" t="s">
        <v>426</v>
      </c>
      <c r="F911" s="105" t="s">
        <v>3094</v>
      </c>
      <c r="H911" s="45" t="str">
        <f t="shared" si="42"/>
        <v>Tina – Šojat – OK Vihor – Ž21B</v>
      </c>
      <c r="J911" s="45" t="str">
        <f t="shared" si="43"/>
        <v>Tina – Šojat – OK Vihor</v>
      </c>
      <c r="L911" s="45" t="str">
        <f t="shared" si="44"/>
        <v>Tina – Šojat</v>
      </c>
      <c r="N911" s="103"/>
      <c r="O911" s="104"/>
      <c r="P911" s="105"/>
    </row>
    <row r="912" spans="2:16" x14ac:dyDescent="0.25">
      <c r="B912" s="103">
        <v>1027</v>
      </c>
      <c r="C912" s="104" t="s">
        <v>4372</v>
      </c>
      <c r="D912" s="104" t="s">
        <v>2256</v>
      </c>
      <c r="E912" s="104" t="s">
        <v>426</v>
      </c>
      <c r="F912" s="105"/>
      <c r="H912" s="45" t="str">
        <f t="shared" si="42"/>
        <v>Nives – Špoljar – OK Vihor</v>
      </c>
      <c r="J912" s="45" t="str">
        <f t="shared" si="43"/>
        <v>Nives – Špoljar – OK Vihor</v>
      </c>
      <c r="L912" s="45" t="str">
        <f t="shared" si="44"/>
        <v>Nives – Špoljar</v>
      </c>
      <c r="N912" s="103"/>
      <c r="O912" s="104"/>
      <c r="P912" s="105"/>
    </row>
    <row r="913" spans="2:16" x14ac:dyDescent="0.25">
      <c r="B913" s="103">
        <v>1086</v>
      </c>
      <c r="C913" s="104" t="s">
        <v>4286</v>
      </c>
      <c r="D913" s="104" t="s">
        <v>4373</v>
      </c>
      <c r="E913" s="104" t="s">
        <v>426</v>
      </c>
      <c r="F913" s="105" t="s">
        <v>3265</v>
      </c>
      <c r="H913" s="45" t="str">
        <f t="shared" si="42"/>
        <v>Matea – Sršen – OK Vihor – Ž35</v>
      </c>
      <c r="J913" s="45" t="str">
        <f t="shared" si="43"/>
        <v>Matea – Sršen – OK Vihor</v>
      </c>
      <c r="L913" s="45" t="str">
        <f t="shared" si="44"/>
        <v>Matea – Sršen</v>
      </c>
      <c r="N913" s="103"/>
      <c r="O913" s="104"/>
      <c r="P913" s="105"/>
    </row>
    <row r="914" spans="2:16" x14ac:dyDescent="0.25">
      <c r="B914" s="103">
        <v>1187</v>
      </c>
      <c r="C914" s="104" t="s">
        <v>4374</v>
      </c>
      <c r="D914" s="104" t="s">
        <v>4375</v>
      </c>
      <c r="E914" s="104" t="s">
        <v>426</v>
      </c>
      <c r="F914" s="105" t="s">
        <v>2928</v>
      </c>
      <c r="H914" s="45" t="str">
        <f t="shared" si="42"/>
        <v>Kira – Sršen Delgado – OK Vihor – Ž20</v>
      </c>
      <c r="J914" s="45" t="str">
        <f t="shared" si="43"/>
        <v>Kira – Sršen Delgado – OK Vihor</v>
      </c>
      <c r="L914" s="45" t="str">
        <f t="shared" si="44"/>
        <v>Kira – Sršen Delgado</v>
      </c>
      <c r="N914" s="103"/>
      <c r="O914" s="104"/>
      <c r="P914" s="105"/>
    </row>
    <row r="915" spans="2:16" x14ac:dyDescent="0.25">
      <c r="B915" s="103">
        <v>1229</v>
      </c>
      <c r="C915" s="104" t="s">
        <v>4376</v>
      </c>
      <c r="D915" s="104" t="s">
        <v>4375</v>
      </c>
      <c r="E915" s="104" t="s">
        <v>426</v>
      </c>
      <c r="F915" s="105" t="s">
        <v>2766</v>
      </c>
      <c r="H915" s="45" t="str">
        <f t="shared" si="42"/>
        <v>Leire – Sršen Delgado – OK Vihor – Ž16</v>
      </c>
      <c r="J915" s="45" t="str">
        <f t="shared" si="43"/>
        <v>Leire – Sršen Delgado – OK Vihor</v>
      </c>
      <c r="L915" s="45" t="str">
        <f t="shared" si="44"/>
        <v>Leire – Sršen Delgado</v>
      </c>
      <c r="N915" s="103"/>
      <c r="O915" s="104"/>
      <c r="P915" s="105"/>
    </row>
    <row r="916" spans="2:16" x14ac:dyDescent="0.25">
      <c r="B916" s="103">
        <v>1536</v>
      </c>
      <c r="C916" s="104" t="s">
        <v>4155</v>
      </c>
      <c r="D916" s="104" t="s">
        <v>4377</v>
      </c>
      <c r="E916" s="104" t="s">
        <v>426</v>
      </c>
      <c r="F916" s="105" t="s">
        <v>1130</v>
      </c>
      <c r="H916" s="45" t="str">
        <f t="shared" si="42"/>
        <v>Nino – Stančić Vidrač – OK Vihor – M21B</v>
      </c>
      <c r="J916" s="45" t="str">
        <f t="shared" si="43"/>
        <v>Nino – Stančić Vidrač – OK Vihor</v>
      </c>
      <c r="L916" s="45" t="str">
        <f t="shared" si="44"/>
        <v>Nino – Stančić Vidrač</v>
      </c>
      <c r="N916" s="103"/>
      <c r="O916" s="104"/>
      <c r="P916" s="105"/>
    </row>
    <row r="917" spans="2:16" x14ac:dyDescent="0.25">
      <c r="B917" s="103">
        <v>1008</v>
      </c>
      <c r="C917" s="104" t="s">
        <v>4378</v>
      </c>
      <c r="D917" s="104" t="s">
        <v>4379</v>
      </c>
      <c r="E917" s="104" t="s">
        <v>426</v>
      </c>
      <c r="F917" s="105"/>
      <c r="H917" s="45" t="str">
        <f t="shared" si="42"/>
        <v>Anđelka – Stih – OK Vihor</v>
      </c>
      <c r="J917" s="45" t="str">
        <f t="shared" si="43"/>
        <v>Anđelka – Stih – OK Vihor</v>
      </c>
      <c r="L917" s="45" t="str">
        <f t="shared" si="44"/>
        <v>Anđelka – Stih</v>
      </c>
      <c r="N917" s="103"/>
      <c r="O917" s="104"/>
      <c r="P917" s="105"/>
    </row>
    <row r="918" spans="2:16" x14ac:dyDescent="0.25">
      <c r="B918" s="103">
        <v>1036</v>
      </c>
      <c r="C918" s="104" t="s">
        <v>4380</v>
      </c>
      <c r="D918" s="104" t="s">
        <v>4381</v>
      </c>
      <c r="E918" s="104" t="s">
        <v>426</v>
      </c>
      <c r="F918" s="105"/>
      <c r="H918" s="45" t="str">
        <f t="shared" si="42"/>
        <v>Valentino – Stipčević – OK Vihor</v>
      </c>
      <c r="J918" s="45" t="str">
        <f t="shared" si="43"/>
        <v>Valentino – Stipčević – OK Vihor</v>
      </c>
      <c r="L918" s="45" t="str">
        <f t="shared" si="44"/>
        <v>Valentino – Stipčević</v>
      </c>
      <c r="N918" s="103"/>
      <c r="O918" s="109"/>
      <c r="P918" s="105"/>
    </row>
    <row r="919" spans="2:16" x14ac:dyDescent="0.25">
      <c r="B919" s="103">
        <v>1905</v>
      </c>
      <c r="C919" s="104" t="s">
        <v>2485</v>
      </c>
      <c r="D919" s="104" t="s">
        <v>1567</v>
      </c>
      <c r="E919" s="104" t="s">
        <v>426</v>
      </c>
      <c r="F919" s="105" t="s">
        <v>3094</v>
      </c>
      <c r="H919" s="45" t="str">
        <f t="shared" si="42"/>
        <v>Iva – Stipeljković – OK Vihor – Ž21B</v>
      </c>
      <c r="J919" s="45" t="str">
        <f t="shared" si="43"/>
        <v>Iva – Stipeljković – OK Vihor</v>
      </c>
      <c r="L919" s="45" t="str">
        <f t="shared" si="44"/>
        <v>Iva – Stipeljković</v>
      </c>
      <c r="N919" s="103"/>
      <c r="O919" s="104"/>
      <c r="P919" s="105"/>
    </row>
    <row r="920" spans="2:16" x14ac:dyDescent="0.25">
      <c r="B920" s="103">
        <v>1906</v>
      </c>
      <c r="C920" s="104" t="s">
        <v>1006</v>
      </c>
      <c r="D920" s="104" t="s">
        <v>1567</v>
      </c>
      <c r="E920" s="104" t="s">
        <v>426</v>
      </c>
      <c r="F920" s="105" t="s">
        <v>1130</v>
      </c>
      <c r="H920" s="45" t="str">
        <f t="shared" si="42"/>
        <v>Josip – Stipeljković – OK Vihor – M21B</v>
      </c>
      <c r="J920" s="45" t="str">
        <f t="shared" si="43"/>
        <v>Josip – Stipeljković – OK Vihor</v>
      </c>
      <c r="L920" s="45" t="str">
        <f t="shared" si="44"/>
        <v>Josip – Stipeljković</v>
      </c>
      <c r="N920" s="103"/>
      <c r="O920" s="104"/>
      <c r="P920" s="105"/>
    </row>
    <row r="921" spans="2:16" x14ac:dyDescent="0.25">
      <c r="B921" s="103">
        <v>1326</v>
      </c>
      <c r="C921" s="104" t="s">
        <v>3362</v>
      </c>
      <c r="D921" s="104" t="s">
        <v>3361</v>
      </c>
      <c r="E921" s="104" t="s">
        <v>426</v>
      </c>
      <c r="F921" s="105" t="s">
        <v>3265</v>
      </c>
      <c r="H921" s="45" t="str">
        <f t="shared" si="42"/>
        <v>Bernardica – Stipić – OK Vihor – Ž35</v>
      </c>
      <c r="J921" s="45" t="str">
        <f t="shared" si="43"/>
        <v>Bernardica – Stipić – OK Vihor</v>
      </c>
      <c r="L921" s="45" t="str">
        <f t="shared" si="44"/>
        <v>Bernardica – Stipić</v>
      </c>
      <c r="N921" s="103"/>
      <c r="O921" s="104"/>
      <c r="P921" s="105"/>
    </row>
    <row r="922" spans="2:16" x14ac:dyDescent="0.25">
      <c r="B922" s="103">
        <v>1262</v>
      </c>
      <c r="C922" s="104" t="s">
        <v>3348</v>
      </c>
      <c r="D922" s="104" t="s">
        <v>3347</v>
      </c>
      <c r="E922" s="104" t="s">
        <v>426</v>
      </c>
      <c r="F922" s="105" t="s">
        <v>3265</v>
      </c>
      <c r="H922" s="45" t="str">
        <f t="shared" si="42"/>
        <v>Vlatka – Stupalo – OK Vihor – Ž35</v>
      </c>
      <c r="J922" s="45" t="str">
        <f t="shared" si="43"/>
        <v>Vlatka – Stupalo – OK Vihor</v>
      </c>
      <c r="L922" s="45" t="str">
        <f t="shared" si="44"/>
        <v>Vlatka – Stupalo</v>
      </c>
      <c r="N922" s="103"/>
      <c r="O922" s="104"/>
      <c r="P922" s="105"/>
    </row>
    <row r="923" spans="2:16" x14ac:dyDescent="0.25">
      <c r="B923" s="103">
        <v>1304</v>
      </c>
      <c r="C923" s="104" t="s">
        <v>509</v>
      </c>
      <c r="D923" s="104" t="s">
        <v>620</v>
      </c>
      <c r="E923" s="104" t="s">
        <v>426</v>
      </c>
      <c r="F923" s="105" t="s">
        <v>487</v>
      </c>
      <c r="H923" s="45" t="str">
        <f t="shared" si="42"/>
        <v>Luka – Sučić – OK Vihor – M14</v>
      </c>
      <c r="J923" s="45" t="str">
        <f t="shared" si="43"/>
        <v>Luka – Sučić – OK Vihor</v>
      </c>
      <c r="L923" s="45" t="str">
        <f t="shared" si="44"/>
        <v>Luka – Sučić</v>
      </c>
      <c r="N923" s="103"/>
      <c r="O923" s="104"/>
      <c r="P923" s="105"/>
    </row>
    <row r="924" spans="2:16" x14ac:dyDescent="0.25">
      <c r="B924" s="103">
        <v>1141</v>
      </c>
      <c r="C924" s="104" t="s">
        <v>3246</v>
      </c>
      <c r="D924" s="104" t="s">
        <v>620</v>
      </c>
      <c r="E924" s="104" t="s">
        <v>426</v>
      </c>
      <c r="F924" s="105" t="s">
        <v>3094</v>
      </c>
      <c r="H924" s="45" t="str">
        <f t="shared" si="42"/>
        <v>Melita – Sučić – OK Vihor – Ž21B</v>
      </c>
      <c r="J924" s="45" t="str">
        <f t="shared" si="43"/>
        <v>Melita – Sučić – OK Vihor</v>
      </c>
      <c r="L924" s="45" t="str">
        <f t="shared" si="44"/>
        <v>Melita – Sučić</v>
      </c>
      <c r="N924" s="103"/>
      <c r="O924" s="104"/>
      <c r="P924" s="105"/>
    </row>
    <row r="925" spans="2:16" x14ac:dyDescent="0.25">
      <c r="B925" s="103">
        <v>1031</v>
      </c>
      <c r="C925" s="104" t="s">
        <v>4119</v>
      </c>
      <c r="D925" s="104" t="s">
        <v>620</v>
      </c>
      <c r="E925" s="104" t="s">
        <v>426</v>
      </c>
      <c r="F925" s="105"/>
      <c r="H925" s="45" t="str">
        <f t="shared" si="42"/>
        <v>Stjepan – Sučić – OK Vihor</v>
      </c>
      <c r="J925" s="45" t="str">
        <f t="shared" si="43"/>
        <v>Stjepan – Sučić – OK Vihor</v>
      </c>
      <c r="L925" s="45" t="str">
        <f t="shared" si="44"/>
        <v>Stjepan – Sučić</v>
      </c>
      <c r="N925" s="103"/>
      <c r="O925" s="104"/>
      <c r="P925" s="105"/>
    </row>
    <row r="926" spans="2:16" x14ac:dyDescent="0.25">
      <c r="B926" s="103">
        <v>1366</v>
      </c>
      <c r="C926" s="104" t="s">
        <v>1551</v>
      </c>
      <c r="D926" s="104" t="s">
        <v>620</v>
      </c>
      <c r="E926" s="104" t="s">
        <v>426</v>
      </c>
      <c r="F926" s="105" t="s">
        <v>1130</v>
      </c>
      <c r="H926" s="45" t="str">
        <f t="shared" si="42"/>
        <v>Valter – Sučić – OK Vihor – M21B</v>
      </c>
      <c r="J926" s="45" t="str">
        <f t="shared" si="43"/>
        <v>Valter – Sučić – OK Vihor</v>
      </c>
      <c r="L926" s="45" t="str">
        <f t="shared" si="44"/>
        <v>Valter – Sučić</v>
      </c>
      <c r="N926" s="103"/>
      <c r="O926" s="104"/>
      <c r="P926" s="105"/>
    </row>
    <row r="927" spans="2:16" x14ac:dyDescent="0.25">
      <c r="B927" s="103">
        <v>1148</v>
      </c>
      <c r="C927" s="104" t="s">
        <v>2485</v>
      </c>
      <c r="D927" s="104" t="s">
        <v>3401</v>
      </c>
      <c r="E927" s="104" t="s">
        <v>426</v>
      </c>
      <c r="F927" s="105" t="s">
        <v>3265</v>
      </c>
      <c r="H927" s="45" t="str">
        <f t="shared" si="42"/>
        <v>Iva – Tatić – OK Vihor – Ž35</v>
      </c>
      <c r="J927" s="45" t="str">
        <f t="shared" si="43"/>
        <v>Iva – Tatić – OK Vihor</v>
      </c>
      <c r="L927" s="45" t="str">
        <f t="shared" si="44"/>
        <v>Iva – Tatić</v>
      </c>
      <c r="N927" s="103"/>
      <c r="O927" s="104"/>
      <c r="P927" s="105"/>
    </row>
    <row r="928" spans="2:16" x14ac:dyDescent="0.25">
      <c r="B928" s="103">
        <v>1291</v>
      </c>
      <c r="C928" s="104" t="s">
        <v>2647</v>
      </c>
      <c r="D928" s="104" t="s">
        <v>1379</v>
      </c>
      <c r="E928" s="104" t="s">
        <v>426</v>
      </c>
      <c r="F928" s="105" t="s">
        <v>3001</v>
      </c>
      <c r="H928" s="45" t="str">
        <f t="shared" si="42"/>
        <v>Dora – Težak – OK Vihor – Ž21A</v>
      </c>
      <c r="J928" s="45" t="str">
        <f t="shared" si="43"/>
        <v>Dora – Težak – OK Vihor</v>
      </c>
      <c r="L928" s="45" t="str">
        <f t="shared" si="44"/>
        <v>Dora – Težak</v>
      </c>
      <c r="N928" s="103"/>
      <c r="O928" s="104"/>
      <c r="P928" s="105"/>
    </row>
    <row r="929" spans="2:16" x14ac:dyDescent="0.25">
      <c r="B929" s="103">
        <v>1436</v>
      </c>
      <c r="C929" s="104" t="s">
        <v>2448</v>
      </c>
      <c r="D929" s="104" t="s">
        <v>1379</v>
      </c>
      <c r="E929" s="104" t="s">
        <v>426</v>
      </c>
      <c r="F929" s="105" t="s">
        <v>3443</v>
      </c>
      <c r="H929" s="45" t="str">
        <f t="shared" si="42"/>
        <v>Ivana – Težak – OK Vihor – Ž45</v>
      </c>
      <c r="J929" s="45" t="str">
        <f t="shared" si="43"/>
        <v>Ivana – Težak – OK Vihor</v>
      </c>
      <c r="L929" s="45" t="str">
        <f t="shared" si="44"/>
        <v>Ivana – Težak</v>
      </c>
      <c r="N929" s="103"/>
      <c r="O929" s="104"/>
      <c r="P929" s="105"/>
    </row>
    <row r="930" spans="2:16" x14ac:dyDescent="0.25">
      <c r="B930" s="103">
        <v>1114</v>
      </c>
      <c r="C930" s="104" t="s">
        <v>590</v>
      </c>
      <c r="D930" s="104" t="s">
        <v>1379</v>
      </c>
      <c r="E930" s="104" t="s">
        <v>426</v>
      </c>
      <c r="F930" s="105" t="s">
        <v>1130</v>
      </c>
      <c r="H930" s="45" t="str">
        <f t="shared" si="42"/>
        <v>Karlo – Težak – OK Vihor – M21B</v>
      </c>
      <c r="J930" s="45" t="str">
        <f t="shared" si="43"/>
        <v>Karlo – Težak – OK Vihor</v>
      </c>
      <c r="L930" s="45" t="str">
        <f t="shared" si="44"/>
        <v>Karlo – Težak</v>
      </c>
      <c r="N930" s="103"/>
      <c r="O930" s="104"/>
      <c r="P930" s="105"/>
    </row>
    <row r="931" spans="2:16" x14ac:dyDescent="0.25">
      <c r="B931" s="103">
        <v>1329</v>
      </c>
      <c r="C931" s="104" t="s">
        <v>4209</v>
      </c>
      <c r="D931" s="104" t="s">
        <v>1379</v>
      </c>
      <c r="E931" s="104" t="s">
        <v>426</v>
      </c>
      <c r="F931" s="105" t="s">
        <v>2766</v>
      </c>
      <c r="H931" s="45" t="str">
        <f t="shared" si="42"/>
        <v>Magdalena – Težak – OK Vihor – Ž16</v>
      </c>
      <c r="J931" s="45" t="str">
        <f t="shared" si="43"/>
        <v>Magdalena – Težak – OK Vihor</v>
      </c>
      <c r="L931" s="45" t="str">
        <f t="shared" si="44"/>
        <v>Magdalena – Težak</v>
      </c>
      <c r="N931" s="103"/>
      <c r="O931" s="104"/>
      <c r="P931" s="105"/>
    </row>
    <row r="932" spans="2:16" x14ac:dyDescent="0.25">
      <c r="B932" s="103">
        <v>1280</v>
      </c>
      <c r="C932" s="104" t="s">
        <v>1944</v>
      </c>
      <c r="D932" s="104" t="s">
        <v>1379</v>
      </c>
      <c r="E932" s="104" t="s">
        <v>426</v>
      </c>
      <c r="F932" s="105" t="s">
        <v>1909</v>
      </c>
      <c r="H932" s="45" t="str">
        <f t="shared" si="42"/>
        <v>Robert – Težak – OK Vihor – M45</v>
      </c>
      <c r="J932" s="45" t="str">
        <f t="shared" si="43"/>
        <v>Robert – Težak – OK Vihor</v>
      </c>
      <c r="L932" s="45" t="str">
        <f t="shared" si="44"/>
        <v>Robert – Težak</v>
      </c>
      <c r="N932" s="103"/>
      <c r="O932" s="104"/>
      <c r="P932" s="105"/>
    </row>
    <row r="933" spans="2:16" x14ac:dyDescent="0.25">
      <c r="B933" s="103">
        <v>1928</v>
      </c>
      <c r="C933" s="104" t="s">
        <v>3253</v>
      </c>
      <c r="D933" s="104" t="s">
        <v>3252</v>
      </c>
      <c r="E933" s="104" t="s">
        <v>426</v>
      </c>
      <c r="F933" s="105" t="s">
        <v>3094</v>
      </c>
      <c r="H933" s="45" t="str">
        <f t="shared" si="42"/>
        <v>Marina – Tomac-Rojčević – OK Vihor – Ž21B</v>
      </c>
      <c r="J933" s="45" t="str">
        <f t="shared" si="43"/>
        <v>Marina – Tomac-Rojčević – OK Vihor</v>
      </c>
      <c r="L933" s="45" t="str">
        <f t="shared" si="44"/>
        <v>Marina – Tomac-Rojčević</v>
      </c>
      <c r="N933" s="103"/>
      <c r="O933" s="104"/>
      <c r="P933" s="105"/>
    </row>
    <row r="934" spans="2:16" x14ac:dyDescent="0.25">
      <c r="B934" s="103">
        <v>1929</v>
      </c>
      <c r="C934" s="104" t="s">
        <v>1468</v>
      </c>
      <c r="D934" s="104" t="s">
        <v>1467</v>
      </c>
      <c r="E934" s="104" t="s">
        <v>426</v>
      </c>
      <c r="F934" s="105" t="s">
        <v>1130</v>
      </c>
      <c r="H934" s="45" t="str">
        <f t="shared" si="42"/>
        <v>Emil – Trčak – OK Vihor – M21B</v>
      </c>
      <c r="J934" s="45" t="str">
        <f t="shared" si="43"/>
        <v>Emil – Trčak – OK Vihor</v>
      </c>
      <c r="L934" s="45" t="str">
        <f t="shared" si="44"/>
        <v>Emil – Trčak</v>
      </c>
      <c r="N934" s="103"/>
      <c r="O934" s="104"/>
      <c r="P934" s="105"/>
    </row>
    <row r="935" spans="2:16" x14ac:dyDescent="0.25">
      <c r="B935" s="103">
        <v>1100</v>
      </c>
      <c r="C935" s="104" t="s">
        <v>3239</v>
      </c>
      <c r="D935" s="104" t="s">
        <v>4382</v>
      </c>
      <c r="E935" s="104" t="s">
        <v>426</v>
      </c>
      <c r="F935" s="105" t="s">
        <v>3094</v>
      </c>
      <c r="H935" s="45" t="str">
        <f t="shared" si="42"/>
        <v>Martina – Triplat Horvat – OK Vihor – Ž21B</v>
      </c>
      <c r="J935" s="45" t="str">
        <f t="shared" si="43"/>
        <v>Martina – Triplat Horvat – OK Vihor</v>
      </c>
      <c r="L935" s="45" t="str">
        <f t="shared" si="44"/>
        <v>Martina – Triplat Horvat</v>
      </c>
      <c r="N935" s="103"/>
      <c r="O935" s="104"/>
      <c r="P935" s="105"/>
    </row>
    <row r="936" spans="2:16" x14ac:dyDescent="0.25">
      <c r="B936" s="103">
        <v>1336</v>
      </c>
      <c r="C936" s="104" t="s">
        <v>1980</v>
      </c>
      <c r="D936" s="104" t="s">
        <v>2400</v>
      </c>
      <c r="E936" s="104" t="s">
        <v>426</v>
      </c>
      <c r="F936" s="105" t="s">
        <v>886</v>
      </c>
      <c r="H936" s="45" t="str">
        <f t="shared" si="42"/>
        <v>Marijan – Turkalj – OK Vihor – M21A</v>
      </c>
      <c r="J936" s="45" t="str">
        <f t="shared" si="43"/>
        <v>Marijan – Turkalj – OK Vihor</v>
      </c>
      <c r="L936" s="45" t="str">
        <f t="shared" si="44"/>
        <v>Marijan – Turkalj</v>
      </c>
      <c r="N936" s="103"/>
      <c r="O936" s="104"/>
      <c r="P936" s="105"/>
    </row>
    <row r="937" spans="2:16" x14ac:dyDescent="0.25">
      <c r="B937" s="103">
        <v>1486</v>
      </c>
      <c r="C937" s="104" t="s">
        <v>4383</v>
      </c>
      <c r="D937" s="104" t="s">
        <v>4384</v>
      </c>
      <c r="E937" s="104" t="s">
        <v>426</v>
      </c>
      <c r="F937" s="105" t="s">
        <v>1909</v>
      </c>
      <c r="H937" s="45" t="str">
        <f t="shared" si="42"/>
        <v>Krešimir – Tušek – OK Vihor – M45</v>
      </c>
      <c r="J937" s="45" t="str">
        <f t="shared" si="43"/>
        <v>Krešimir – Tušek – OK Vihor</v>
      </c>
      <c r="L937" s="45" t="str">
        <f t="shared" si="44"/>
        <v>Krešimir – Tušek</v>
      </c>
      <c r="N937" s="103"/>
      <c r="O937" s="104"/>
      <c r="P937" s="105"/>
    </row>
    <row r="938" spans="2:16" x14ac:dyDescent="0.25">
      <c r="B938" s="103">
        <v>1447</v>
      </c>
      <c r="C938" s="104" t="s">
        <v>963</v>
      </c>
      <c r="D938" s="104" t="s">
        <v>4385</v>
      </c>
      <c r="E938" s="104" t="s">
        <v>426</v>
      </c>
      <c r="F938" s="105" t="s">
        <v>1909</v>
      </c>
      <c r="H938" s="45" t="str">
        <f t="shared" si="42"/>
        <v>Dražen – Tutić – OK Vihor – M45</v>
      </c>
      <c r="J938" s="45" t="str">
        <f t="shared" si="43"/>
        <v>Dražen – Tutić – OK Vihor</v>
      </c>
      <c r="L938" s="45" t="str">
        <f t="shared" si="44"/>
        <v>Dražen – Tutić</v>
      </c>
      <c r="N938" s="103"/>
      <c r="O938" s="104"/>
      <c r="P938" s="105"/>
    </row>
    <row r="939" spans="2:16" x14ac:dyDescent="0.25">
      <c r="B939" s="103">
        <v>1042</v>
      </c>
      <c r="C939" s="104" t="s">
        <v>2704</v>
      </c>
      <c r="D939" s="104" t="s">
        <v>4385</v>
      </c>
      <c r="E939" s="104" t="s">
        <v>426</v>
      </c>
      <c r="F939" s="105" t="s">
        <v>2732</v>
      </c>
      <c r="H939" s="45" t="str">
        <f t="shared" si="42"/>
        <v>Ema – Tutić – OK Vihor – Ž14</v>
      </c>
      <c r="J939" s="45" t="str">
        <f t="shared" si="43"/>
        <v>Ema – Tutić – OK Vihor</v>
      </c>
      <c r="L939" s="45" t="str">
        <f t="shared" si="44"/>
        <v>Ema – Tutić</v>
      </c>
      <c r="N939" s="103"/>
      <c r="O939" s="104"/>
      <c r="P939" s="105"/>
    </row>
    <row r="940" spans="2:16" x14ac:dyDescent="0.25">
      <c r="B940" s="103">
        <v>1154</v>
      </c>
      <c r="C940" s="104" t="s">
        <v>3239</v>
      </c>
      <c r="D940" s="104" t="s">
        <v>4385</v>
      </c>
      <c r="E940" s="104" t="s">
        <v>426</v>
      </c>
      <c r="F940" s="105"/>
      <c r="H940" s="45" t="str">
        <f t="shared" si="42"/>
        <v>Martina – Tutić – OK Vihor</v>
      </c>
      <c r="J940" s="45" t="str">
        <f t="shared" si="43"/>
        <v>Martina – Tutić – OK Vihor</v>
      </c>
      <c r="L940" s="45" t="str">
        <f t="shared" si="44"/>
        <v>Martina – Tutić</v>
      </c>
      <c r="N940" s="103"/>
      <c r="O940" s="104"/>
      <c r="P940" s="105"/>
    </row>
    <row r="941" spans="2:16" x14ac:dyDescent="0.25">
      <c r="B941" s="103">
        <v>1455</v>
      </c>
      <c r="C941" s="104" t="s">
        <v>421</v>
      </c>
      <c r="D941" s="104" t="s">
        <v>4385</v>
      </c>
      <c r="E941" s="104" t="s">
        <v>426</v>
      </c>
      <c r="F941" s="105" t="s">
        <v>1130</v>
      </c>
      <c r="H941" s="45" t="str">
        <f t="shared" si="42"/>
        <v>Teo – Tutić – OK Vihor – M21B</v>
      </c>
      <c r="J941" s="45" t="str">
        <f t="shared" si="43"/>
        <v>Teo – Tutić – OK Vihor</v>
      </c>
      <c r="L941" s="45" t="str">
        <f t="shared" si="44"/>
        <v>Teo – Tutić</v>
      </c>
      <c r="N941" s="103"/>
      <c r="O941" s="104"/>
      <c r="P941" s="105"/>
    </row>
    <row r="942" spans="2:16" x14ac:dyDescent="0.25">
      <c r="B942" s="103">
        <v>1724</v>
      </c>
      <c r="C942" s="104" t="s">
        <v>4386</v>
      </c>
      <c r="D942" s="104" t="s">
        <v>4387</v>
      </c>
      <c r="E942" s="104" t="s">
        <v>426</v>
      </c>
      <c r="F942" s="105"/>
      <c r="H942" s="45" t="str">
        <f t="shared" si="42"/>
        <v>Roberta – Valai – OK Vihor</v>
      </c>
      <c r="J942" s="45" t="str">
        <f t="shared" si="43"/>
        <v>Roberta – Valai – OK Vihor</v>
      </c>
      <c r="L942" s="45" t="str">
        <f t="shared" si="44"/>
        <v>Roberta – Valai</v>
      </c>
      <c r="N942" s="103"/>
      <c r="O942" s="104"/>
      <c r="P942" s="105"/>
    </row>
    <row r="943" spans="2:16" x14ac:dyDescent="0.25">
      <c r="B943" s="103">
        <v>1909</v>
      </c>
      <c r="C943" s="104" t="s">
        <v>2647</v>
      </c>
      <c r="D943" s="104" t="s">
        <v>1320</v>
      </c>
      <c r="E943" s="104" t="s">
        <v>426</v>
      </c>
      <c r="F943" s="105" t="s">
        <v>2766</v>
      </c>
      <c r="H943" s="45" t="str">
        <f t="shared" si="42"/>
        <v>Dora – Valjak – OK Vihor – Ž16</v>
      </c>
      <c r="J943" s="45" t="str">
        <f t="shared" si="43"/>
        <v>Dora – Valjak – OK Vihor</v>
      </c>
      <c r="L943" s="45" t="str">
        <f t="shared" si="44"/>
        <v>Dora – Valjak</v>
      </c>
      <c r="N943" s="103"/>
      <c r="O943" s="104"/>
      <c r="P943" s="105"/>
    </row>
    <row r="944" spans="2:16" x14ac:dyDescent="0.25">
      <c r="B944" s="103">
        <v>1908</v>
      </c>
      <c r="C944" s="104" t="s">
        <v>472</v>
      </c>
      <c r="D944" s="104" t="s">
        <v>1320</v>
      </c>
      <c r="E944" s="104" t="s">
        <v>426</v>
      </c>
      <c r="F944" s="105" t="s">
        <v>769</v>
      </c>
      <c r="H944" s="45" t="str">
        <f t="shared" si="42"/>
        <v>Filip – Valjak – OK Vihor – M20</v>
      </c>
      <c r="J944" s="45" t="str">
        <f t="shared" si="43"/>
        <v>Filip – Valjak – OK Vihor</v>
      </c>
      <c r="L944" s="45" t="str">
        <f t="shared" si="44"/>
        <v>Filip – Valjak</v>
      </c>
      <c r="N944" s="103"/>
      <c r="O944" s="104"/>
      <c r="P944" s="105"/>
    </row>
    <row r="945" spans="2:16" x14ac:dyDescent="0.25">
      <c r="B945" s="103">
        <v>1907</v>
      </c>
      <c r="C945" s="104" t="s">
        <v>1321</v>
      </c>
      <c r="D945" s="104" t="s">
        <v>1320</v>
      </c>
      <c r="E945" s="104" t="s">
        <v>426</v>
      </c>
      <c r="F945" s="105" t="s">
        <v>1130</v>
      </c>
      <c r="H945" s="45" t="str">
        <f t="shared" si="42"/>
        <v>Željko – Valjak – OK Vihor – M21B</v>
      </c>
      <c r="J945" s="45" t="str">
        <f t="shared" si="43"/>
        <v>Željko – Valjak – OK Vihor</v>
      </c>
      <c r="L945" s="45" t="str">
        <f t="shared" si="44"/>
        <v>Željko – Valjak</v>
      </c>
      <c r="N945" s="103"/>
      <c r="O945" s="104"/>
      <c r="P945" s="105"/>
    </row>
    <row r="946" spans="2:16" x14ac:dyDescent="0.25">
      <c r="B946" s="103">
        <v>1529</v>
      </c>
      <c r="C946" s="104" t="s">
        <v>2448</v>
      </c>
      <c r="D946" s="104" t="s">
        <v>4388</v>
      </c>
      <c r="E946" s="104" t="s">
        <v>426</v>
      </c>
      <c r="F946" s="105" t="s">
        <v>3443</v>
      </c>
      <c r="H946" s="45" t="str">
        <f t="shared" si="42"/>
        <v>Ivana – Varga Horjan – OK Vihor – Ž45</v>
      </c>
      <c r="J946" s="45" t="str">
        <f t="shared" si="43"/>
        <v>Ivana – Varga Horjan – OK Vihor</v>
      </c>
      <c r="L946" s="45" t="str">
        <f t="shared" si="44"/>
        <v>Ivana – Varga Horjan</v>
      </c>
      <c r="N946" s="103"/>
      <c r="O946" s="104"/>
      <c r="P946" s="105"/>
    </row>
    <row r="947" spans="2:16" x14ac:dyDescent="0.25">
      <c r="B947" s="103">
        <v>1289</v>
      </c>
      <c r="C947" s="104" t="s">
        <v>1029</v>
      </c>
      <c r="D947" s="104" t="s">
        <v>1028</v>
      </c>
      <c r="E947" s="104" t="s">
        <v>426</v>
      </c>
      <c r="F947" s="105" t="s">
        <v>886</v>
      </c>
      <c r="H947" s="45" t="str">
        <f t="shared" si="42"/>
        <v>Tomislav – Varnica – OK Vihor – M21A</v>
      </c>
      <c r="J947" s="45" t="str">
        <f t="shared" si="43"/>
        <v>Tomislav – Varnica – OK Vihor</v>
      </c>
      <c r="L947" s="45" t="str">
        <f t="shared" si="44"/>
        <v>Tomislav – Varnica</v>
      </c>
      <c r="N947" s="103"/>
      <c r="O947" s="104"/>
      <c r="P947" s="105"/>
    </row>
    <row r="948" spans="2:16" x14ac:dyDescent="0.25">
      <c r="B948" s="103">
        <v>1725</v>
      </c>
      <c r="C948" s="104" t="s">
        <v>4389</v>
      </c>
      <c r="D948" s="104" t="s">
        <v>4029</v>
      </c>
      <c r="E948" s="104" t="s">
        <v>426</v>
      </c>
      <c r="F948" s="105"/>
      <c r="H948" s="45" t="str">
        <f t="shared" si="42"/>
        <v>Romana – Večerić – OK Vihor</v>
      </c>
      <c r="J948" s="45" t="str">
        <f t="shared" si="43"/>
        <v>Romana – Večerić – OK Vihor</v>
      </c>
      <c r="L948" s="45" t="str">
        <f t="shared" si="44"/>
        <v>Romana – Večerić</v>
      </c>
      <c r="N948" s="103"/>
      <c r="O948" s="104"/>
      <c r="P948" s="105"/>
    </row>
    <row r="949" spans="2:16" x14ac:dyDescent="0.25">
      <c r="B949" s="103">
        <v>1910</v>
      </c>
      <c r="C949" s="104" t="s">
        <v>3262</v>
      </c>
      <c r="D949" s="104" t="s">
        <v>4390</v>
      </c>
      <c r="E949" s="104" t="s">
        <v>426</v>
      </c>
      <c r="F949" s="105" t="s">
        <v>3094</v>
      </c>
      <c r="H949" s="45" t="str">
        <f t="shared" si="42"/>
        <v>Željka – Vilagoš – OK Vihor – Ž21B</v>
      </c>
      <c r="J949" s="45" t="str">
        <f t="shared" si="43"/>
        <v>Željka – Vilagoš – OK Vihor</v>
      </c>
      <c r="L949" s="45" t="str">
        <f t="shared" si="44"/>
        <v>Željka – Vilagoš</v>
      </c>
      <c r="N949" s="103"/>
      <c r="O949" s="104"/>
      <c r="P949" s="105"/>
    </row>
    <row r="950" spans="2:16" x14ac:dyDescent="0.25">
      <c r="B950" s="103">
        <v>1240</v>
      </c>
      <c r="C950" s="104" t="s">
        <v>4006</v>
      </c>
      <c r="D950" s="104" t="s">
        <v>4391</v>
      </c>
      <c r="E950" s="104" t="s">
        <v>426</v>
      </c>
      <c r="F950" s="105" t="s">
        <v>3443</v>
      </c>
      <c r="H950" s="45" t="str">
        <f t="shared" si="42"/>
        <v>Jasminka – Vlahović – OK Vihor – Ž45</v>
      </c>
      <c r="J950" s="45" t="str">
        <f t="shared" si="43"/>
        <v>Jasminka – Vlahović – OK Vihor</v>
      </c>
      <c r="L950" s="45" t="str">
        <f t="shared" si="44"/>
        <v>Jasminka – Vlahović</v>
      </c>
      <c r="N950" s="103"/>
      <c r="O950" s="104"/>
      <c r="P950" s="105"/>
    </row>
    <row r="951" spans="2:16" x14ac:dyDescent="0.25">
      <c r="B951" s="103">
        <v>1956</v>
      </c>
      <c r="C951" s="104" t="s">
        <v>2070</v>
      </c>
      <c r="D951" s="104" t="s">
        <v>4392</v>
      </c>
      <c r="E951" s="104" t="s">
        <v>426</v>
      </c>
      <c r="F951" s="105"/>
      <c r="H951" s="45" t="str">
        <f t="shared" si="42"/>
        <v>Alen – Vodopijevec – OK Vihor</v>
      </c>
      <c r="J951" s="45" t="str">
        <f t="shared" si="43"/>
        <v>Alen – Vodopijevec – OK Vihor</v>
      </c>
      <c r="L951" s="45" t="str">
        <f t="shared" si="44"/>
        <v>Alen – Vodopijevec</v>
      </c>
      <c r="N951" s="103"/>
      <c r="O951" s="104"/>
      <c r="P951" s="105"/>
    </row>
    <row r="952" spans="2:16" x14ac:dyDescent="0.25">
      <c r="B952" s="103">
        <v>1552</v>
      </c>
      <c r="C952" s="104" t="s">
        <v>2950</v>
      </c>
      <c r="D952" s="104" t="s">
        <v>3839</v>
      </c>
      <c r="E952" s="104" t="s">
        <v>426</v>
      </c>
      <c r="F952" s="105" t="s">
        <v>3443</v>
      </c>
      <c r="H952" s="45" t="str">
        <f t="shared" si="42"/>
        <v>Paula – Vrdoljak – OK Vihor – Ž45</v>
      </c>
      <c r="J952" s="45" t="str">
        <f t="shared" si="43"/>
        <v>Paula – Vrdoljak – OK Vihor</v>
      </c>
      <c r="L952" s="45" t="str">
        <f t="shared" si="44"/>
        <v>Paula – Vrdoljak</v>
      </c>
      <c r="N952" s="103"/>
      <c r="O952" s="104"/>
      <c r="P952" s="105"/>
    </row>
    <row r="953" spans="2:16" x14ac:dyDescent="0.25">
      <c r="B953" s="103">
        <v>1448</v>
      </c>
      <c r="C953" s="104" t="s">
        <v>1029</v>
      </c>
      <c r="D953" s="104" t="s">
        <v>1745</v>
      </c>
      <c r="E953" s="104" t="s">
        <v>426</v>
      </c>
      <c r="F953" s="105" t="s">
        <v>1575</v>
      </c>
      <c r="H953" s="45" t="str">
        <f t="shared" si="42"/>
        <v>Tomislav – Vuk – OK Vihor – M35</v>
      </c>
      <c r="J953" s="45" t="str">
        <f t="shared" si="43"/>
        <v>Tomislav – Vuk – OK Vihor</v>
      </c>
      <c r="L953" s="45" t="str">
        <f t="shared" si="44"/>
        <v>Tomislav – Vuk</v>
      </c>
      <c r="N953" s="103"/>
      <c r="O953" s="104"/>
      <c r="P953" s="105"/>
    </row>
    <row r="954" spans="2:16" x14ac:dyDescent="0.25">
      <c r="B954" s="103">
        <v>1911</v>
      </c>
      <c r="C954" s="104" t="s">
        <v>754</v>
      </c>
      <c r="D954" s="104" t="s">
        <v>753</v>
      </c>
      <c r="E954" s="104" t="s">
        <v>426</v>
      </c>
      <c r="F954" s="105" t="s">
        <v>652</v>
      </c>
      <c r="H954" s="45" t="str">
        <f t="shared" si="42"/>
        <v>Kaan – Yelen – OK Vihor – M16</v>
      </c>
      <c r="J954" s="45" t="str">
        <f t="shared" si="43"/>
        <v>Kaan – Yelen – OK Vihor</v>
      </c>
      <c r="L954" s="45" t="str">
        <f t="shared" si="44"/>
        <v>Kaan – Yelen</v>
      </c>
      <c r="N954" s="103"/>
      <c r="O954" s="104"/>
      <c r="P954" s="105"/>
    </row>
    <row r="955" spans="2:16" x14ac:dyDescent="0.25">
      <c r="B955" s="103">
        <v>1726</v>
      </c>
      <c r="C955" s="104" t="s">
        <v>605</v>
      </c>
      <c r="D955" s="104" t="s">
        <v>4393</v>
      </c>
      <c r="E955" s="104" t="s">
        <v>426</v>
      </c>
      <c r="F955" s="105"/>
      <c r="H955" s="45" t="str">
        <f t="shared" si="42"/>
        <v>Marko – Žabčić – OK Vihor</v>
      </c>
      <c r="J955" s="45" t="str">
        <f t="shared" si="43"/>
        <v>Marko – Žabčić – OK Vihor</v>
      </c>
      <c r="L955" s="45" t="str">
        <f t="shared" si="44"/>
        <v>Marko – Žabčić</v>
      </c>
      <c r="N955" s="103"/>
      <c r="O955" s="104"/>
      <c r="P955" s="105"/>
    </row>
    <row r="956" spans="2:16" x14ac:dyDescent="0.25">
      <c r="B956" s="103">
        <v>1004</v>
      </c>
      <c r="C956" s="104" t="s">
        <v>3231</v>
      </c>
      <c r="D956" s="104" t="s">
        <v>4394</v>
      </c>
      <c r="E956" s="104" t="s">
        <v>426</v>
      </c>
      <c r="F956" s="105"/>
      <c r="H956" s="45" t="str">
        <f t="shared" si="42"/>
        <v>Aleksandra – Žagar – OK Vihor</v>
      </c>
      <c r="J956" s="45" t="str">
        <f t="shared" si="43"/>
        <v>Aleksandra – Žagar – OK Vihor</v>
      </c>
      <c r="L956" s="45" t="str">
        <f t="shared" si="44"/>
        <v>Aleksandra – Žagar</v>
      </c>
      <c r="N956" s="103"/>
      <c r="O956" s="104"/>
      <c r="P956" s="105"/>
    </row>
    <row r="957" spans="2:16" x14ac:dyDescent="0.25">
      <c r="B957" s="103">
        <v>1011</v>
      </c>
      <c r="C957" s="104" t="s">
        <v>1867</v>
      </c>
      <c r="D957" s="104" t="s">
        <v>4394</v>
      </c>
      <c r="E957" s="104" t="s">
        <v>426</v>
      </c>
      <c r="F957" s="105"/>
      <c r="H957" s="45" t="str">
        <f t="shared" si="42"/>
        <v>Damir – Žagar – OK Vihor</v>
      </c>
      <c r="J957" s="45" t="str">
        <f t="shared" si="43"/>
        <v>Damir – Žagar – OK Vihor</v>
      </c>
      <c r="L957" s="45" t="str">
        <f t="shared" si="44"/>
        <v>Damir – Žagar</v>
      </c>
      <c r="N957" s="103"/>
      <c r="O957" s="104"/>
      <c r="P957" s="105"/>
    </row>
    <row r="958" spans="2:16" x14ac:dyDescent="0.25">
      <c r="B958" s="103">
        <v>1912</v>
      </c>
      <c r="C958" s="104" t="s">
        <v>3024</v>
      </c>
      <c r="D958" s="104" t="s">
        <v>3213</v>
      </c>
      <c r="E958" s="104" t="s">
        <v>426</v>
      </c>
      <c r="F958" s="105" t="s">
        <v>3094</v>
      </c>
      <c r="H958" s="45" t="str">
        <f t="shared" si="42"/>
        <v>Olga – Zaitseva – OK Vihor – Ž21B</v>
      </c>
      <c r="J958" s="45" t="str">
        <f t="shared" si="43"/>
        <v>Olga – Zaitseva – OK Vihor</v>
      </c>
      <c r="L958" s="45" t="str">
        <f t="shared" si="44"/>
        <v>Olga – Zaitseva</v>
      </c>
      <c r="N958" s="103"/>
      <c r="O958" s="104"/>
      <c r="P958" s="105"/>
    </row>
    <row r="959" spans="2:16" x14ac:dyDescent="0.25">
      <c r="B959" s="103">
        <v>1037</v>
      </c>
      <c r="C959" s="104" t="s">
        <v>4151</v>
      </c>
      <c r="D959" s="104" t="s">
        <v>4395</v>
      </c>
      <c r="E959" s="104" t="s">
        <v>426</v>
      </c>
      <c r="F959" s="105"/>
      <c r="H959" s="45" t="str">
        <f t="shared" si="42"/>
        <v>Vesna – Žarak – OK Vihor</v>
      </c>
      <c r="J959" s="45" t="str">
        <f t="shared" si="43"/>
        <v>Vesna – Žarak – OK Vihor</v>
      </c>
      <c r="L959" s="45" t="str">
        <f t="shared" si="44"/>
        <v>Vesna – Žarak</v>
      </c>
      <c r="N959" s="103"/>
      <c r="O959" s="104"/>
      <c r="P959" s="105"/>
    </row>
    <row r="960" spans="2:16" x14ac:dyDescent="0.25">
      <c r="B960" s="103">
        <v>1454</v>
      </c>
      <c r="C960" s="104" t="s">
        <v>4083</v>
      </c>
      <c r="D960" s="104" t="s">
        <v>4396</v>
      </c>
      <c r="E960" s="104" t="s">
        <v>426</v>
      </c>
      <c r="F960" s="105" t="s">
        <v>3443</v>
      </c>
      <c r="H960" s="45" t="str">
        <f t="shared" si="42"/>
        <v>Kristina – Zubin – OK Vihor – Ž45</v>
      </c>
      <c r="J960" s="45" t="str">
        <f t="shared" si="43"/>
        <v>Kristina – Zubin – OK Vihor</v>
      </c>
      <c r="L960" s="45" t="str">
        <f t="shared" si="44"/>
        <v>Kristina – Zubin</v>
      </c>
      <c r="N960" s="103"/>
      <c r="O960" s="104"/>
      <c r="P960" s="105"/>
    </row>
    <row r="961" spans="2:16" x14ac:dyDescent="0.25">
      <c r="B961" s="103">
        <v>1808</v>
      </c>
      <c r="C961" s="104" t="s">
        <v>438</v>
      </c>
      <c r="D961" s="104" t="s">
        <v>4397</v>
      </c>
      <c r="E961" s="104" t="s">
        <v>426</v>
      </c>
      <c r="F961" s="105"/>
      <c r="H961" s="45" t="str">
        <f t="shared" si="42"/>
        <v>Ivan – Žufić – OK Vihor</v>
      </c>
      <c r="J961" s="45" t="str">
        <f t="shared" si="43"/>
        <v>Ivan – Žufić – OK Vihor</v>
      </c>
      <c r="L961" s="45" t="str">
        <f t="shared" si="44"/>
        <v>Ivan – Žufić</v>
      </c>
      <c r="N961" s="103"/>
      <c r="O961" s="104"/>
      <c r="P961" s="105"/>
    </row>
    <row r="962" spans="2:16" x14ac:dyDescent="0.25">
      <c r="B962" s="103">
        <v>1412</v>
      </c>
      <c r="C962" s="104" t="s">
        <v>2485</v>
      </c>
      <c r="D962" s="104" t="s">
        <v>4398</v>
      </c>
      <c r="E962" s="104" t="s">
        <v>426</v>
      </c>
      <c r="F962" s="105" t="s">
        <v>3094</v>
      </c>
      <c r="H962" s="45" t="str">
        <f t="shared" si="42"/>
        <v>Iva – Žulić – OK Vihor – Ž21B</v>
      </c>
      <c r="J962" s="45" t="str">
        <f t="shared" si="43"/>
        <v>Iva – Žulić – OK Vihor</v>
      </c>
      <c r="L962" s="45" t="str">
        <f t="shared" si="44"/>
        <v>Iva – Žulić</v>
      </c>
      <c r="N962" s="103"/>
      <c r="O962" s="104"/>
      <c r="P962" s="105"/>
    </row>
    <row r="963" spans="2:16" x14ac:dyDescent="0.25">
      <c r="B963" s="103"/>
      <c r="C963" s="104"/>
      <c r="D963" s="104"/>
      <c r="E963" s="104"/>
      <c r="F963" s="105"/>
      <c r="H963" s="45" t="str">
        <f t="shared" si="42"/>
        <v/>
      </c>
      <c r="J963" s="45" t="str">
        <f t="shared" si="43"/>
        <v/>
      </c>
      <c r="L963" s="45" t="str">
        <f t="shared" si="44"/>
        <v/>
      </c>
      <c r="N963" s="103"/>
      <c r="O963" s="104"/>
      <c r="P963" s="105"/>
    </row>
    <row r="964" spans="2:16" x14ac:dyDescent="0.25">
      <c r="B964" s="103"/>
      <c r="C964" s="104"/>
      <c r="D964" s="104"/>
      <c r="E964" s="104"/>
      <c r="F964" s="105"/>
      <c r="H964" s="45" t="str">
        <f t="shared" si="42"/>
        <v/>
      </c>
      <c r="J964" s="45" t="str">
        <f t="shared" si="43"/>
        <v/>
      </c>
      <c r="L964" s="45" t="str">
        <f t="shared" si="44"/>
        <v/>
      </c>
      <c r="N964" s="103"/>
      <c r="O964" s="104"/>
      <c r="P964" s="105"/>
    </row>
    <row r="965" spans="2:16" x14ac:dyDescent="0.25">
      <c r="B965" s="103"/>
      <c r="C965" s="104"/>
      <c r="D965" s="104"/>
      <c r="E965" s="104"/>
      <c r="F965" s="105"/>
      <c r="H965" s="45" t="str">
        <f t="shared" si="42"/>
        <v/>
      </c>
      <c r="J965" s="45" t="str">
        <f t="shared" si="43"/>
        <v/>
      </c>
      <c r="L965" s="45" t="str">
        <f t="shared" si="44"/>
        <v/>
      </c>
      <c r="N965" s="103"/>
      <c r="O965" s="104"/>
      <c r="P965" s="105"/>
    </row>
    <row r="966" spans="2:16" x14ac:dyDescent="0.25">
      <c r="B966" s="103"/>
      <c r="C966" s="104"/>
      <c r="D966" s="104"/>
      <c r="E966" s="104"/>
      <c r="F966" s="105"/>
      <c r="H966" s="45" t="str">
        <f t="shared" si="42"/>
        <v/>
      </c>
      <c r="J966" s="45" t="str">
        <f t="shared" si="43"/>
        <v/>
      </c>
      <c r="L966" s="45" t="str">
        <f t="shared" si="44"/>
        <v/>
      </c>
      <c r="N966" s="103"/>
      <c r="O966" s="104"/>
      <c r="P966" s="105"/>
    </row>
    <row r="967" spans="2:16" x14ac:dyDescent="0.25">
      <c r="B967" s="103"/>
      <c r="C967" s="104"/>
      <c r="D967" s="104"/>
      <c r="E967" s="104"/>
      <c r="F967" s="105"/>
      <c r="H967" s="45" t="str">
        <f t="shared" si="42"/>
        <v/>
      </c>
      <c r="J967" s="45" t="str">
        <f t="shared" si="43"/>
        <v/>
      </c>
      <c r="L967" s="45" t="str">
        <f t="shared" si="44"/>
        <v/>
      </c>
      <c r="N967" s="103"/>
      <c r="O967" s="104"/>
      <c r="P967" s="105"/>
    </row>
    <row r="968" spans="2:16" x14ac:dyDescent="0.25">
      <c r="B968" s="103"/>
      <c r="C968" s="104"/>
      <c r="D968" s="104"/>
      <c r="E968" s="104"/>
      <c r="F968" s="105"/>
      <c r="H968" s="45" t="str">
        <f t="shared" si="42"/>
        <v/>
      </c>
      <c r="J968" s="45" t="str">
        <f t="shared" si="43"/>
        <v/>
      </c>
      <c r="L968" s="45" t="str">
        <f t="shared" si="44"/>
        <v/>
      </c>
      <c r="N968" s="103"/>
      <c r="O968" s="104"/>
      <c r="P968" s="105"/>
    </row>
    <row r="969" spans="2:16" x14ac:dyDescent="0.25">
      <c r="B969" s="103"/>
      <c r="C969" s="104"/>
      <c r="D969" s="104"/>
      <c r="E969" s="104"/>
      <c r="F969" s="105"/>
      <c r="H969" s="45" t="str">
        <f t="shared" si="42"/>
        <v/>
      </c>
      <c r="J969" s="45" t="str">
        <f t="shared" si="43"/>
        <v/>
      </c>
      <c r="L969" s="45" t="str">
        <f t="shared" si="44"/>
        <v/>
      </c>
      <c r="N969" s="103"/>
      <c r="O969" s="104"/>
      <c r="P969" s="105"/>
    </row>
    <row r="970" spans="2:16" x14ac:dyDescent="0.25">
      <c r="B970" s="103"/>
      <c r="C970" s="104"/>
      <c r="D970" s="104"/>
      <c r="E970" s="104"/>
      <c r="F970" s="105"/>
      <c r="H970" s="45" t="str">
        <f t="shared" si="42"/>
        <v/>
      </c>
      <c r="J970" s="45" t="str">
        <f t="shared" si="43"/>
        <v/>
      </c>
      <c r="L970" s="45" t="str">
        <f t="shared" si="44"/>
        <v/>
      </c>
      <c r="N970" s="103"/>
      <c r="O970" s="104"/>
      <c r="P970" s="105"/>
    </row>
    <row r="971" spans="2:16" x14ac:dyDescent="0.25">
      <c r="B971" s="103"/>
      <c r="C971" s="104"/>
      <c r="D971" s="104"/>
      <c r="E971" s="104"/>
      <c r="F971" s="105"/>
      <c r="H971" s="45" t="str">
        <f t="shared" ref="H971:H1034" si="45">IF(C971="","",C971) &amp; IF(D971="",""," – " &amp; D971) &amp; IF(E971="",""," – " &amp; E971) &amp; IF(F971="",""," – " &amp; F971)</f>
        <v/>
      </c>
      <c r="J971" s="45" t="str">
        <f t="shared" ref="J971:J1034" si="46">IF(C971="","",C971) &amp; IF(D971="",""," – " &amp; D971) &amp; IF(E971="",""," – " &amp; E971)</f>
        <v/>
      </c>
      <c r="L971" s="45" t="str">
        <f t="shared" ref="L971:L1034" si="47">IF(C971="","",C971) &amp; IF(D971="",""," – " &amp; D971)</f>
        <v/>
      </c>
      <c r="N971" s="103"/>
      <c r="O971" s="104"/>
      <c r="P971" s="105"/>
    </row>
    <row r="972" spans="2:16" x14ac:dyDescent="0.25">
      <c r="B972" s="103"/>
      <c r="C972" s="104"/>
      <c r="D972" s="104"/>
      <c r="E972" s="104"/>
      <c r="F972" s="105"/>
      <c r="H972" s="45" t="str">
        <f t="shared" si="45"/>
        <v/>
      </c>
      <c r="J972" s="45" t="str">
        <f t="shared" si="46"/>
        <v/>
      </c>
      <c r="L972" s="45" t="str">
        <f t="shared" si="47"/>
        <v/>
      </c>
      <c r="N972" s="103"/>
      <c r="O972" s="104"/>
      <c r="P972" s="105"/>
    </row>
    <row r="973" spans="2:16" x14ac:dyDescent="0.25">
      <c r="B973" s="103"/>
      <c r="C973" s="104"/>
      <c r="D973" s="104"/>
      <c r="E973" s="104"/>
      <c r="F973" s="105"/>
      <c r="H973" s="45" t="str">
        <f t="shared" si="45"/>
        <v/>
      </c>
      <c r="J973" s="45" t="str">
        <f t="shared" si="46"/>
        <v/>
      </c>
      <c r="L973" s="45" t="str">
        <f t="shared" si="47"/>
        <v/>
      </c>
      <c r="N973" s="103"/>
      <c r="O973" s="104"/>
      <c r="P973" s="105"/>
    </row>
    <row r="974" spans="2:16" x14ac:dyDescent="0.25">
      <c r="B974" s="103"/>
      <c r="C974" s="104"/>
      <c r="D974" s="104"/>
      <c r="E974" s="104"/>
      <c r="F974" s="105"/>
      <c r="H974" s="45" t="str">
        <f t="shared" si="45"/>
        <v/>
      </c>
      <c r="J974" s="45" t="str">
        <f t="shared" si="46"/>
        <v/>
      </c>
      <c r="L974" s="45" t="str">
        <f t="shared" si="47"/>
        <v/>
      </c>
      <c r="N974" s="103"/>
      <c r="O974" s="104"/>
      <c r="P974" s="105"/>
    </row>
    <row r="975" spans="2:16" x14ac:dyDescent="0.25">
      <c r="B975" s="103"/>
      <c r="C975" s="104"/>
      <c r="D975" s="104"/>
      <c r="E975" s="104"/>
      <c r="F975" s="105"/>
      <c r="H975" s="45" t="str">
        <f t="shared" si="45"/>
        <v/>
      </c>
      <c r="J975" s="45" t="str">
        <f t="shared" si="46"/>
        <v/>
      </c>
      <c r="L975" s="45" t="str">
        <f t="shared" si="47"/>
        <v/>
      </c>
      <c r="N975" s="103"/>
      <c r="O975" s="104"/>
      <c r="P975" s="105"/>
    </row>
    <row r="976" spans="2:16" x14ac:dyDescent="0.25">
      <c r="B976" s="103"/>
      <c r="C976" s="104"/>
      <c r="D976" s="104"/>
      <c r="E976" s="104"/>
      <c r="F976" s="105"/>
      <c r="H976" s="45" t="str">
        <f t="shared" si="45"/>
        <v/>
      </c>
      <c r="J976" s="45" t="str">
        <f t="shared" si="46"/>
        <v/>
      </c>
      <c r="L976" s="45" t="str">
        <f t="shared" si="47"/>
        <v/>
      </c>
      <c r="N976" s="103"/>
      <c r="O976" s="104"/>
      <c r="P976" s="105"/>
    </row>
    <row r="977" spans="2:16" x14ac:dyDescent="0.25">
      <c r="B977" s="103"/>
      <c r="C977" s="104"/>
      <c r="D977" s="104"/>
      <c r="E977" s="104"/>
      <c r="F977" s="105"/>
      <c r="H977" s="45" t="str">
        <f t="shared" si="45"/>
        <v/>
      </c>
      <c r="J977" s="45" t="str">
        <f t="shared" si="46"/>
        <v/>
      </c>
      <c r="L977" s="45" t="str">
        <f t="shared" si="47"/>
        <v/>
      </c>
      <c r="N977" s="103"/>
      <c r="O977" s="104"/>
      <c r="P977" s="105"/>
    </row>
    <row r="978" spans="2:16" x14ac:dyDescent="0.25">
      <c r="B978" s="103"/>
      <c r="C978" s="104"/>
      <c r="D978" s="104"/>
      <c r="E978" s="104"/>
      <c r="F978" s="105"/>
      <c r="H978" s="45" t="str">
        <f t="shared" si="45"/>
        <v/>
      </c>
      <c r="J978" s="45" t="str">
        <f t="shared" si="46"/>
        <v/>
      </c>
      <c r="L978" s="45" t="str">
        <f t="shared" si="47"/>
        <v/>
      </c>
      <c r="N978" s="103"/>
      <c r="O978" s="104"/>
      <c r="P978" s="105"/>
    </row>
    <row r="979" spans="2:16" x14ac:dyDescent="0.25">
      <c r="B979" s="103"/>
      <c r="C979" s="104"/>
      <c r="D979" s="104"/>
      <c r="E979" s="104"/>
      <c r="F979" s="105"/>
      <c r="H979" s="45" t="str">
        <f t="shared" si="45"/>
        <v/>
      </c>
      <c r="J979" s="45" t="str">
        <f t="shared" si="46"/>
        <v/>
      </c>
      <c r="L979" s="45" t="str">
        <f t="shared" si="47"/>
        <v/>
      </c>
      <c r="N979" s="103"/>
      <c r="O979" s="104"/>
      <c r="P979" s="105"/>
    </row>
    <row r="980" spans="2:16" x14ac:dyDescent="0.25">
      <c r="B980" s="103"/>
      <c r="C980" s="104"/>
      <c r="D980" s="104"/>
      <c r="E980" s="104"/>
      <c r="F980" s="105"/>
      <c r="H980" s="45" t="str">
        <f t="shared" si="45"/>
        <v/>
      </c>
      <c r="J980" s="45" t="str">
        <f t="shared" si="46"/>
        <v/>
      </c>
      <c r="L980" s="45" t="str">
        <f t="shared" si="47"/>
        <v/>
      </c>
      <c r="N980" s="103"/>
      <c r="O980" s="104"/>
      <c r="P980" s="105"/>
    </row>
    <row r="981" spans="2:16" x14ac:dyDescent="0.25">
      <c r="B981" s="103"/>
      <c r="C981" s="104"/>
      <c r="D981" s="104"/>
      <c r="E981" s="104"/>
      <c r="F981" s="105"/>
      <c r="H981" s="45" t="str">
        <f t="shared" si="45"/>
        <v/>
      </c>
      <c r="J981" s="45" t="str">
        <f t="shared" si="46"/>
        <v/>
      </c>
      <c r="L981" s="45" t="str">
        <f t="shared" si="47"/>
        <v/>
      </c>
      <c r="N981" s="103"/>
      <c r="O981" s="104"/>
      <c r="P981" s="105"/>
    </row>
    <row r="982" spans="2:16" x14ac:dyDescent="0.25">
      <c r="B982" s="103"/>
      <c r="C982" s="104"/>
      <c r="D982" s="104"/>
      <c r="E982" s="104"/>
      <c r="F982" s="105"/>
      <c r="H982" s="45" t="str">
        <f t="shared" si="45"/>
        <v/>
      </c>
      <c r="J982" s="45" t="str">
        <f t="shared" si="46"/>
        <v/>
      </c>
      <c r="L982" s="45" t="str">
        <f t="shared" si="47"/>
        <v/>
      </c>
      <c r="N982" s="103"/>
      <c r="O982" s="104"/>
      <c r="P982" s="105"/>
    </row>
    <row r="983" spans="2:16" x14ac:dyDescent="0.25">
      <c r="B983" s="103"/>
      <c r="C983" s="104"/>
      <c r="D983" s="104"/>
      <c r="E983" s="104"/>
      <c r="F983" s="105"/>
      <c r="H983" s="45" t="str">
        <f t="shared" si="45"/>
        <v/>
      </c>
      <c r="J983" s="45" t="str">
        <f t="shared" si="46"/>
        <v/>
      </c>
      <c r="L983" s="45" t="str">
        <f t="shared" si="47"/>
        <v/>
      </c>
      <c r="N983" s="103"/>
      <c r="O983" s="104"/>
      <c r="P983" s="105"/>
    </row>
    <row r="984" spans="2:16" x14ac:dyDescent="0.25">
      <c r="B984" s="103"/>
      <c r="C984" s="104"/>
      <c r="D984" s="104"/>
      <c r="E984" s="104"/>
      <c r="F984" s="105"/>
      <c r="H984" s="45" t="str">
        <f t="shared" si="45"/>
        <v/>
      </c>
      <c r="J984" s="45" t="str">
        <f t="shared" si="46"/>
        <v/>
      </c>
      <c r="L984" s="45" t="str">
        <f t="shared" si="47"/>
        <v/>
      </c>
      <c r="N984" s="103"/>
      <c r="O984" s="104"/>
      <c r="P984" s="105"/>
    </row>
    <row r="985" spans="2:16" x14ac:dyDescent="0.25">
      <c r="B985" s="103"/>
      <c r="C985" s="104"/>
      <c r="D985" s="104"/>
      <c r="E985" s="104"/>
      <c r="F985" s="105"/>
      <c r="H985" s="45" t="str">
        <f t="shared" si="45"/>
        <v/>
      </c>
      <c r="J985" s="45" t="str">
        <f t="shared" si="46"/>
        <v/>
      </c>
      <c r="L985" s="45" t="str">
        <f t="shared" si="47"/>
        <v/>
      </c>
      <c r="N985" s="103"/>
      <c r="O985" s="104"/>
      <c r="P985" s="105"/>
    </row>
    <row r="986" spans="2:16" x14ac:dyDescent="0.25">
      <c r="B986" s="103"/>
      <c r="C986" s="104"/>
      <c r="D986" s="104"/>
      <c r="E986" s="104"/>
      <c r="F986" s="105"/>
      <c r="H986" s="45" t="str">
        <f t="shared" si="45"/>
        <v/>
      </c>
      <c r="J986" s="45" t="str">
        <f t="shared" si="46"/>
        <v/>
      </c>
      <c r="L986" s="45" t="str">
        <f t="shared" si="47"/>
        <v/>
      </c>
      <c r="N986" s="103"/>
      <c r="O986" s="104"/>
      <c r="P986" s="105"/>
    </row>
    <row r="987" spans="2:16" x14ac:dyDescent="0.25">
      <c r="B987" s="103"/>
      <c r="C987" s="104"/>
      <c r="D987" s="104"/>
      <c r="E987" s="104"/>
      <c r="F987" s="105"/>
      <c r="H987" s="45" t="str">
        <f t="shared" si="45"/>
        <v/>
      </c>
      <c r="J987" s="45" t="str">
        <f t="shared" si="46"/>
        <v/>
      </c>
      <c r="L987" s="45" t="str">
        <f t="shared" si="47"/>
        <v/>
      </c>
      <c r="N987" s="103"/>
      <c r="O987" s="104"/>
      <c r="P987" s="105"/>
    </row>
    <row r="988" spans="2:16" x14ac:dyDescent="0.25">
      <c r="B988" s="103"/>
      <c r="C988" s="104"/>
      <c r="D988" s="104"/>
      <c r="E988" s="104"/>
      <c r="F988" s="105"/>
      <c r="H988" s="45" t="str">
        <f t="shared" si="45"/>
        <v/>
      </c>
      <c r="J988" s="45" t="str">
        <f t="shared" si="46"/>
        <v/>
      </c>
      <c r="L988" s="45" t="str">
        <f t="shared" si="47"/>
        <v/>
      </c>
      <c r="N988" s="103"/>
      <c r="O988" s="104"/>
      <c r="P988" s="105"/>
    </row>
    <row r="989" spans="2:16" x14ac:dyDescent="0.25">
      <c r="B989" s="103"/>
      <c r="C989" s="104"/>
      <c r="D989" s="104"/>
      <c r="E989" s="104"/>
      <c r="F989" s="105"/>
      <c r="H989" s="45" t="str">
        <f t="shared" si="45"/>
        <v/>
      </c>
      <c r="J989" s="45" t="str">
        <f t="shared" si="46"/>
        <v/>
      </c>
      <c r="L989" s="45" t="str">
        <f t="shared" si="47"/>
        <v/>
      </c>
      <c r="N989" s="103"/>
      <c r="O989" s="104"/>
      <c r="P989" s="105"/>
    </row>
    <row r="990" spans="2:16" x14ac:dyDescent="0.25">
      <c r="B990" s="103"/>
      <c r="C990" s="104"/>
      <c r="D990" s="104"/>
      <c r="E990" s="104"/>
      <c r="F990" s="105"/>
      <c r="H990" s="45" t="str">
        <f t="shared" si="45"/>
        <v/>
      </c>
      <c r="J990" s="45" t="str">
        <f t="shared" si="46"/>
        <v/>
      </c>
      <c r="L990" s="45" t="str">
        <f t="shared" si="47"/>
        <v/>
      </c>
      <c r="N990" s="103"/>
      <c r="O990" s="104"/>
      <c r="P990" s="105"/>
    </row>
    <row r="991" spans="2:16" x14ac:dyDescent="0.25">
      <c r="B991" s="103"/>
      <c r="C991" s="104"/>
      <c r="D991" s="104"/>
      <c r="E991" s="104"/>
      <c r="F991" s="105"/>
      <c r="H991" s="45" t="str">
        <f t="shared" si="45"/>
        <v/>
      </c>
      <c r="J991" s="45" t="str">
        <f t="shared" si="46"/>
        <v/>
      </c>
      <c r="L991" s="45" t="str">
        <f t="shared" si="47"/>
        <v/>
      </c>
      <c r="N991" s="103"/>
      <c r="O991" s="104"/>
      <c r="P991" s="105"/>
    </row>
    <row r="992" spans="2:16" x14ac:dyDescent="0.25">
      <c r="B992" s="103"/>
      <c r="C992" s="104"/>
      <c r="D992" s="104"/>
      <c r="E992" s="104"/>
      <c r="F992" s="105"/>
      <c r="H992" s="45" t="str">
        <f t="shared" si="45"/>
        <v/>
      </c>
      <c r="J992" s="45" t="str">
        <f t="shared" si="46"/>
        <v/>
      </c>
      <c r="L992" s="45" t="str">
        <f t="shared" si="47"/>
        <v/>
      </c>
      <c r="N992" s="103"/>
      <c r="O992" s="104"/>
      <c r="P992" s="105"/>
    </row>
    <row r="993" spans="2:16" x14ac:dyDescent="0.25">
      <c r="B993" s="103"/>
      <c r="C993" s="104"/>
      <c r="D993" s="104"/>
      <c r="E993" s="104"/>
      <c r="F993" s="105"/>
      <c r="H993" s="45" t="str">
        <f t="shared" si="45"/>
        <v/>
      </c>
      <c r="J993" s="45" t="str">
        <f t="shared" si="46"/>
        <v/>
      </c>
      <c r="L993" s="45" t="str">
        <f t="shared" si="47"/>
        <v/>
      </c>
      <c r="N993" s="103"/>
      <c r="O993" s="104"/>
      <c r="P993" s="105"/>
    </row>
    <row r="994" spans="2:16" x14ac:dyDescent="0.25">
      <c r="B994" s="103"/>
      <c r="C994" s="104"/>
      <c r="D994" s="104"/>
      <c r="E994" s="104"/>
      <c r="F994" s="105"/>
      <c r="H994" s="45" t="str">
        <f t="shared" si="45"/>
        <v/>
      </c>
      <c r="J994" s="45" t="str">
        <f t="shared" si="46"/>
        <v/>
      </c>
      <c r="L994" s="45" t="str">
        <f t="shared" si="47"/>
        <v/>
      </c>
      <c r="N994" s="103"/>
      <c r="O994" s="104"/>
      <c r="P994" s="105"/>
    </row>
    <row r="995" spans="2:16" x14ac:dyDescent="0.25">
      <c r="B995" s="103"/>
      <c r="C995" s="104"/>
      <c r="D995" s="104"/>
      <c r="E995" s="104"/>
      <c r="F995" s="105"/>
      <c r="H995" s="45" t="str">
        <f t="shared" si="45"/>
        <v/>
      </c>
      <c r="J995" s="45" t="str">
        <f t="shared" si="46"/>
        <v/>
      </c>
      <c r="L995" s="45" t="str">
        <f t="shared" si="47"/>
        <v/>
      </c>
      <c r="N995" s="103"/>
      <c r="O995" s="104"/>
      <c r="P995" s="105"/>
    </row>
    <row r="996" spans="2:16" x14ac:dyDescent="0.25">
      <c r="B996" s="103"/>
      <c r="C996" s="104"/>
      <c r="D996" s="104"/>
      <c r="E996" s="104"/>
      <c r="F996" s="105"/>
      <c r="H996" s="45" t="str">
        <f t="shared" si="45"/>
        <v/>
      </c>
      <c r="J996" s="45" t="str">
        <f t="shared" si="46"/>
        <v/>
      </c>
      <c r="L996" s="45" t="str">
        <f t="shared" si="47"/>
        <v/>
      </c>
      <c r="N996" s="103"/>
      <c r="O996" s="104"/>
      <c r="P996" s="105"/>
    </row>
    <row r="997" spans="2:16" x14ac:dyDescent="0.25">
      <c r="B997" s="103"/>
      <c r="C997" s="104"/>
      <c r="D997" s="104"/>
      <c r="E997" s="104"/>
      <c r="F997" s="105"/>
      <c r="H997" s="45" t="str">
        <f t="shared" si="45"/>
        <v/>
      </c>
      <c r="J997" s="45" t="str">
        <f t="shared" si="46"/>
        <v/>
      </c>
      <c r="L997" s="45" t="str">
        <f t="shared" si="47"/>
        <v/>
      </c>
      <c r="N997" s="103"/>
      <c r="O997" s="104"/>
      <c r="P997" s="105"/>
    </row>
    <row r="998" spans="2:16" x14ac:dyDescent="0.25">
      <c r="B998" s="103"/>
      <c r="C998" s="104"/>
      <c r="D998" s="104"/>
      <c r="E998" s="104"/>
      <c r="F998" s="105"/>
      <c r="H998" s="45" t="str">
        <f t="shared" si="45"/>
        <v/>
      </c>
      <c r="J998" s="45" t="str">
        <f t="shared" si="46"/>
        <v/>
      </c>
      <c r="L998" s="45" t="str">
        <f t="shared" si="47"/>
        <v/>
      </c>
      <c r="N998" s="103"/>
      <c r="O998" s="104"/>
      <c r="P998" s="105"/>
    </row>
    <row r="999" spans="2:16" x14ac:dyDescent="0.25">
      <c r="B999" s="103"/>
      <c r="C999" s="104"/>
      <c r="D999" s="104"/>
      <c r="E999" s="104"/>
      <c r="F999" s="105"/>
      <c r="H999" s="45" t="str">
        <f t="shared" si="45"/>
        <v/>
      </c>
      <c r="J999" s="45" t="str">
        <f t="shared" si="46"/>
        <v/>
      </c>
      <c r="L999" s="45" t="str">
        <f t="shared" si="47"/>
        <v/>
      </c>
      <c r="N999" s="103"/>
      <c r="O999" s="104"/>
      <c r="P999" s="105"/>
    </row>
    <row r="1000" spans="2:16" x14ac:dyDescent="0.25">
      <c r="B1000" s="103"/>
      <c r="C1000" s="104"/>
      <c r="D1000" s="104"/>
      <c r="E1000" s="104"/>
      <c r="F1000" s="105"/>
      <c r="H1000" s="45" t="str">
        <f t="shared" si="45"/>
        <v/>
      </c>
      <c r="J1000" s="45" t="str">
        <f t="shared" si="46"/>
        <v/>
      </c>
      <c r="L1000" s="45" t="str">
        <f t="shared" si="47"/>
        <v/>
      </c>
      <c r="N1000" s="103"/>
      <c r="O1000" s="104"/>
      <c r="P1000" s="105"/>
    </row>
    <row r="1001" spans="2:16" x14ac:dyDescent="0.25">
      <c r="B1001" s="103"/>
      <c r="C1001" s="104"/>
      <c r="D1001" s="104"/>
      <c r="E1001" s="104"/>
      <c r="F1001" s="105"/>
      <c r="H1001" s="45" t="str">
        <f t="shared" si="45"/>
        <v/>
      </c>
      <c r="J1001" s="45" t="str">
        <f t="shared" si="46"/>
        <v/>
      </c>
      <c r="L1001" s="45" t="str">
        <f t="shared" si="47"/>
        <v/>
      </c>
      <c r="N1001" s="103"/>
      <c r="O1001" s="104"/>
      <c r="P1001" s="105"/>
    </row>
    <row r="1002" spans="2:16" x14ac:dyDescent="0.25">
      <c r="B1002" s="103"/>
      <c r="C1002" s="104"/>
      <c r="D1002" s="104"/>
      <c r="E1002" s="104"/>
      <c r="F1002" s="105"/>
      <c r="H1002" s="45" t="str">
        <f t="shared" si="45"/>
        <v/>
      </c>
      <c r="J1002" s="45" t="str">
        <f t="shared" si="46"/>
        <v/>
      </c>
      <c r="L1002" s="45" t="str">
        <f t="shared" si="47"/>
        <v/>
      </c>
      <c r="N1002" s="103"/>
      <c r="O1002" s="104"/>
      <c r="P1002" s="105"/>
    </row>
    <row r="1003" spans="2:16" x14ac:dyDescent="0.25">
      <c r="B1003" s="103"/>
      <c r="C1003" s="104"/>
      <c r="D1003" s="104"/>
      <c r="E1003" s="104"/>
      <c r="F1003" s="105"/>
      <c r="H1003" s="45" t="str">
        <f t="shared" si="45"/>
        <v/>
      </c>
      <c r="J1003" s="45" t="str">
        <f t="shared" si="46"/>
        <v/>
      </c>
      <c r="L1003" s="45" t="str">
        <f t="shared" si="47"/>
        <v/>
      </c>
      <c r="N1003" s="103"/>
      <c r="O1003" s="104"/>
      <c r="P1003" s="105"/>
    </row>
    <row r="1004" spans="2:16" x14ac:dyDescent="0.25">
      <c r="B1004" s="103"/>
      <c r="C1004" s="104"/>
      <c r="D1004" s="104"/>
      <c r="E1004" s="104"/>
      <c r="F1004" s="105"/>
      <c r="H1004" s="45" t="str">
        <f t="shared" si="45"/>
        <v/>
      </c>
      <c r="J1004" s="45" t="str">
        <f t="shared" si="46"/>
        <v/>
      </c>
      <c r="L1004" s="45" t="str">
        <f t="shared" si="47"/>
        <v/>
      </c>
      <c r="N1004" s="103"/>
      <c r="O1004" s="104"/>
      <c r="P1004" s="105"/>
    </row>
    <row r="1005" spans="2:16" x14ac:dyDescent="0.25">
      <c r="B1005" s="103"/>
      <c r="C1005" s="104"/>
      <c r="D1005" s="104"/>
      <c r="E1005" s="104"/>
      <c r="F1005" s="105"/>
      <c r="H1005" s="45" t="str">
        <f t="shared" si="45"/>
        <v/>
      </c>
      <c r="J1005" s="45" t="str">
        <f t="shared" si="46"/>
        <v/>
      </c>
      <c r="L1005" s="45" t="str">
        <f t="shared" si="47"/>
        <v/>
      </c>
      <c r="N1005" s="103"/>
      <c r="O1005" s="104"/>
      <c r="P1005" s="105"/>
    </row>
    <row r="1006" spans="2:16" x14ac:dyDescent="0.25">
      <c r="B1006" s="103"/>
      <c r="C1006" s="104"/>
      <c r="D1006" s="104"/>
      <c r="E1006" s="104"/>
      <c r="F1006" s="105"/>
      <c r="H1006" s="45" t="str">
        <f t="shared" si="45"/>
        <v/>
      </c>
      <c r="J1006" s="45" t="str">
        <f t="shared" si="46"/>
        <v/>
      </c>
      <c r="L1006" s="45" t="str">
        <f t="shared" si="47"/>
        <v/>
      </c>
      <c r="N1006" s="103"/>
      <c r="O1006" s="104"/>
      <c r="P1006" s="105"/>
    </row>
    <row r="1007" spans="2:16" x14ac:dyDescent="0.25">
      <c r="B1007" s="103"/>
      <c r="C1007" s="104"/>
      <c r="D1007" s="104"/>
      <c r="E1007" s="104"/>
      <c r="F1007" s="105"/>
      <c r="H1007" s="45" t="str">
        <f t="shared" si="45"/>
        <v/>
      </c>
      <c r="J1007" s="45" t="str">
        <f t="shared" si="46"/>
        <v/>
      </c>
      <c r="L1007" s="45" t="str">
        <f t="shared" si="47"/>
        <v/>
      </c>
      <c r="N1007" s="103"/>
      <c r="O1007" s="104"/>
      <c r="P1007" s="105"/>
    </row>
    <row r="1008" spans="2:16" x14ac:dyDescent="0.25">
      <c r="B1008" s="103"/>
      <c r="C1008" s="104"/>
      <c r="D1008" s="104"/>
      <c r="E1008" s="104"/>
      <c r="F1008" s="105"/>
      <c r="H1008" s="45" t="str">
        <f t="shared" si="45"/>
        <v/>
      </c>
      <c r="J1008" s="45" t="str">
        <f t="shared" si="46"/>
        <v/>
      </c>
      <c r="L1008" s="45" t="str">
        <f t="shared" si="47"/>
        <v/>
      </c>
      <c r="N1008" s="103"/>
      <c r="O1008" s="104"/>
      <c r="P1008" s="105"/>
    </row>
    <row r="1009" spans="2:16" x14ac:dyDescent="0.25">
      <c r="B1009" s="103"/>
      <c r="C1009" s="104"/>
      <c r="D1009" s="104"/>
      <c r="E1009" s="104"/>
      <c r="F1009" s="105"/>
      <c r="H1009" s="45" t="str">
        <f t="shared" si="45"/>
        <v/>
      </c>
      <c r="J1009" s="45" t="str">
        <f t="shared" si="46"/>
        <v/>
      </c>
      <c r="L1009" s="45" t="str">
        <f t="shared" si="47"/>
        <v/>
      </c>
      <c r="N1009" s="103"/>
      <c r="O1009" s="104"/>
      <c r="P1009" s="105"/>
    </row>
    <row r="1010" spans="2:16" x14ac:dyDescent="0.25">
      <c r="B1010" s="103"/>
      <c r="C1010" s="104"/>
      <c r="D1010" s="104"/>
      <c r="E1010" s="104"/>
      <c r="F1010" s="105"/>
      <c r="H1010" s="45" t="str">
        <f t="shared" si="45"/>
        <v/>
      </c>
      <c r="J1010" s="45" t="str">
        <f t="shared" si="46"/>
        <v/>
      </c>
      <c r="L1010" s="45" t="str">
        <f t="shared" si="47"/>
        <v/>
      </c>
      <c r="N1010" s="103"/>
      <c r="O1010" s="104"/>
      <c r="P1010" s="105"/>
    </row>
    <row r="1011" spans="2:16" x14ac:dyDescent="0.25">
      <c r="B1011" s="103"/>
      <c r="C1011" s="104"/>
      <c r="D1011" s="104"/>
      <c r="E1011" s="104"/>
      <c r="F1011" s="105"/>
      <c r="H1011" s="45" t="str">
        <f t="shared" si="45"/>
        <v/>
      </c>
      <c r="J1011" s="45" t="str">
        <f t="shared" si="46"/>
        <v/>
      </c>
      <c r="L1011" s="45" t="str">
        <f t="shared" si="47"/>
        <v/>
      </c>
      <c r="N1011" s="103"/>
      <c r="O1011" s="104"/>
      <c r="P1011" s="105"/>
    </row>
    <row r="1012" spans="2:16" x14ac:dyDescent="0.25">
      <c r="B1012" s="103"/>
      <c r="C1012" s="104"/>
      <c r="D1012" s="104"/>
      <c r="E1012" s="104"/>
      <c r="F1012" s="105"/>
      <c r="H1012" s="45" t="str">
        <f t="shared" si="45"/>
        <v/>
      </c>
      <c r="J1012" s="45" t="str">
        <f t="shared" si="46"/>
        <v/>
      </c>
      <c r="L1012" s="45" t="str">
        <f t="shared" si="47"/>
        <v/>
      </c>
      <c r="N1012" s="103"/>
      <c r="O1012" s="104"/>
      <c r="P1012" s="105"/>
    </row>
    <row r="1013" spans="2:16" x14ac:dyDescent="0.25">
      <c r="B1013" s="103"/>
      <c r="C1013" s="104"/>
      <c r="D1013" s="104"/>
      <c r="E1013" s="104"/>
      <c r="F1013" s="105"/>
      <c r="H1013" s="45" t="str">
        <f t="shared" si="45"/>
        <v/>
      </c>
      <c r="J1013" s="45" t="str">
        <f t="shared" si="46"/>
        <v/>
      </c>
      <c r="L1013" s="45" t="str">
        <f t="shared" si="47"/>
        <v/>
      </c>
      <c r="N1013" s="103"/>
      <c r="O1013" s="104"/>
      <c r="P1013" s="105"/>
    </row>
    <row r="1014" spans="2:16" x14ac:dyDescent="0.25">
      <c r="B1014" s="103"/>
      <c r="C1014" s="104"/>
      <c r="D1014" s="104"/>
      <c r="E1014" s="104"/>
      <c r="F1014" s="105"/>
      <c r="H1014" s="45" t="str">
        <f t="shared" si="45"/>
        <v/>
      </c>
      <c r="J1014" s="45" t="str">
        <f t="shared" si="46"/>
        <v/>
      </c>
      <c r="L1014" s="45" t="str">
        <f t="shared" si="47"/>
        <v/>
      </c>
      <c r="N1014" s="103"/>
      <c r="O1014" s="104"/>
      <c r="P1014" s="105"/>
    </row>
    <row r="1015" spans="2:16" x14ac:dyDescent="0.25">
      <c r="B1015" s="103"/>
      <c r="C1015" s="104"/>
      <c r="D1015" s="104"/>
      <c r="E1015" s="104"/>
      <c r="F1015" s="105"/>
      <c r="H1015" s="45" t="str">
        <f t="shared" si="45"/>
        <v/>
      </c>
      <c r="J1015" s="45" t="str">
        <f t="shared" si="46"/>
        <v/>
      </c>
      <c r="L1015" s="45" t="str">
        <f t="shared" si="47"/>
        <v/>
      </c>
      <c r="N1015" s="103"/>
      <c r="O1015" s="104"/>
      <c r="P1015" s="105"/>
    </row>
    <row r="1016" spans="2:16" x14ac:dyDescent="0.25">
      <c r="B1016" s="103"/>
      <c r="C1016" s="104"/>
      <c r="D1016" s="104"/>
      <c r="E1016" s="104"/>
      <c r="F1016" s="105"/>
      <c r="H1016" s="45" t="str">
        <f t="shared" si="45"/>
        <v/>
      </c>
      <c r="J1016" s="45" t="str">
        <f t="shared" si="46"/>
        <v/>
      </c>
      <c r="L1016" s="45" t="str">
        <f t="shared" si="47"/>
        <v/>
      </c>
      <c r="N1016" s="103"/>
      <c r="O1016" s="104"/>
      <c r="P1016" s="105"/>
    </row>
    <row r="1017" spans="2:16" x14ac:dyDescent="0.25">
      <c r="B1017" s="103"/>
      <c r="C1017" s="104"/>
      <c r="D1017" s="104"/>
      <c r="E1017" s="104"/>
      <c r="F1017" s="105"/>
      <c r="H1017" s="45" t="str">
        <f t="shared" si="45"/>
        <v/>
      </c>
      <c r="J1017" s="45" t="str">
        <f t="shared" si="46"/>
        <v/>
      </c>
      <c r="L1017" s="45" t="str">
        <f t="shared" si="47"/>
        <v/>
      </c>
      <c r="N1017" s="103"/>
      <c r="O1017" s="104"/>
      <c r="P1017" s="105"/>
    </row>
    <row r="1018" spans="2:16" x14ac:dyDescent="0.25">
      <c r="B1018" s="103"/>
      <c r="C1018" s="104"/>
      <c r="D1018" s="104"/>
      <c r="E1018" s="104"/>
      <c r="F1018" s="105"/>
      <c r="H1018" s="45" t="str">
        <f t="shared" si="45"/>
        <v/>
      </c>
      <c r="J1018" s="45" t="str">
        <f t="shared" si="46"/>
        <v/>
      </c>
      <c r="L1018" s="45" t="str">
        <f t="shared" si="47"/>
        <v/>
      </c>
      <c r="N1018" s="103"/>
      <c r="O1018" s="109"/>
      <c r="P1018" s="105"/>
    </row>
    <row r="1019" spans="2:16" x14ac:dyDescent="0.25">
      <c r="B1019" s="103"/>
      <c r="C1019" s="104"/>
      <c r="D1019" s="104"/>
      <c r="E1019" s="104"/>
      <c r="F1019" s="105"/>
      <c r="H1019" s="45" t="str">
        <f t="shared" si="45"/>
        <v/>
      </c>
      <c r="J1019" s="45" t="str">
        <f t="shared" si="46"/>
        <v/>
      </c>
      <c r="L1019" s="45" t="str">
        <f t="shared" si="47"/>
        <v/>
      </c>
      <c r="N1019" s="103"/>
      <c r="O1019" s="104"/>
      <c r="P1019" s="105"/>
    </row>
    <row r="1020" spans="2:16" x14ac:dyDescent="0.25">
      <c r="B1020" s="103"/>
      <c r="C1020" s="104"/>
      <c r="D1020" s="104"/>
      <c r="E1020" s="104"/>
      <c r="F1020" s="105"/>
      <c r="H1020" s="45" t="str">
        <f t="shared" si="45"/>
        <v/>
      </c>
      <c r="J1020" s="45" t="str">
        <f t="shared" si="46"/>
        <v/>
      </c>
      <c r="L1020" s="45" t="str">
        <f t="shared" si="47"/>
        <v/>
      </c>
      <c r="N1020" s="103"/>
      <c r="O1020" s="104"/>
      <c r="P1020" s="105"/>
    </row>
    <row r="1021" spans="2:16" x14ac:dyDescent="0.25">
      <c r="B1021" s="103"/>
      <c r="C1021" s="104"/>
      <c r="D1021" s="104"/>
      <c r="E1021" s="104"/>
      <c r="F1021" s="105"/>
      <c r="H1021" s="45" t="str">
        <f t="shared" si="45"/>
        <v/>
      </c>
      <c r="J1021" s="45" t="str">
        <f t="shared" si="46"/>
        <v/>
      </c>
      <c r="L1021" s="45" t="str">
        <f t="shared" si="47"/>
        <v/>
      </c>
      <c r="N1021" s="103"/>
      <c r="O1021" s="104"/>
      <c r="P1021" s="105"/>
    </row>
    <row r="1022" spans="2:16" x14ac:dyDescent="0.25">
      <c r="B1022" s="103"/>
      <c r="C1022" s="104"/>
      <c r="D1022" s="104"/>
      <c r="E1022" s="104"/>
      <c r="F1022" s="105"/>
      <c r="H1022" s="45" t="str">
        <f t="shared" si="45"/>
        <v/>
      </c>
      <c r="J1022" s="45" t="str">
        <f t="shared" si="46"/>
        <v/>
      </c>
      <c r="L1022" s="45" t="str">
        <f t="shared" si="47"/>
        <v/>
      </c>
      <c r="N1022" s="103"/>
      <c r="O1022" s="104"/>
      <c r="P1022" s="105"/>
    </row>
    <row r="1023" spans="2:16" x14ac:dyDescent="0.25">
      <c r="B1023" s="103"/>
      <c r="C1023" s="104"/>
      <c r="D1023" s="104"/>
      <c r="E1023" s="104"/>
      <c r="F1023" s="105"/>
      <c r="H1023" s="45" t="str">
        <f t="shared" si="45"/>
        <v/>
      </c>
      <c r="J1023" s="45" t="str">
        <f t="shared" si="46"/>
        <v/>
      </c>
      <c r="L1023" s="45" t="str">
        <f t="shared" si="47"/>
        <v/>
      </c>
      <c r="N1023" s="103"/>
      <c r="O1023" s="104"/>
      <c r="P1023" s="105"/>
    </row>
    <row r="1024" spans="2:16" x14ac:dyDescent="0.25">
      <c r="B1024" s="103"/>
      <c r="C1024" s="104"/>
      <c r="D1024" s="104"/>
      <c r="E1024" s="104"/>
      <c r="F1024" s="105"/>
      <c r="H1024" s="45" t="str">
        <f t="shared" si="45"/>
        <v/>
      </c>
      <c r="J1024" s="45" t="str">
        <f t="shared" si="46"/>
        <v/>
      </c>
      <c r="L1024" s="45" t="str">
        <f t="shared" si="47"/>
        <v/>
      </c>
      <c r="N1024" s="103"/>
      <c r="O1024" s="104"/>
      <c r="P1024" s="105"/>
    </row>
    <row r="1025" spans="2:16" x14ac:dyDescent="0.25">
      <c r="B1025" s="103"/>
      <c r="C1025" s="104"/>
      <c r="D1025" s="104"/>
      <c r="E1025" s="104"/>
      <c r="F1025" s="105"/>
      <c r="H1025" s="45" t="str">
        <f t="shared" si="45"/>
        <v/>
      </c>
      <c r="J1025" s="45" t="str">
        <f t="shared" si="46"/>
        <v/>
      </c>
      <c r="L1025" s="45" t="str">
        <f t="shared" si="47"/>
        <v/>
      </c>
      <c r="N1025" s="103"/>
      <c r="O1025" s="104"/>
      <c r="P1025" s="105"/>
    </row>
    <row r="1026" spans="2:16" x14ac:dyDescent="0.25">
      <c r="B1026" s="103"/>
      <c r="C1026" s="104"/>
      <c r="D1026" s="104"/>
      <c r="E1026" s="104"/>
      <c r="F1026" s="105"/>
      <c r="H1026" s="45" t="str">
        <f t="shared" si="45"/>
        <v/>
      </c>
      <c r="J1026" s="45" t="str">
        <f t="shared" si="46"/>
        <v/>
      </c>
      <c r="L1026" s="45" t="str">
        <f t="shared" si="47"/>
        <v/>
      </c>
      <c r="N1026" s="103"/>
      <c r="O1026" s="104"/>
      <c r="P1026" s="105"/>
    </row>
    <row r="1027" spans="2:16" x14ac:dyDescent="0.25">
      <c r="B1027" s="103"/>
      <c r="C1027" s="104"/>
      <c r="D1027" s="104"/>
      <c r="E1027" s="104"/>
      <c r="F1027" s="105"/>
      <c r="H1027" s="45" t="str">
        <f t="shared" si="45"/>
        <v/>
      </c>
      <c r="J1027" s="45" t="str">
        <f t="shared" si="46"/>
        <v/>
      </c>
      <c r="L1027" s="45" t="str">
        <f t="shared" si="47"/>
        <v/>
      </c>
      <c r="N1027" s="103"/>
      <c r="O1027" s="104"/>
      <c r="P1027" s="105"/>
    </row>
    <row r="1028" spans="2:16" x14ac:dyDescent="0.25">
      <c r="B1028" s="103"/>
      <c r="C1028" s="104"/>
      <c r="D1028" s="104"/>
      <c r="E1028" s="104"/>
      <c r="F1028" s="105"/>
      <c r="H1028" s="45" t="str">
        <f t="shared" si="45"/>
        <v/>
      </c>
      <c r="J1028" s="45" t="str">
        <f t="shared" si="46"/>
        <v/>
      </c>
      <c r="L1028" s="45" t="str">
        <f t="shared" si="47"/>
        <v/>
      </c>
      <c r="N1028" s="103"/>
      <c r="O1028" s="104"/>
      <c r="P1028" s="105"/>
    </row>
    <row r="1029" spans="2:16" x14ac:dyDescent="0.25">
      <c r="B1029" s="103"/>
      <c r="C1029" s="104"/>
      <c r="D1029" s="104"/>
      <c r="E1029" s="104"/>
      <c r="F1029" s="105"/>
      <c r="H1029" s="45" t="str">
        <f t="shared" si="45"/>
        <v/>
      </c>
      <c r="J1029" s="45" t="str">
        <f t="shared" si="46"/>
        <v/>
      </c>
      <c r="L1029" s="45" t="str">
        <f t="shared" si="47"/>
        <v/>
      </c>
      <c r="N1029" s="103"/>
      <c r="O1029" s="104"/>
      <c r="P1029" s="105"/>
    </row>
    <row r="1030" spans="2:16" x14ac:dyDescent="0.25">
      <c r="B1030" s="103"/>
      <c r="C1030" s="104"/>
      <c r="D1030" s="104"/>
      <c r="E1030" s="104"/>
      <c r="F1030" s="105"/>
      <c r="H1030" s="45" t="str">
        <f t="shared" si="45"/>
        <v/>
      </c>
      <c r="J1030" s="45" t="str">
        <f t="shared" si="46"/>
        <v/>
      </c>
      <c r="L1030" s="45" t="str">
        <f t="shared" si="47"/>
        <v/>
      </c>
      <c r="N1030" s="103"/>
      <c r="O1030" s="104"/>
      <c r="P1030" s="105"/>
    </row>
    <row r="1031" spans="2:16" x14ac:dyDescent="0.25">
      <c r="B1031" s="103"/>
      <c r="C1031" s="104"/>
      <c r="D1031" s="104"/>
      <c r="E1031" s="104"/>
      <c r="F1031" s="105"/>
      <c r="H1031" s="45" t="str">
        <f t="shared" si="45"/>
        <v/>
      </c>
      <c r="J1031" s="45" t="str">
        <f t="shared" si="46"/>
        <v/>
      </c>
      <c r="L1031" s="45" t="str">
        <f t="shared" si="47"/>
        <v/>
      </c>
      <c r="N1031" s="103"/>
      <c r="O1031" s="104"/>
      <c r="P1031" s="105"/>
    </row>
    <row r="1032" spans="2:16" x14ac:dyDescent="0.25">
      <c r="B1032" s="103"/>
      <c r="C1032" s="104"/>
      <c r="D1032" s="104"/>
      <c r="E1032" s="104"/>
      <c r="F1032" s="105"/>
      <c r="H1032" s="45" t="str">
        <f t="shared" si="45"/>
        <v/>
      </c>
      <c r="J1032" s="45" t="str">
        <f t="shared" si="46"/>
        <v/>
      </c>
      <c r="L1032" s="45" t="str">
        <f t="shared" si="47"/>
        <v/>
      </c>
      <c r="N1032" s="103"/>
      <c r="O1032" s="104"/>
      <c r="P1032" s="105"/>
    </row>
    <row r="1033" spans="2:16" x14ac:dyDescent="0.25">
      <c r="B1033" s="103"/>
      <c r="C1033" s="104"/>
      <c r="D1033" s="104"/>
      <c r="E1033" s="104"/>
      <c r="F1033" s="105"/>
      <c r="H1033" s="45" t="str">
        <f t="shared" si="45"/>
        <v/>
      </c>
      <c r="J1033" s="45" t="str">
        <f t="shared" si="46"/>
        <v/>
      </c>
      <c r="L1033" s="45" t="str">
        <f t="shared" si="47"/>
        <v/>
      </c>
      <c r="N1033" s="103"/>
      <c r="O1033" s="104"/>
      <c r="P1033" s="105"/>
    </row>
    <row r="1034" spans="2:16" x14ac:dyDescent="0.25">
      <c r="B1034" s="103"/>
      <c r="C1034" s="104"/>
      <c r="D1034" s="104"/>
      <c r="E1034" s="104"/>
      <c r="F1034" s="105"/>
      <c r="H1034" s="45" t="str">
        <f t="shared" si="45"/>
        <v/>
      </c>
      <c r="J1034" s="45" t="str">
        <f t="shared" si="46"/>
        <v/>
      </c>
      <c r="L1034" s="45" t="str">
        <f t="shared" si="47"/>
        <v/>
      </c>
      <c r="N1034" s="103"/>
      <c r="O1034" s="104"/>
      <c r="P1034" s="105"/>
    </row>
    <row r="1035" spans="2:16" x14ac:dyDescent="0.25">
      <c r="B1035" s="103"/>
      <c r="C1035" s="104"/>
      <c r="D1035" s="104"/>
      <c r="E1035" s="104"/>
      <c r="F1035" s="105"/>
      <c r="H1035" s="45" t="str">
        <f t="shared" ref="H1035:H1098" si="48">IF(C1035="","",C1035) &amp; IF(D1035="",""," – " &amp; D1035) &amp; IF(E1035="",""," – " &amp; E1035) &amp; IF(F1035="",""," – " &amp; F1035)</f>
        <v/>
      </c>
      <c r="J1035" s="45" t="str">
        <f t="shared" ref="J1035:J1098" si="49">IF(C1035="","",C1035) &amp; IF(D1035="",""," – " &amp; D1035) &amp; IF(E1035="",""," – " &amp; E1035)</f>
        <v/>
      </c>
      <c r="L1035" s="45" t="str">
        <f t="shared" ref="L1035:L1098" si="50">IF(C1035="","",C1035) &amp; IF(D1035="",""," – " &amp; D1035)</f>
        <v/>
      </c>
      <c r="N1035" s="103"/>
      <c r="O1035" s="104"/>
      <c r="P1035" s="105"/>
    </row>
    <row r="1036" spans="2:16" x14ac:dyDescent="0.25">
      <c r="B1036" s="103"/>
      <c r="C1036" s="104"/>
      <c r="D1036" s="104"/>
      <c r="E1036" s="104"/>
      <c r="F1036" s="105"/>
      <c r="H1036" s="45" t="str">
        <f t="shared" si="48"/>
        <v/>
      </c>
      <c r="J1036" s="45" t="str">
        <f t="shared" si="49"/>
        <v/>
      </c>
      <c r="L1036" s="45" t="str">
        <f t="shared" si="50"/>
        <v/>
      </c>
      <c r="N1036" s="103"/>
      <c r="O1036" s="104"/>
      <c r="P1036" s="105"/>
    </row>
    <row r="1037" spans="2:16" x14ac:dyDescent="0.25">
      <c r="B1037" s="103"/>
      <c r="C1037" s="104"/>
      <c r="D1037" s="104"/>
      <c r="E1037" s="104"/>
      <c r="F1037" s="105"/>
      <c r="H1037" s="45" t="str">
        <f t="shared" si="48"/>
        <v/>
      </c>
      <c r="J1037" s="45" t="str">
        <f t="shared" si="49"/>
        <v/>
      </c>
      <c r="L1037" s="45" t="str">
        <f t="shared" si="50"/>
        <v/>
      </c>
      <c r="N1037" s="103"/>
      <c r="O1037" s="104"/>
      <c r="P1037" s="105"/>
    </row>
    <row r="1038" spans="2:16" x14ac:dyDescent="0.25">
      <c r="B1038" s="103"/>
      <c r="C1038" s="104"/>
      <c r="D1038" s="104"/>
      <c r="E1038" s="104"/>
      <c r="F1038" s="105"/>
      <c r="H1038" s="45" t="str">
        <f t="shared" si="48"/>
        <v/>
      </c>
      <c r="J1038" s="45" t="str">
        <f t="shared" si="49"/>
        <v/>
      </c>
      <c r="L1038" s="45" t="str">
        <f t="shared" si="50"/>
        <v/>
      </c>
      <c r="N1038" s="103"/>
      <c r="O1038" s="104"/>
      <c r="P1038" s="105"/>
    </row>
    <row r="1039" spans="2:16" x14ac:dyDescent="0.25">
      <c r="B1039" s="103"/>
      <c r="C1039" s="104"/>
      <c r="D1039" s="104"/>
      <c r="E1039" s="104"/>
      <c r="F1039" s="105"/>
      <c r="H1039" s="45" t="str">
        <f t="shared" si="48"/>
        <v/>
      </c>
      <c r="J1039" s="45" t="str">
        <f t="shared" si="49"/>
        <v/>
      </c>
      <c r="L1039" s="45" t="str">
        <f t="shared" si="50"/>
        <v/>
      </c>
      <c r="N1039" s="103"/>
      <c r="O1039" s="104"/>
      <c r="P1039" s="105"/>
    </row>
    <row r="1040" spans="2:16" x14ac:dyDescent="0.25">
      <c r="B1040" s="103"/>
      <c r="C1040" s="104"/>
      <c r="D1040" s="104"/>
      <c r="E1040" s="104"/>
      <c r="F1040" s="105"/>
      <c r="H1040" s="45" t="str">
        <f t="shared" si="48"/>
        <v/>
      </c>
      <c r="J1040" s="45" t="str">
        <f t="shared" si="49"/>
        <v/>
      </c>
      <c r="L1040" s="45" t="str">
        <f t="shared" si="50"/>
        <v/>
      </c>
      <c r="N1040" s="103"/>
      <c r="O1040" s="104"/>
      <c r="P1040" s="105"/>
    </row>
    <row r="1041" spans="2:16" x14ac:dyDescent="0.25">
      <c r="B1041" s="103"/>
      <c r="C1041" s="104"/>
      <c r="D1041" s="104"/>
      <c r="E1041" s="104"/>
      <c r="F1041" s="105"/>
      <c r="H1041" s="45" t="str">
        <f t="shared" si="48"/>
        <v/>
      </c>
      <c r="J1041" s="45" t="str">
        <f t="shared" si="49"/>
        <v/>
      </c>
      <c r="L1041" s="45" t="str">
        <f t="shared" si="50"/>
        <v/>
      </c>
      <c r="N1041" s="103"/>
      <c r="O1041" s="104"/>
      <c r="P1041" s="105"/>
    </row>
    <row r="1042" spans="2:16" x14ac:dyDescent="0.25">
      <c r="B1042" s="103"/>
      <c r="C1042" s="104"/>
      <c r="D1042" s="104"/>
      <c r="E1042" s="104"/>
      <c r="F1042" s="105"/>
      <c r="H1042" s="45" t="str">
        <f t="shared" si="48"/>
        <v/>
      </c>
      <c r="J1042" s="45" t="str">
        <f t="shared" si="49"/>
        <v/>
      </c>
      <c r="L1042" s="45" t="str">
        <f t="shared" si="50"/>
        <v/>
      </c>
      <c r="N1042" s="103"/>
      <c r="O1042" s="104"/>
      <c r="P1042" s="105"/>
    </row>
    <row r="1043" spans="2:16" x14ac:dyDescent="0.25">
      <c r="B1043" s="103"/>
      <c r="C1043" s="104"/>
      <c r="D1043" s="104"/>
      <c r="E1043" s="104"/>
      <c r="F1043" s="105"/>
      <c r="H1043" s="45" t="str">
        <f t="shared" si="48"/>
        <v/>
      </c>
      <c r="J1043" s="45" t="str">
        <f t="shared" si="49"/>
        <v/>
      </c>
      <c r="L1043" s="45" t="str">
        <f t="shared" si="50"/>
        <v/>
      </c>
      <c r="N1043" s="103"/>
      <c r="O1043" s="104"/>
      <c r="P1043" s="105"/>
    </row>
    <row r="1044" spans="2:16" x14ac:dyDescent="0.25">
      <c r="B1044" s="103"/>
      <c r="C1044" s="104"/>
      <c r="D1044" s="104"/>
      <c r="E1044" s="104"/>
      <c r="F1044" s="105"/>
      <c r="H1044" s="45" t="str">
        <f t="shared" si="48"/>
        <v/>
      </c>
      <c r="J1044" s="45" t="str">
        <f t="shared" si="49"/>
        <v/>
      </c>
      <c r="L1044" s="45" t="str">
        <f t="shared" si="50"/>
        <v/>
      </c>
      <c r="N1044" s="103"/>
      <c r="O1044" s="104"/>
      <c r="P1044" s="105"/>
    </row>
    <row r="1045" spans="2:16" x14ac:dyDescent="0.25">
      <c r="B1045" s="103"/>
      <c r="C1045" s="104"/>
      <c r="D1045" s="104"/>
      <c r="E1045" s="104"/>
      <c r="F1045" s="105"/>
      <c r="H1045" s="45" t="str">
        <f t="shared" si="48"/>
        <v/>
      </c>
      <c r="J1045" s="45" t="str">
        <f t="shared" si="49"/>
        <v/>
      </c>
      <c r="L1045" s="45" t="str">
        <f t="shared" si="50"/>
        <v/>
      </c>
      <c r="N1045" s="103"/>
      <c r="O1045" s="104"/>
      <c r="P1045" s="105"/>
    </row>
    <row r="1046" spans="2:16" x14ac:dyDescent="0.25">
      <c r="B1046" s="103"/>
      <c r="C1046" s="104"/>
      <c r="D1046" s="104"/>
      <c r="E1046" s="104"/>
      <c r="F1046" s="105"/>
      <c r="H1046" s="45" t="str">
        <f t="shared" si="48"/>
        <v/>
      </c>
      <c r="J1046" s="45" t="str">
        <f t="shared" si="49"/>
        <v/>
      </c>
      <c r="L1046" s="45" t="str">
        <f t="shared" si="50"/>
        <v/>
      </c>
      <c r="N1046" s="103"/>
      <c r="O1046" s="104"/>
      <c r="P1046" s="105"/>
    </row>
    <row r="1047" spans="2:16" x14ac:dyDescent="0.25">
      <c r="B1047" s="103"/>
      <c r="C1047" s="104"/>
      <c r="D1047" s="104"/>
      <c r="E1047" s="104"/>
      <c r="F1047" s="105"/>
      <c r="H1047" s="45" t="str">
        <f t="shared" si="48"/>
        <v/>
      </c>
      <c r="J1047" s="45" t="str">
        <f t="shared" si="49"/>
        <v/>
      </c>
      <c r="L1047" s="45" t="str">
        <f t="shared" si="50"/>
        <v/>
      </c>
      <c r="N1047" s="103"/>
      <c r="O1047" s="104"/>
      <c r="P1047" s="105"/>
    </row>
    <row r="1048" spans="2:16" x14ac:dyDescent="0.25">
      <c r="B1048" s="103"/>
      <c r="C1048" s="104"/>
      <c r="D1048" s="104"/>
      <c r="E1048" s="104"/>
      <c r="F1048" s="105"/>
      <c r="H1048" s="45" t="str">
        <f t="shared" si="48"/>
        <v/>
      </c>
      <c r="J1048" s="45" t="str">
        <f t="shared" si="49"/>
        <v/>
      </c>
      <c r="L1048" s="45" t="str">
        <f t="shared" si="50"/>
        <v/>
      </c>
      <c r="N1048" s="103"/>
      <c r="O1048" s="104"/>
      <c r="P1048" s="105"/>
    </row>
    <row r="1049" spans="2:16" x14ac:dyDescent="0.25">
      <c r="B1049" s="103"/>
      <c r="C1049" s="104"/>
      <c r="D1049" s="104"/>
      <c r="E1049" s="104"/>
      <c r="F1049" s="105"/>
      <c r="H1049" s="45" t="str">
        <f t="shared" si="48"/>
        <v/>
      </c>
      <c r="J1049" s="45" t="str">
        <f t="shared" si="49"/>
        <v/>
      </c>
      <c r="L1049" s="45" t="str">
        <f t="shared" si="50"/>
        <v/>
      </c>
      <c r="N1049" s="103"/>
      <c r="O1049" s="104"/>
      <c r="P1049" s="105"/>
    </row>
    <row r="1050" spans="2:16" x14ac:dyDescent="0.25">
      <c r="B1050" s="103"/>
      <c r="C1050" s="104"/>
      <c r="D1050" s="104"/>
      <c r="E1050" s="104"/>
      <c r="F1050" s="105"/>
      <c r="H1050" s="45" t="str">
        <f t="shared" si="48"/>
        <v/>
      </c>
      <c r="J1050" s="45" t="str">
        <f t="shared" si="49"/>
        <v/>
      </c>
      <c r="L1050" s="45" t="str">
        <f t="shared" si="50"/>
        <v/>
      </c>
      <c r="N1050" s="103"/>
      <c r="O1050" s="104"/>
      <c r="P1050" s="105"/>
    </row>
    <row r="1051" spans="2:16" x14ac:dyDescent="0.25">
      <c r="B1051" s="103"/>
      <c r="C1051" s="104"/>
      <c r="D1051" s="104"/>
      <c r="E1051" s="104"/>
      <c r="F1051" s="105"/>
      <c r="H1051" s="45" t="str">
        <f t="shared" si="48"/>
        <v/>
      </c>
      <c r="J1051" s="45" t="str">
        <f t="shared" si="49"/>
        <v/>
      </c>
      <c r="L1051" s="45" t="str">
        <f t="shared" si="50"/>
        <v/>
      </c>
      <c r="N1051" s="103"/>
      <c r="O1051" s="104"/>
      <c r="P1051" s="105"/>
    </row>
    <row r="1052" spans="2:16" x14ac:dyDescent="0.25">
      <c r="B1052" s="103"/>
      <c r="C1052" s="104"/>
      <c r="D1052" s="104"/>
      <c r="E1052" s="104"/>
      <c r="F1052" s="105"/>
      <c r="H1052" s="45" t="str">
        <f t="shared" si="48"/>
        <v/>
      </c>
      <c r="J1052" s="45" t="str">
        <f t="shared" si="49"/>
        <v/>
      </c>
      <c r="L1052" s="45" t="str">
        <f t="shared" si="50"/>
        <v/>
      </c>
      <c r="N1052" s="103"/>
      <c r="O1052" s="104"/>
      <c r="P1052" s="105"/>
    </row>
    <row r="1053" spans="2:16" x14ac:dyDescent="0.25">
      <c r="B1053" s="103"/>
      <c r="C1053" s="104"/>
      <c r="D1053" s="104"/>
      <c r="E1053" s="104"/>
      <c r="F1053" s="105"/>
      <c r="H1053" s="45" t="str">
        <f t="shared" si="48"/>
        <v/>
      </c>
      <c r="J1053" s="45" t="str">
        <f t="shared" si="49"/>
        <v/>
      </c>
      <c r="L1053" s="45" t="str">
        <f t="shared" si="50"/>
        <v/>
      </c>
      <c r="N1053" s="103"/>
      <c r="O1053" s="104"/>
      <c r="P1053" s="105"/>
    </row>
    <row r="1054" spans="2:16" x14ac:dyDescent="0.25">
      <c r="B1054" s="103"/>
      <c r="C1054" s="104"/>
      <c r="D1054" s="104"/>
      <c r="E1054" s="104"/>
      <c r="F1054" s="105"/>
      <c r="H1054" s="45" t="str">
        <f t="shared" si="48"/>
        <v/>
      </c>
      <c r="J1054" s="45" t="str">
        <f t="shared" si="49"/>
        <v/>
      </c>
      <c r="L1054" s="45" t="str">
        <f t="shared" si="50"/>
        <v/>
      </c>
      <c r="N1054" s="103"/>
      <c r="O1054" s="104"/>
      <c r="P1054" s="105"/>
    </row>
    <row r="1055" spans="2:16" x14ac:dyDescent="0.25">
      <c r="B1055" s="103"/>
      <c r="C1055" s="104"/>
      <c r="D1055" s="104"/>
      <c r="E1055" s="104"/>
      <c r="F1055" s="105"/>
      <c r="H1055" s="45" t="str">
        <f t="shared" si="48"/>
        <v/>
      </c>
      <c r="J1055" s="45" t="str">
        <f t="shared" si="49"/>
        <v/>
      </c>
      <c r="L1055" s="45" t="str">
        <f t="shared" si="50"/>
        <v/>
      </c>
      <c r="N1055" s="103"/>
      <c r="O1055" s="104"/>
      <c r="P1055" s="105"/>
    </row>
    <row r="1056" spans="2:16" x14ac:dyDescent="0.25">
      <c r="B1056" s="103"/>
      <c r="C1056" s="104"/>
      <c r="D1056" s="104"/>
      <c r="E1056" s="104"/>
      <c r="F1056" s="105"/>
      <c r="H1056" s="45" t="str">
        <f t="shared" si="48"/>
        <v/>
      </c>
      <c r="J1056" s="45" t="str">
        <f t="shared" si="49"/>
        <v/>
      </c>
      <c r="L1056" s="45" t="str">
        <f t="shared" si="50"/>
        <v/>
      </c>
      <c r="N1056" s="103"/>
      <c r="O1056" s="104"/>
      <c r="P1056" s="105"/>
    </row>
    <row r="1057" spans="2:16" x14ac:dyDescent="0.25">
      <c r="B1057" s="103"/>
      <c r="C1057" s="104"/>
      <c r="D1057" s="104"/>
      <c r="E1057" s="104"/>
      <c r="F1057" s="105"/>
      <c r="H1057" s="45" t="str">
        <f t="shared" si="48"/>
        <v/>
      </c>
      <c r="J1057" s="45" t="str">
        <f t="shared" si="49"/>
        <v/>
      </c>
      <c r="L1057" s="45" t="str">
        <f t="shared" si="50"/>
        <v/>
      </c>
      <c r="N1057" s="103"/>
      <c r="O1057" s="104"/>
      <c r="P1057" s="105"/>
    </row>
    <row r="1058" spans="2:16" x14ac:dyDescent="0.25">
      <c r="B1058" s="103"/>
      <c r="C1058" s="104"/>
      <c r="D1058" s="104"/>
      <c r="E1058" s="104"/>
      <c r="F1058" s="105"/>
      <c r="H1058" s="45" t="str">
        <f t="shared" si="48"/>
        <v/>
      </c>
      <c r="J1058" s="45" t="str">
        <f t="shared" si="49"/>
        <v/>
      </c>
      <c r="L1058" s="45" t="str">
        <f t="shared" si="50"/>
        <v/>
      </c>
      <c r="N1058" s="103"/>
      <c r="O1058" s="104"/>
      <c r="P1058" s="105"/>
    </row>
    <row r="1059" spans="2:16" x14ac:dyDescent="0.25">
      <c r="B1059" s="103"/>
      <c r="C1059" s="104"/>
      <c r="D1059" s="104"/>
      <c r="E1059" s="104"/>
      <c r="F1059" s="105"/>
      <c r="H1059" s="45" t="str">
        <f t="shared" si="48"/>
        <v/>
      </c>
      <c r="J1059" s="45" t="str">
        <f t="shared" si="49"/>
        <v/>
      </c>
      <c r="L1059" s="45" t="str">
        <f t="shared" si="50"/>
        <v/>
      </c>
      <c r="N1059" s="103"/>
      <c r="O1059" s="104"/>
      <c r="P1059" s="105"/>
    </row>
    <row r="1060" spans="2:16" x14ac:dyDescent="0.25">
      <c r="B1060" s="103"/>
      <c r="C1060" s="104"/>
      <c r="D1060" s="104"/>
      <c r="E1060" s="104"/>
      <c r="F1060" s="105"/>
      <c r="H1060" s="45" t="str">
        <f t="shared" si="48"/>
        <v/>
      </c>
      <c r="J1060" s="45" t="str">
        <f t="shared" si="49"/>
        <v/>
      </c>
      <c r="L1060" s="45" t="str">
        <f t="shared" si="50"/>
        <v/>
      </c>
      <c r="N1060" s="103"/>
      <c r="O1060" s="104"/>
      <c r="P1060" s="105"/>
    </row>
    <row r="1061" spans="2:16" x14ac:dyDescent="0.25">
      <c r="B1061" s="103"/>
      <c r="C1061" s="104"/>
      <c r="D1061" s="104"/>
      <c r="E1061" s="104"/>
      <c r="F1061" s="105"/>
      <c r="H1061" s="45" t="str">
        <f t="shared" si="48"/>
        <v/>
      </c>
      <c r="J1061" s="45" t="str">
        <f t="shared" si="49"/>
        <v/>
      </c>
      <c r="L1061" s="45" t="str">
        <f t="shared" si="50"/>
        <v/>
      </c>
      <c r="N1061" s="103"/>
      <c r="O1061" s="104"/>
      <c r="P1061" s="105"/>
    </row>
    <row r="1062" spans="2:16" x14ac:dyDescent="0.25">
      <c r="B1062" s="103"/>
      <c r="C1062" s="104"/>
      <c r="D1062" s="104"/>
      <c r="E1062" s="104"/>
      <c r="F1062" s="105"/>
      <c r="H1062" s="45" t="str">
        <f t="shared" si="48"/>
        <v/>
      </c>
      <c r="J1062" s="45" t="str">
        <f t="shared" si="49"/>
        <v/>
      </c>
      <c r="L1062" s="45" t="str">
        <f t="shared" si="50"/>
        <v/>
      </c>
      <c r="N1062" s="103"/>
      <c r="O1062" s="104"/>
      <c r="P1062" s="105"/>
    </row>
    <row r="1063" spans="2:16" x14ac:dyDescent="0.25">
      <c r="B1063" s="103"/>
      <c r="C1063" s="104"/>
      <c r="D1063" s="104"/>
      <c r="E1063" s="104"/>
      <c r="F1063" s="105"/>
      <c r="H1063" s="45" t="str">
        <f t="shared" si="48"/>
        <v/>
      </c>
      <c r="J1063" s="45" t="str">
        <f t="shared" si="49"/>
        <v/>
      </c>
      <c r="L1063" s="45" t="str">
        <f t="shared" si="50"/>
        <v/>
      </c>
      <c r="N1063" s="103"/>
      <c r="O1063" s="104"/>
      <c r="P1063" s="105"/>
    </row>
    <row r="1064" spans="2:16" x14ac:dyDescent="0.25">
      <c r="B1064" s="103"/>
      <c r="C1064" s="104"/>
      <c r="D1064" s="104"/>
      <c r="E1064" s="104"/>
      <c r="F1064" s="105"/>
      <c r="H1064" s="45" t="str">
        <f t="shared" si="48"/>
        <v/>
      </c>
      <c r="J1064" s="45" t="str">
        <f t="shared" si="49"/>
        <v/>
      </c>
      <c r="L1064" s="45" t="str">
        <f t="shared" si="50"/>
        <v/>
      </c>
      <c r="N1064" s="103"/>
      <c r="O1064" s="104"/>
      <c r="P1064" s="105"/>
    </row>
    <row r="1065" spans="2:16" x14ac:dyDescent="0.25">
      <c r="B1065" s="103"/>
      <c r="C1065" s="104"/>
      <c r="D1065" s="104"/>
      <c r="E1065" s="104"/>
      <c r="F1065" s="105"/>
      <c r="H1065" s="45" t="str">
        <f t="shared" si="48"/>
        <v/>
      </c>
      <c r="J1065" s="45" t="str">
        <f t="shared" si="49"/>
        <v/>
      </c>
      <c r="L1065" s="45" t="str">
        <f t="shared" si="50"/>
        <v/>
      </c>
      <c r="N1065" s="103"/>
      <c r="O1065" s="104"/>
      <c r="P1065" s="105"/>
    </row>
    <row r="1066" spans="2:16" x14ac:dyDescent="0.25">
      <c r="B1066" s="103"/>
      <c r="C1066" s="104"/>
      <c r="D1066" s="104"/>
      <c r="E1066" s="104"/>
      <c r="F1066" s="105"/>
      <c r="H1066" s="45" t="str">
        <f t="shared" si="48"/>
        <v/>
      </c>
      <c r="J1066" s="45" t="str">
        <f t="shared" si="49"/>
        <v/>
      </c>
      <c r="L1066" s="45" t="str">
        <f t="shared" si="50"/>
        <v/>
      </c>
      <c r="N1066" s="103"/>
      <c r="O1066" s="104"/>
      <c r="P1066" s="105"/>
    </row>
    <row r="1067" spans="2:16" x14ac:dyDescent="0.25">
      <c r="B1067" s="103"/>
      <c r="C1067" s="104"/>
      <c r="D1067" s="104"/>
      <c r="E1067" s="104"/>
      <c r="F1067" s="105"/>
      <c r="H1067" s="45" t="str">
        <f t="shared" si="48"/>
        <v/>
      </c>
      <c r="J1067" s="45" t="str">
        <f t="shared" si="49"/>
        <v/>
      </c>
      <c r="L1067" s="45" t="str">
        <f t="shared" si="50"/>
        <v/>
      </c>
      <c r="N1067" s="103"/>
      <c r="O1067" s="104"/>
      <c r="P1067" s="105"/>
    </row>
    <row r="1068" spans="2:16" x14ac:dyDescent="0.25">
      <c r="B1068" s="103"/>
      <c r="C1068" s="104"/>
      <c r="D1068" s="104"/>
      <c r="E1068" s="104"/>
      <c r="F1068" s="105"/>
      <c r="H1068" s="45" t="str">
        <f t="shared" si="48"/>
        <v/>
      </c>
      <c r="J1068" s="45" t="str">
        <f t="shared" si="49"/>
        <v/>
      </c>
      <c r="L1068" s="45" t="str">
        <f t="shared" si="50"/>
        <v/>
      </c>
      <c r="N1068" s="103"/>
      <c r="O1068" s="104"/>
      <c r="P1068" s="105"/>
    </row>
    <row r="1069" spans="2:16" x14ac:dyDescent="0.25">
      <c r="B1069" s="103"/>
      <c r="C1069" s="104"/>
      <c r="D1069" s="104"/>
      <c r="E1069" s="104"/>
      <c r="F1069" s="105"/>
      <c r="H1069" s="45" t="str">
        <f t="shared" si="48"/>
        <v/>
      </c>
      <c r="J1069" s="45" t="str">
        <f t="shared" si="49"/>
        <v/>
      </c>
      <c r="L1069" s="45" t="str">
        <f t="shared" si="50"/>
        <v/>
      </c>
      <c r="N1069" s="103"/>
      <c r="O1069" s="104"/>
      <c r="P1069" s="105"/>
    </row>
    <row r="1070" spans="2:16" x14ac:dyDescent="0.25">
      <c r="B1070" s="103"/>
      <c r="C1070" s="104"/>
      <c r="D1070" s="104"/>
      <c r="E1070" s="104"/>
      <c r="F1070" s="105"/>
      <c r="H1070" s="45" t="str">
        <f t="shared" si="48"/>
        <v/>
      </c>
      <c r="J1070" s="45" t="str">
        <f t="shared" si="49"/>
        <v/>
      </c>
      <c r="L1070" s="45" t="str">
        <f t="shared" si="50"/>
        <v/>
      </c>
      <c r="N1070" s="103"/>
      <c r="O1070" s="104"/>
      <c r="P1070" s="105"/>
    </row>
    <row r="1071" spans="2:16" x14ac:dyDescent="0.25">
      <c r="B1071" s="103"/>
      <c r="C1071" s="104"/>
      <c r="D1071" s="104"/>
      <c r="E1071" s="104"/>
      <c r="F1071" s="105"/>
      <c r="H1071" s="45" t="str">
        <f t="shared" si="48"/>
        <v/>
      </c>
      <c r="J1071" s="45" t="str">
        <f t="shared" si="49"/>
        <v/>
      </c>
      <c r="L1071" s="45" t="str">
        <f t="shared" si="50"/>
        <v/>
      </c>
      <c r="N1071" s="103"/>
      <c r="O1071" s="104"/>
      <c r="P1071" s="105"/>
    </row>
    <row r="1072" spans="2:16" x14ac:dyDescent="0.25">
      <c r="B1072" s="103"/>
      <c r="C1072" s="104"/>
      <c r="D1072" s="104"/>
      <c r="E1072" s="104"/>
      <c r="F1072" s="105"/>
      <c r="H1072" s="45" t="str">
        <f t="shared" si="48"/>
        <v/>
      </c>
      <c r="J1072" s="45" t="str">
        <f t="shared" si="49"/>
        <v/>
      </c>
      <c r="L1072" s="45" t="str">
        <f t="shared" si="50"/>
        <v/>
      </c>
      <c r="N1072" s="103"/>
      <c r="O1072" s="104"/>
      <c r="P1072" s="105"/>
    </row>
    <row r="1073" spans="2:16" x14ac:dyDescent="0.25">
      <c r="B1073" s="103"/>
      <c r="C1073" s="104"/>
      <c r="D1073" s="104"/>
      <c r="E1073" s="104"/>
      <c r="F1073" s="105"/>
      <c r="H1073" s="45" t="str">
        <f t="shared" si="48"/>
        <v/>
      </c>
      <c r="J1073" s="45" t="str">
        <f t="shared" si="49"/>
        <v/>
      </c>
      <c r="L1073" s="45" t="str">
        <f t="shared" si="50"/>
        <v/>
      </c>
      <c r="N1073" s="103"/>
      <c r="O1073" s="104"/>
      <c r="P1073" s="105"/>
    </row>
    <row r="1074" spans="2:16" x14ac:dyDescent="0.25">
      <c r="B1074" s="103"/>
      <c r="C1074" s="104"/>
      <c r="D1074" s="104"/>
      <c r="E1074" s="104"/>
      <c r="F1074" s="105"/>
      <c r="H1074" s="45" t="str">
        <f t="shared" si="48"/>
        <v/>
      </c>
      <c r="J1074" s="45" t="str">
        <f t="shared" si="49"/>
        <v/>
      </c>
      <c r="L1074" s="45" t="str">
        <f t="shared" si="50"/>
        <v/>
      </c>
      <c r="N1074" s="103"/>
      <c r="O1074" s="104"/>
      <c r="P1074" s="105"/>
    </row>
    <row r="1075" spans="2:16" x14ac:dyDescent="0.25">
      <c r="B1075" s="103"/>
      <c r="C1075" s="104"/>
      <c r="D1075" s="104"/>
      <c r="E1075" s="104"/>
      <c r="F1075" s="105"/>
      <c r="H1075" s="45" t="str">
        <f t="shared" si="48"/>
        <v/>
      </c>
      <c r="J1075" s="45" t="str">
        <f t="shared" si="49"/>
        <v/>
      </c>
      <c r="L1075" s="45" t="str">
        <f t="shared" si="50"/>
        <v/>
      </c>
      <c r="N1075" s="103"/>
      <c r="O1075" s="104"/>
      <c r="P1075" s="105"/>
    </row>
    <row r="1076" spans="2:16" x14ac:dyDescent="0.25">
      <c r="B1076" s="103"/>
      <c r="C1076" s="104"/>
      <c r="D1076" s="104"/>
      <c r="E1076" s="104"/>
      <c r="F1076" s="105"/>
      <c r="H1076" s="45" t="str">
        <f t="shared" si="48"/>
        <v/>
      </c>
      <c r="J1076" s="45" t="str">
        <f t="shared" si="49"/>
        <v/>
      </c>
      <c r="L1076" s="45" t="str">
        <f t="shared" si="50"/>
        <v/>
      </c>
      <c r="N1076" s="103"/>
      <c r="O1076" s="104"/>
      <c r="P1076" s="105"/>
    </row>
    <row r="1077" spans="2:16" x14ac:dyDescent="0.25">
      <c r="B1077" s="103"/>
      <c r="C1077" s="104"/>
      <c r="D1077" s="104"/>
      <c r="E1077" s="104"/>
      <c r="F1077" s="105"/>
      <c r="H1077" s="45" t="str">
        <f t="shared" si="48"/>
        <v/>
      </c>
      <c r="J1077" s="45" t="str">
        <f t="shared" si="49"/>
        <v/>
      </c>
      <c r="L1077" s="45" t="str">
        <f t="shared" si="50"/>
        <v/>
      </c>
      <c r="N1077" s="103"/>
      <c r="O1077" s="104"/>
      <c r="P1077" s="105"/>
    </row>
    <row r="1078" spans="2:16" x14ac:dyDescent="0.25">
      <c r="B1078" s="103"/>
      <c r="C1078" s="104"/>
      <c r="D1078" s="104"/>
      <c r="E1078" s="104"/>
      <c r="F1078" s="105"/>
      <c r="H1078" s="45" t="str">
        <f t="shared" si="48"/>
        <v/>
      </c>
      <c r="J1078" s="45" t="str">
        <f t="shared" si="49"/>
        <v/>
      </c>
      <c r="L1078" s="45" t="str">
        <f t="shared" si="50"/>
        <v/>
      </c>
      <c r="N1078" s="103"/>
      <c r="O1078" s="104"/>
      <c r="P1078" s="105"/>
    </row>
    <row r="1079" spans="2:16" x14ac:dyDescent="0.25">
      <c r="B1079" s="103"/>
      <c r="C1079" s="104"/>
      <c r="D1079" s="104"/>
      <c r="E1079" s="104"/>
      <c r="F1079" s="105"/>
      <c r="H1079" s="45" t="str">
        <f t="shared" si="48"/>
        <v/>
      </c>
      <c r="J1079" s="45" t="str">
        <f t="shared" si="49"/>
        <v/>
      </c>
      <c r="L1079" s="45" t="str">
        <f t="shared" si="50"/>
        <v/>
      </c>
      <c r="N1079" s="103"/>
      <c r="O1079" s="104"/>
      <c r="P1079" s="105"/>
    </row>
    <row r="1080" spans="2:16" x14ac:dyDescent="0.25">
      <c r="B1080" s="103"/>
      <c r="C1080" s="104"/>
      <c r="D1080" s="104"/>
      <c r="E1080" s="104"/>
      <c r="F1080" s="105"/>
      <c r="H1080" s="45" t="str">
        <f t="shared" si="48"/>
        <v/>
      </c>
      <c r="J1080" s="45" t="str">
        <f t="shared" si="49"/>
        <v/>
      </c>
      <c r="L1080" s="45" t="str">
        <f t="shared" si="50"/>
        <v/>
      </c>
      <c r="N1080" s="103"/>
      <c r="O1080" s="104"/>
      <c r="P1080" s="105"/>
    </row>
    <row r="1081" spans="2:16" x14ac:dyDescent="0.25">
      <c r="B1081" s="103"/>
      <c r="C1081" s="104"/>
      <c r="D1081" s="104"/>
      <c r="E1081" s="104"/>
      <c r="F1081" s="105"/>
      <c r="H1081" s="45" t="str">
        <f t="shared" si="48"/>
        <v/>
      </c>
      <c r="J1081" s="45" t="str">
        <f t="shared" si="49"/>
        <v/>
      </c>
      <c r="L1081" s="45" t="str">
        <f t="shared" si="50"/>
        <v/>
      </c>
      <c r="N1081" s="103"/>
      <c r="O1081" s="104"/>
      <c r="P1081" s="105"/>
    </row>
    <row r="1082" spans="2:16" x14ac:dyDescent="0.25">
      <c r="B1082" s="103"/>
      <c r="C1082" s="104"/>
      <c r="D1082" s="104"/>
      <c r="E1082" s="104"/>
      <c r="F1082" s="105"/>
      <c r="H1082" s="45" t="str">
        <f t="shared" si="48"/>
        <v/>
      </c>
      <c r="J1082" s="45" t="str">
        <f t="shared" si="49"/>
        <v/>
      </c>
      <c r="L1082" s="45" t="str">
        <f t="shared" si="50"/>
        <v/>
      </c>
      <c r="N1082" s="103"/>
      <c r="O1082" s="104"/>
      <c r="P1082" s="105"/>
    </row>
    <row r="1083" spans="2:16" x14ac:dyDescent="0.25">
      <c r="B1083" s="103"/>
      <c r="C1083" s="104"/>
      <c r="D1083" s="104"/>
      <c r="E1083" s="104"/>
      <c r="F1083" s="105"/>
      <c r="H1083" s="45" t="str">
        <f t="shared" si="48"/>
        <v/>
      </c>
      <c r="J1083" s="45" t="str">
        <f t="shared" si="49"/>
        <v/>
      </c>
      <c r="L1083" s="45" t="str">
        <f t="shared" si="50"/>
        <v/>
      </c>
      <c r="N1083" s="103"/>
      <c r="O1083" s="104"/>
      <c r="P1083" s="105"/>
    </row>
    <row r="1084" spans="2:16" x14ac:dyDescent="0.25">
      <c r="B1084" s="103"/>
      <c r="C1084" s="104"/>
      <c r="D1084" s="104"/>
      <c r="E1084" s="104"/>
      <c r="F1084" s="105"/>
      <c r="H1084" s="45" t="str">
        <f t="shared" si="48"/>
        <v/>
      </c>
      <c r="J1084" s="45" t="str">
        <f t="shared" si="49"/>
        <v/>
      </c>
      <c r="L1084" s="45" t="str">
        <f t="shared" si="50"/>
        <v/>
      </c>
      <c r="N1084" s="103"/>
      <c r="O1084" s="104"/>
      <c r="P1084" s="105"/>
    </row>
    <row r="1085" spans="2:16" x14ac:dyDescent="0.25">
      <c r="B1085" s="103"/>
      <c r="C1085" s="104"/>
      <c r="D1085" s="104"/>
      <c r="E1085" s="104"/>
      <c r="F1085" s="105"/>
      <c r="H1085" s="45" t="str">
        <f t="shared" si="48"/>
        <v/>
      </c>
      <c r="J1085" s="45" t="str">
        <f t="shared" si="49"/>
        <v/>
      </c>
      <c r="L1085" s="45" t="str">
        <f t="shared" si="50"/>
        <v/>
      </c>
      <c r="N1085" s="103"/>
      <c r="O1085" s="104"/>
      <c r="P1085" s="105"/>
    </row>
    <row r="1086" spans="2:16" x14ac:dyDescent="0.25">
      <c r="B1086" s="103"/>
      <c r="C1086" s="104"/>
      <c r="D1086" s="104"/>
      <c r="E1086" s="104"/>
      <c r="F1086" s="105"/>
      <c r="H1086" s="45" t="str">
        <f t="shared" si="48"/>
        <v/>
      </c>
      <c r="J1086" s="45" t="str">
        <f t="shared" si="49"/>
        <v/>
      </c>
      <c r="L1086" s="45" t="str">
        <f t="shared" si="50"/>
        <v/>
      </c>
      <c r="N1086" s="103"/>
      <c r="O1086" s="104"/>
      <c r="P1086" s="105"/>
    </row>
    <row r="1087" spans="2:16" x14ac:dyDescent="0.25">
      <c r="B1087" s="103"/>
      <c r="C1087" s="104"/>
      <c r="D1087" s="104"/>
      <c r="E1087" s="104"/>
      <c r="F1087" s="105"/>
      <c r="H1087" s="45" t="str">
        <f t="shared" si="48"/>
        <v/>
      </c>
      <c r="J1087" s="45" t="str">
        <f t="shared" si="49"/>
        <v/>
      </c>
      <c r="L1087" s="45" t="str">
        <f t="shared" si="50"/>
        <v/>
      </c>
      <c r="N1087" s="103"/>
      <c r="O1087" s="104"/>
      <c r="P1087" s="105"/>
    </row>
    <row r="1088" spans="2:16" x14ac:dyDescent="0.25">
      <c r="B1088" s="103"/>
      <c r="C1088" s="104"/>
      <c r="D1088" s="104"/>
      <c r="E1088" s="104"/>
      <c r="F1088" s="105"/>
      <c r="H1088" s="45" t="str">
        <f t="shared" si="48"/>
        <v/>
      </c>
      <c r="J1088" s="45" t="str">
        <f t="shared" si="49"/>
        <v/>
      </c>
      <c r="L1088" s="45" t="str">
        <f t="shared" si="50"/>
        <v/>
      </c>
      <c r="N1088" s="103"/>
      <c r="O1088" s="104"/>
      <c r="P1088" s="105"/>
    </row>
    <row r="1089" spans="2:16" x14ac:dyDescent="0.25">
      <c r="B1089" s="103"/>
      <c r="C1089" s="104"/>
      <c r="D1089" s="104"/>
      <c r="E1089" s="104"/>
      <c r="F1089" s="105"/>
      <c r="H1089" s="45" t="str">
        <f t="shared" si="48"/>
        <v/>
      </c>
      <c r="J1089" s="45" t="str">
        <f t="shared" si="49"/>
        <v/>
      </c>
      <c r="L1089" s="45" t="str">
        <f t="shared" si="50"/>
        <v/>
      </c>
      <c r="N1089" s="103"/>
      <c r="O1089" s="104"/>
      <c r="P1089" s="105"/>
    </row>
    <row r="1090" spans="2:16" x14ac:dyDescent="0.25">
      <c r="B1090" s="103"/>
      <c r="C1090" s="104"/>
      <c r="D1090" s="104"/>
      <c r="E1090" s="104"/>
      <c r="F1090" s="105"/>
      <c r="H1090" s="45" t="str">
        <f t="shared" si="48"/>
        <v/>
      </c>
      <c r="J1090" s="45" t="str">
        <f t="shared" si="49"/>
        <v/>
      </c>
      <c r="L1090" s="45" t="str">
        <f t="shared" si="50"/>
        <v/>
      </c>
      <c r="N1090" s="103"/>
      <c r="O1090" s="104"/>
      <c r="P1090" s="105"/>
    </row>
    <row r="1091" spans="2:16" x14ac:dyDescent="0.25">
      <c r="B1091" s="103"/>
      <c r="C1091" s="104"/>
      <c r="D1091" s="104"/>
      <c r="E1091" s="104"/>
      <c r="F1091" s="105"/>
      <c r="H1091" s="45" t="str">
        <f t="shared" si="48"/>
        <v/>
      </c>
      <c r="J1091" s="45" t="str">
        <f t="shared" si="49"/>
        <v/>
      </c>
      <c r="L1091" s="45" t="str">
        <f t="shared" si="50"/>
        <v/>
      </c>
      <c r="N1091" s="103"/>
      <c r="O1091" s="104"/>
      <c r="P1091" s="105"/>
    </row>
    <row r="1092" spans="2:16" x14ac:dyDescent="0.25">
      <c r="B1092" s="103"/>
      <c r="C1092" s="104"/>
      <c r="D1092" s="104"/>
      <c r="E1092" s="104"/>
      <c r="F1092" s="105"/>
      <c r="H1092" s="45" t="str">
        <f t="shared" si="48"/>
        <v/>
      </c>
      <c r="J1092" s="45" t="str">
        <f t="shared" si="49"/>
        <v/>
      </c>
      <c r="L1092" s="45" t="str">
        <f t="shared" si="50"/>
        <v/>
      </c>
      <c r="N1092" s="103"/>
      <c r="O1092" s="104"/>
      <c r="P1092" s="105"/>
    </row>
    <row r="1093" spans="2:16" x14ac:dyDescent="0.25">
      <c r="B1093" s="103"/>
      <c r="C1093" s="104"/>
      <c r="D1093" s="104"/>
      <c r="E1093" s="104"/>
      <c r="F1093" s="105"/>
      <c r="H1093" s="45" t="str">
        <f t="shared" si="48"/>
        <v/>
      </c>
      <c r="J1093" s="45" t="str">
        <f t="shared" si="49"/>
        <v/>
      </c>
      <c r="L1093" s="45" t="str">
        <f t="shared" si="50"/>
        <v/>
      </c>
      <c r="N1093" s="103"/>
      <c r="O1093" s="104"/>
      <c r="P1093" s="105"/>
    </row>
    <row r="1094" spans="2:16" x14ac:dyDescent="0.25">
      <c r="B1094" s="103"/>
      <c r="C1094" s="104"/>
      <c r="D1094" s="104"/>
      <c r="E1094" s="104"/>
      <c r="F1094" s="105"/>
      <c r="H1094" s="45" t="str">
        <f t="shared" si="48"/>
        <v/>
      </c>
      <c r="J1094" s="45" t="str">
        <f t="shared" si="49"/>
        <v/>
      </c>
      <c r="L1094" s="45" t="str">
        <f t="shared" si="50"/>
        <v/>
      </c>
      <c r="N1094" s="103"/>
      <c r="O1094" s="104"/>
      <c r="P1094" s="105"/>
    </row>
    <row r="1095" spans="2:16" x14ac:dyDescent="0.25">
      <c r="B1095" s="103"/>
      <c r="C1095" s="104"/>
      <c r="D1095" s="104"/>
      <c r="E1095" s="104"/>
      <c r="F1095" s="105"/>
      <c r="H1095" s="45" t="str">
        <f t="shared" si="48"/>
        <v/>
      </c>
      <c r="J1095" s="45" t="str">
        <f t="shared" si="49"/>
        <v/>
      </c>
      <c r="L1095" s="45" t="str">
        <f t="shared" si="50"/>
        <v/>
      </c>
      <c r="N1095" s="103"/>
      <c r="O1095" s="104"/>
      <c r="P1095" s="105"/>
    </row>
    <row r="1096" spans="2:16" x14ac:dyDescent="0.25">
      <c r="B1096" s="103"/>
      <c r="C1096" s="104"/>
      <c r="D1096" s="104"/>
      <c r="E1096" s="104"/>
      <c r="F1096" s="105"/>
      <c r="H1096" s="45" t="str">
        <f t="shared" si="48"/>
        <v/>
      </c>
      <c r="J1096" s="45" t="str">
        <f t="shared" si="49"/>
        <v/>
      </c>
      <c r="L1096" s="45" t="str">
        <f t="shared" si="50"/>
        <v/>
      </c>
      <c r="N1096" s="103"/>
      <c r="O1096" s="104"/>
      <c r="P1096" s="105"/>
    </row>
    <row r="1097" spans="2:16" x14ac:dyDescent="0.25">
      <c r="B1097" s="103"/>
      <c r="C1097" s="104"/>
      <c r="D1097" s="104"/>
      <c r="E1097" s="104"/>
      <c r="F1097" s="105"/>
      <c r="H1097" s="45" t="str">
        <f t="shared" si="48"/>
        <v/>
      </c>
      <c r="J1097" s="45" t="str">
        <f t="shared" si="49"/>
        <v/>
      </c>
      <c r="L1097" s="45" t="str">
        <f t="shared" si="50"/>
        <v/>
      </c>
      <c r="N1097" s="103"/>
      <c r="O1097" s="104"/>
      <c r="P1097" s="105"/>
    </row>
    <row r="1098" spans="2:16" x14ac:dyDescent="0.25">
      <c r="B1098" s="103"/>
      <c r="C1098" s="104"/>
      <c r="D1098" s="104"/>
      <c r="E1098" s="104"/>
      <c r="F1098" s="105"/>
      <c r="H1098" s="45" t="str">
        <f t="shared" si="48"/>
        <v/>
      </c>
      <c r="J1098" s="45" t="str">
        <f t="shared" si="49"/>
        <v/>
      </c>
      <c r="L1098" s="45" t="str">
        <f t="shared" si="50"/>
        <v/>
      </c>
      <c r="N1098" s="103"/>
      <c r="O1098" s="104"/>
      <c r="P1098" s="105"/>
    </row>
    <row r="1099" spans="2:16" x14ac:dyDescent="0.25">
      <c r="B1099" s="103"/>
      <c r="C1099" s="104"/>
      <c r="D1099" s="104"/>
      <c r="E1099" s="104"/>
      <c r="F1099" s="105"/>
      <c r="H1099" s="45" t="str">
        <f t="shared" ref="H1099:H1162" si="51">IF(C1099="","",C1099) &amp; IF(D1099="",""," – " &amp; D1099) &amp; IF(E1099="",""," – " &amp; E1099) &amp; IF(F1099="",""," – " &amp; F1099)</f>
        <v/>
      </c>
      <c r="J1099" s="45" t="str">
        <f t="shared" ref="J1099:J1162" si="52">IF(C1099="","",C1099) &amp; IF(D1099="",""," – " &amp; D1099) &amp; IF(E1099="",""," – " &amp; E1099)</f>
        <v/>
      </c>
      <c r="L1099" s="45" t="str">
        <f t="shared" ref="L1099:L1162" si="53">IF(C1099="","",C1099) &amp; IF(D1099="",""," – " &amp; D1099)</f>
        <v/>
      </c>
      <c r="N1099" s="103"/>
      <c r="O1099" s="104"/>
      <c r="P1099" s="105"/>
    </row>
    <row r="1100" spans="2:16" x14ac:dyDescent="0.25">
      <c r="B1100" s="103"/>
      <c r="C1100" s="104"/>
      <c r="D1100" s="104"/>
      <c r="E1100" s="104"/>
      <c r="F1100" s="105"/>
      <c r="H1100" s="45" t="str">
        <f t="shared" si="51"/>
        <v/>
      </c>
      <c r="J1100" s="45" t="str">
        <f t="shared" si="52"/>
        <v/>
      </c>
      <c r="L1100" s="45" t="str">
        <f t="shared" si="53"/>
        <v/>
      </c>
      <c r="N1100" s="103"/>
      <c r="O1100" s="104"/>
      <c r="P1100" s="105"/>
    </row>
    <row r="1101" spans="2:16" x14ac:dyDescent="0.25">
      <c r="B1101" s="103"/>
      <c r="C1101" s="104"/>
      <c r="D1101" s="104"/>
      <c r="E1101" s="104"/>
      <c r="F1101" s="105"/>
      <c r="H1101" s="45" t="str">
        <f t="shared" si="51"/>
        <v/>
      </c>
      <c r="J1101" s="45" t="str">
        <f t="shared" si="52"/>
        <v/>
      </c>
      <c r="L1101" s="45" t="str">
        <f t="shared" si="53"/>
        <v/>
      </c>
      <c r="N1101" s="103"/>
      <c r="O1101" s="104"/>
      <c r="P1101" s="105"/>
    </row>
    <row r="1102" spans="2:16" x14ac:dyDescent="0.25">
      <c r="B1102" s="103"/>
      <c r="C1102" s="104"/>
      <c r="D1102" s="104"/>
      <c r="E1102" s="104"/>
      <c r="F1102" s="105"/>
      <c r="H1102" s="45" t="str">
        <f t="shared" si="51"/>
        <v/>
      </c>
      <c r="J1102" s="45" t="str">
        <f t="shared" si="52"/>
        <v/>
      </c>
      <c r="L1102" s="45" t="str">
        <f t="shared" si="53"/>
        <v/>
      </c>
      <c r="N1102" s="103"/>
      <c r="O1102" s="104"/>
      <c r="P1102" s="105"/>
    </row>
    <row r="1103" spans="2:16" x14ac:dyDescent="0.25">
      <c r="B1103" s="103"/>
      <c r="C1103" s="104"/>
      <c r="D1103" s="104"/>
      <c r="E1103" s="104"/>
      <c r="F1103" s="105"/>
      <c r="H1103" s="45" t="str">
        <f t="shared" si="51"/>
        <v/>
      </c>
      <c r="J1103" s="45" t="str">
        <f t="shared" si="52"/>
        <v/>
      </c>
      <c r="L1103" s="45" t="str">
        <f t="shared" si="53"/>
        <v/>
      </c>
      <c r="N1103" s="103"/>
      <c r="O1103" s="104"/>
      <c r="P1103" s="105"/>
    </row>
    <row r="1104" spans="2:16" x14ac:dyDescent="0.25">
      <c r="B1104" s="103"/>
      <c r="C1104" s="104"/>
      <c r="D1104" s="104"/>
      <c r="E1104" s="104"/>
      <c r="F1104" s="105"/>
      <c r="H1104" s="45" t="str">
        <f t="shared" si="51"/>
        <v/>
      </c>
      <c r="J1104" s="45" t="str">
        <f t="shared" si="52"/>
        <v/>
      </c>
      <c r="L1104" s="45" t="str">
        <f t="shared" si="53"/>
        <v/>
      </c>
      <c r="N1104" s="103"/>
      <c r="O1104" s="104"/>
      <c r="P1104" s="105"/>
    </row>
    <row r="1105" spans="2:16" x14ac:dyDescent="0.25">
      <c r="B1105" s="103"/>
      <c r="C1105" s="104"/>
      <c r="D1105" s="104"/>
      <c r="E1105" s="104"/>
      <c r="F1105" s="105"/>
      <c r="H1105" s="45" t="str">
        <f t="shared" si="51"/>
        <v/>
      </c>
      <c r="J1105" s="45" t="str">
        <f t="shared" si="52"/>
        <v/>
      </c>
      <c r="L1105" s="45" t="str">
        <f t="shared" si="53"/>
        <v/>
      </c>
      <c r="N1105" s="103"/>
      <c r="O1105" s="104"/>
      <c r="P1105" s="105"/>
    </row>
    <row r="1106" spans="2:16" x14ac:dyDescent="0.25">
      <c r="B1106" s="103"/>
      <c r="C1106" s="104"/>
      <c r="D1106" s="104"/>
      <c r="E1106" s="104"/>
      <c r="F1106" s="105"/>
      <c r="H1106" s="45" t="str">
        <f t="shared" si="51"/>
        <v/>
      </c>
      <c r="J1106" s="45" t="str">
        <f t="shared" si="52"/>
        <v/>
      </c>
      <c r="L1106" s="45" t="str">
        <f t="shared" si="53"/>
        <v/>
      </c>
      <c r="N1106" s="103"/>
      <c r="O1106" s="104"/>
      <c r="P1106" s="105"/>
    </row>
    <row r="1107" spans="2:16" x14ac:dyDescent="0.25">
      <c r="B1107" s="103"/>
      <c r="C1107" s="104"/>
      <c r="D1107" s="104"/>
      <c r="E1107" s="104"/>
      <c r="F1107" s="105"/>
      <c r="H1107" s="45" t="str">
        <f t="shared" si="51"/>
        <v/>
      </c>
      <c r="J1107" s="45" t="str">
        <f t="shared" si="52"/>
        <v/>
      </c>
      <c r="L1107" s="45" t="str">
        <f t="shared" si="53"/>
        <v/>
      </c>
      <c r="N1107" s="103"/>
      <c r="O1107" s="104"/>
      <c r="P1107" s="105"/>
    </row>
    <row r="1108" spans="2:16" x14ac:dyDescent="0.25">
      <c r="B1108" s="103"/>
      <c r="C1108" s="104"/>
      <c r="D1108" s="104"/>
      <c r="E1108" s="104"/>
      <c r="F1108" s="105"/>
      <c r="H1108" s="45" t="str">
        <f t="shared" si="51"/>
        <v/>
      </c>
      <c r="J1108" s="45" t="str">
        <f t="shared" si="52"/>
        <v/>
      </c>
      <c r="L1108" s="45" t="str">
        <f t="shared" si="53"/>
        <v/>
      </c>
      <c r="N1108" s="103"/>
      <c r="O1108" s="104"/>
      <c r="P1108" s="105"/>
    </row>
    <row r="1109" spans="2:16" x14ac:dyDescent="0.25">
      <c r="B1109" s="103"/>
      <c r="C1109" s="104"/>
      <c r="D1109" s="104"/>
      <c r="E1109" s="104"/>
      <c r="F1109" s="105"/>
      <c r="H1109" s="45" t="str">
        <f t="shared" si="51"/>
        <v/>
      </c>
      <c r="J1109" s="45" t="str">
        <f t="shared" si="52"/>
        <v/>
      </c>
      <c r="L1109" s="45" t="str">
        <f t="shared" si="53"/>
        <v/>
      </c>
      <c r="N1109" s="103"/>
      <c r="O1109" s="104"/>
      <c r="P1109" s="105"/>
    </row>
    <row r="1110" spans="2:16" x14ac:dyDescent="0.25">
      <c r="B1110" s="103"/>
      <c r="C1110" s="104"/>
      <c r="D1110" s="104"/>
      <c r="E1110" s="104"/>
      <c r="F1110" s="105"/>
      <c r="H1110" s="45" t="str">
        <f t="shared" si="51"/>
        <v/>
      </c>
      <c r="J1110" s="45" t="str">
        <f t="shared" si="52"/>
        <v/>
      </c>
      <c r="L1110" s="45" t="str">
        <f t="shared" si="53"/>
        <v/>
      </c>
      <c r="N1110" s="103"/>
      <c r="O1110" s="104"/>
      <c r="P1110" s="105"/>
    </row>
    <row r="1111" spans="2:16" x14ac:dyDescent="0.25">
      <c r="B1111" s="103"/>
      <c r="C1111" s="104"/>
      <c r="D1111" s="104"/>
      <c r="E1111" s="104"/>
      <c r="F1111" s="105"/>
      <c r="H1111" s="45" t="str">
        <f t="shared" si="51"/>
        <v/>
      </c>
      <c r="J1111" s="45" t="str">
        <f t="shared" si="52"/>
        <v/>
      </c>
      <c r="L1111" s="45" t="str">
        <f t="shared" si="53"/>
        <v/>
      </c>
      <c r="N1111" s="103"/>
      <c r="O1111" s="104"/>
      <c r="P1111" s="105"/>
    </row>
    <row r="1112" spans="2:16" x14ac:dyDescent="0.25">
      <c r="B1112" s="103"/>
      <c r="C1112" s="104"/>
      <c r="D1112" s="104"/>
      <c r="E1112" s="104"/>
      <c r="F1112" s="105"/>
      <c r="H1112" s="45" t="str">
        <f t="shared" si="51"/>
        <v/>
      </c>
      <c r="J1112" s="45" t="str">
        <f t="shared" si="52"/>
        <v/>
      </c>
      <c r="L1112" s="45" t="str">
        <f t="shared" si="53"/>
        <v/>
      </c>
      <c r="N1112" s="103"/>
      <c r="O1112" s="104"/>
      <c r="P1112" s="105"/>
    </row>
    <row r="1113" spans="2:16" x14ac:dyDescent="0.25">
      <c r="B1113" s="103"/>
      <c r="C1113" s="104"/>
      <c r="D1113" s="104"/>
      <c r="E1113" s="104"/>
      <c r="F1113" s="105"/>
      <c r="H1113" s="45" t="str">
        <f t="shared" si="51"/>
        <v/>
      </c>
      <c r="J1113" s="45" t="str">
        <f t="shared" si="52"/>
        <v/>
      </c>
      <c r="L1113" s="45" t="str">
        <f t="shared" si="53"/>
        <v/>
      </c>
      <c r="N1113" s="103"/>
      <c r="O1113" s="104"/>
      <c r="P1113" s="105"/>
    </row>
    <row r="1114" spans="2:16" x14ac:dyDescent="0.25">
      <c r="B1114" s="103"/>
      <c r="C1114" s="104"/>
      <c r="D1114" s="104"/>
      <c r="E1114" s="104"/>
      <c r="F1114" s="105"/>
      <c r="H1114" s="45" t="str">
        <f t="shared" si="51"/>
        <v/>
      </c>
      <c r="J1114" s="45" t="str">
        <f t="shared" si="52"/>
        <v/>
      </c>
      <c r="L1114" s="45" t="str">
        <f t="shared" si="53"/>
        <v/>
      </c>
      <c r="N1114" s="103"/>
      <c r="O1114" s="104"/>
      <c r="P1114" s="105"/>
    </row>
    <row r="1115" spans="2:16" x14ac:dyDescent="0.25">
      <c r="B1115" s="103"/>
      <c r="C1115" s="104"/>
      <c r="D1115" s="104"/>
      <c r="E1115" s="104"/>
      <c r="F1115" s="105"/>
      <c r="H1115" s="45" t="str">
        <f t="shared" si="51"/>
        <v/>
      </c>
      <c r="J1115" s="45" t="str">
        <f t="shared" si="52"/>
        <v/>
      </c>
      <c r="L1115" s="45" t="str">
        <f t="shared" si="53"/>
        <v/>
      </c>
      <c r="N1115" s="103"/>
      <c r="O1115" s="104"/>
      <c r="P1115" s="105"/>
    </row>
    <row r="1116" spans="2:16" x14ac:dyDescent="0.25">
      <c r="B1116" s="103"/>
      <c r="C1116" s="104"/>
      <c r="D1116" s="104"/>
      <c r="E1116" s="104"/>
      <c r="F1116" s="105"/>
      <c r="H1116" s="45" t="str">
        <f t="shared" si="51"/>
        <v/>
      </c>
      <c r="J1116" s="45" t="str">
        <f t="shared" si="52"/>
        <v/>
      </c>
      <c r="L1116" s="45" t="str">
        <f t="shared" si="53"/>
        <v/>
      </c>
      <c r="N1116" s="103"/>
      <c r="O1116" s="104"/>
      <c r="P1116" s="105"/>
    </row>
    <row r="1117" spans="2:16" x14ac:dyDescent="0.25">
      <c r="B1117" s="103"/>
      <c r="C1117" s="104"/>
      <c r="D1117" s="104"/>
      <c r="E1117" s="104"/>
      <c r="F1117" s="105"/>
      <c r="H1117" s="45" t="str">
        <f t="shared" si="51"/>
        <v/>
      </c>
      <c r="J1117" s="45" t="str">
        <f t="shared" si="52"/>
        <v/>
      </c>
      <c r="L1117" s="45" t="str">
        <f t="shared" si="53"/>
        <v/>
      </c>
      <c r="N1117" s="103"/>
      <c r="O1117" s="104"/>
      <c r="P1117" s="105"/>
    </row>
    <row r="1118" spans="2:16" x14ac:dyDescent="0.25">
      <c r="B1118" s="103"/>
      <c r="C1118" s="104"/>
      <c r="D1118" s="104"/>
      <c r="E1118" s="104"/>
      <c r="F1118" s="105"/>
      <c r="H1118" s="45" t="str">
        <f t="shared" si="51"/>
        <v/>
      </c>
      <c r="J1118" s="45" t="str">
        <f t="shared" si="52"/>
        <v/>
      </c>
      <c r="L1118" s="45" t="str">
        <f t="shared" si="53"/>
        <v/>
      </c>
      <c r="N1118" s="103"/>
      <c r="O1118" s="109"/>
      <c r="P1118" s="105"/>
    </row>
    <row r="1119" spans="2:16" x14ac:dyDescent="0.25">
      <c r="B1119" s="103"/>
      <c r="C1119" s="104"/>
      <c r="D1119" s="104"/>
      <c r="E1119" s="104"/>
      <c r="F1119" s="105"/>
      <c r="H1119" s="45" t="str">
        <f t="shared" si="51"/>
        <v/>
      </c>
      <c r="J1119" s="45" t="str">
        <f t="shared" si="52"/>
        <v/>
      </c>
      <c r="L1119" s="45" t="str">
        <f t="shared" si="53"/>
        <v/>
      </c>
      <c r="N1119" s="103"/>
      <c r="O1119" s="104"/>
      <c r="P1119" s="105"/>
    </row>
    <row r="1120" spans="2:16" x14ac:dyDescent="0.25">
      <c r="B1120" s="103"/>
      <c r="C1120" s="104"/>
      <c r="D1120" s="104"/>
      <c r="E1120" s="104"/>
      <c r="F1120" s="105"/>
      <c r="H1120" s="45" t="str">
        <f t="shared" si="51"/>
        <v/>
      </c>
      <c r="J1120" s="45" t="str">
        <f t="shared" si="52"/>
        <v/>
      </c>
      <c r="L1120" s="45" t="str">
        <f t="shared" si="53"/>
        <v/>
      </c>
      <c r="N1120" s="103"/>
      <c r="O1120" s="104"/>
      <c r="P1120" s="105"/>
    </row>
    <row r="1121" spans="2:16" x14ac:dyDescent="0.25">
      <c r="B1121" s="103"/>
      <c r="C1121" s="104"/>
      <c r="D1121" s="104"/>
      <c r="E1121" s="104"/>
      <c r="F1121" s="105"/>
      <c r="H1121" s="45" t="str">
        <f t="shared" si="51"/>
        <v/>
      </c>
      <c r="J1121" s="45" t="str">
        <f t="shared" si="52"/>
        <v/>
      </c>
      <c r="L1121" s="45" t="str">
        <f t="shared" si="53"/>
        <v/>
      </c>
      <c r="N1121" s="103"/>
      <c r="O1121" s="104"/>
      <c r="P1121" s="105"/>
    </row>
    <row r="1122" spans="2:16" x14ac:dyDescent="0.25">
      <c r="B1122" s="103"/>
      <c r="C1122" s="104"/>
      <c r="D1122" s="104"/>
      <c r="E1122" s="104"/>
      <c r="F1122" s="105"/>
      <c r="H1122" s="45" t="str">
        <f t="shared" si="51"/>
        <v/>
      </c>
      <c r="J1122" s="45" t="str">
        <f t="shared" si="52"/>
        <v/>
      </c>
      <c r="L1122" s="45" t="str">
        <f t="shared" si="53"/>
        <v/>
      </c>
      <c r="N1122" s="103"/>
      <c r="O1122" s="104"/>
      <c r="P1122" s="105"/>
    </row>
    <row r="1123" spans="2:16" x14ac:dyDescent="0.25">
      <c r="B1123" s="103"/>
      <c r="C1123" s="104"/>
      <c r="D1123" s="104"/>
      <c r="E1123" s="104"/>
      <c r="F1123" s="105"/>
      <c r="H1123" s="45" t="str">
        <f t="shared" si="51"/>
        <v/>
      </c>
      <c r="J1123" s="45" t="str">
        <f t="shared" si="52"/>
        <v/>
      </c>
      <c r="L1123" s="45" t="str">
        <f t="shared" si="53"/>
        <v/>
      </c>
      <c r="N1123" s="103"/>
      <c r="O1123" s="104"/>
      <c r="P1123" s="105"/>
    </row>
    <row r="1124" spans="2:16" x14ac:dyDescent="0.25">
      <c r="B1124" s="103"/>
      <c r="C1124" s="104"/>
      <c r="D1124" s="104"/>
      <c r="E1124" s="104"/>
      <c r="F1124" s="105"/>
      <c r="H1124" s="45" t="str">
        <f t="shared" si="51"/>
        <v/>
      </c>
      <c r="J1124" s="45" t="str">
        <f t="shared" si="52"/>
        <v/>
      </c>
      <c r="L1124" s="45" t="str">
        <f t="shared" si="53"/>
        <v/>
      </c>
      <c r="N1124" s="103"/>
      <c r="O1124" s="104"/>
      <c r="P1124" s="105"/>
    </row>
    <row r="1125" spans="2:16" x14ac:dyDescent="0.25">
      <c r="B1125" s="103"/>
      <c r="C1125" s="104"/>
      <c r="D1125" s="104"/>
      <c r="E1125" s="104"/>
      <c r="F1125" s="105"/>
      <c r="H1125" s="45" t="str">
        <f t="shared" si="51"/>
        <v/>
      </c>
      <c r="J1125" s="45" t="str">
        <f t="shared" si="52"/>
        <v/>
      </c>
      <c r="L1125" s="45" t="str">
        <f t="shared" si="53"/>
        <v/>
      </c>
      <c r="N1125" s="103"/>
      <c r="O1125" s="104"/>
      <c r="P1125" s="105"/>
    </row>
    <row r="1126" spans="2:16" x14ac:dyDescent="0.25">
      <c r="B1126" s="103"/>
      <c r="C1126" s="104"/>
      <c r="D1126" s="104"/>
      <c r="E1126" s="104"/>
      <c r="F1126" s="105"/>
      <c r="H1126" s="45" t="str">
        <f t="shared" si="51"/>
        <v/>
      </c>
      <c r="J1126" s="45" t="str">
        <f t="shared" si="52"/>
        <v/>
      </c>
      <c r="L1126" s="45" t="str">
        <f t="shared" si="53"/>
        <v/>
      </c>
      <c r="N1126" s="103"/>
      <c r="O1126" s="104"/>
      <c r="P1126" s="105"/>
    </row>
    <row r="1127" spans="2:16" x14ac:dyDescent="0.25">
      <c r="B1127" s="103"/>
      <c r="C1127" s="104"/>
      <c r="D1127" s="104"/>
      <c r="E1127" s="104"/>
      <c r="F1127" s="105"/>
      <c r="H1127" s="45" t="str">
        <f t="shared" si="51"/>
        <v/>
      </c>
      <c r="J1127" s="45" t="str">
        <f t="shared" si="52"/>
        <v/>
      </c>
      <c r="L1127" s="45" t="str">
        <f t="shared" si="53"/>
        <v/>
      </c>
      <c r="N1127" s="103"/>
      <c r="O1127" s="104"/>
      <c r="P1127" s="105"/>
    </row>
    <row r="1128" spans="2:16" x14ac:dyDescent="0.25">
      <c r="B1128" s="103"/>
      <c r="C1128" s="104"/>
      <c r="D1128" s="104"/>
      <c r="E1128" s="104"/>
      <c r="F1128" s="105"/>
      <c r="H1128" s="45" t="str">
        <f t="shared" si="51"/>
        <v/>
      </c>
      <c r="J1128" s="45" t="str">
        <f t="shared" si="52"/>
        <v/>
      </c>
      <c r="L1128" s="45" t="str">
        <f t="shared" si="53"/>
        <v/>
      </c>
      <c r="N1128" s="103"/>
      <c r="O1128" s="104"/>
      <c r="P1128" s="105"/>
    </row>
    <row r="1129" spans="2:16" x14ac:dyDescent="0.25">
      <c r="B1129" s="103"/>
      <c r="C1129" s="104"/>
      <c r="D1129" s="104"/>
      <c r="E1129" s="104"/>
      <c r="F1129" s="105"/>
      <c r="H1129" s="45" t="str">
        <f t="shared" si="51"/>
        <v/>
      </c>
      <c r="J1129" s="45" t="str">
        <f t="shared" si="52"/>
        <v/>
      </c>
      <c r="L1129" s="45" t="str">
        <f t="shared" si="53"/>
        <v/>
      </c>
      <c r="N1129" s="103"/>
      <c r="O1129" s="104"/>
      <c r="P1129" s="105"/>
    </row>
    <row r="1130" spans="2:16" x14ac:dyDescent="0.25">
      <c r="B1130" s="103"/>
      <c r="C1130" s="104"/>
      <c r="D1130" s="104"/>
      <c r="E1130" s="104"/>
      <c r="F1130" s="105"/>
      <c r="H1130" s="45" t="str">
        <f t="shared" si="51"/>
        <v/>
      </c>
      <c r="J1130" s="45" t="str">
        <f t="shared" si="52"/>
        <v/>
      </c>
      <c r="L1130" s="45" t="str">
        <f t="shared" si="53"/>
        <v/>
      </c>
      <c r="N1130" s="103"/>
      <c r="O1130" s="104"/>
      <c r="P1130" s="105"/>
    </row>
    <row r="1131" spans="2:16" x14ac:dyDescent="0.25">
      <c r="B1131" s="103"/>
      <c r="C1131" s="104"/>
      <c r="D1131" s="104"/>
      <c r="E1131" s="104"/>
      <c r="F1131" s="105"/>
      <c r="H1131" s="45" t="str">
        <f t="shared" si="51"/>
        <v/>
      </c>
      <c r="J1131" s="45" t="str">
        <f t="shared" si="52"/>
        <v/>
      </c>
      <c r="L1131" s="45" t="str">
        <f t="shared" si="53"/>
        <v/>
      </c>
      <c r="N1131" s="103"/>
      <c r="O1131" s="104"/>
      <c r="P1131" s="105"/>
    </row>
    <row r="1132" spans="2:16" x14ac:dyDescent="0.25">
      <c r="B1132" s="103"/>
      <c r="C1132" s="104"/>
      <c r="D1132" s="104"/>
      <c r="E1132" s="104"/>
      <c r="F1132" s="105"/>
      <c r="H1132" s="45" t="str">
        <f t="shared" si="51"/>
        <v/>
      </c>
      <c r="J1132" s="45" t="str">
        <f t="shared" si="52"/>
        <v/>
      </c>
      <c r="L1132" s="45" t="str">
        <f t="shared" si="53"/>
        <v/>
      </c>
      <c r="N1132" s="103"/>
      <c r="O1132" s="104"/>
      <c r="P1132" s="105"/>
    </row>
    <row r="1133" spans="2:16" x14ac:dyDescent="0.25">
      <c r="B1133" s="103"/>
      <c r="C1133" s="104"/>
      <c r="D1133" s="104"/>
      <c r="E1133" s="104"/>
      <c r="F1133" s="105"/>
      <c r="H1133" s="45" t="str">
        <f t="shared" si="51"/>
        <v/>
      </c>
      <c r="J1133" s="45" t="str">
        <f t="shared" si="52"/>
        <v/>
      </c>
      <c r="L1133" s="45" t="str">
        <f t="shared" si="53"/>
        <v/>
      </c>
      <c r="N1133" s="103"/>
      <c r="O1133" s="104"/>
      <c r="P1133" s="105"/>
    </row>
    <row r="1134" spans="2:16" x14ac:dyDescent="0.25">
      <c r="B1134" s="103"/>
      <c r="C1134" s="104"/>
      <c r="D1134" s="104"/>
      <c r="E1134" s="104"/>
      <c r="F1134" s="105"/>
      <c r="H1134" s="45" t="str">
        <f t="shared" si="51"/>
        <v/>
      </c>
      <c r="J1134" s="45" t="str">
        <f t="shared" si="52"/>
        <v/>
      </c>
      <c r="L1134" s="45" t="str">
        <f t="shared" si="53"/>
        <v/>
      </c>
      <c r="N1134" s="103"/>
      <c r="O1134" s="104"/>
      <c r="P1134" s="105"/>
    </row>
    <row r="1135" spans="2:16" x14ac:dyDescent="0.25">
      <c r="B1135" s="103"/>
      <c r="C1135" s="104"/>
      <c r="D1135" s="104"/>
      <c r="E1135" s="104"/>
      <c r="F1135" s="105"/>
      <c r="H1135" s="45" t="str">
        <f t="shared" si="51"/>
        <v/>
      </c>
      <c r="J1135" s="45" t="str">
        <f t="shared" si="52"/>
        <v/>
      </c>
      <c r="L1135" s="45" t="str">
        <f t="shared" si="53"/>
        <v/>
      </c>
      <c r="N1135" s="103"/>
      <c r="O1135" s="104"/>
      <c r="P1135" s="105"/>
    </row>
    <row r="1136" spans="2:16" x14ac:dyDescent="0.25">
      <c r="B1136" s="103"/>
      <c r="C1136" s="104"/>
      <c r="D1136" s="104"/>
      <c r="E1136" s="104"/>
      <c r="F1136" s="105"/>
      <c r="H1136" s="45" t="str">
        <f t="shared" si="51"/>
        <v/>
      </c>
      <c r="J1136" s="45" t="str">
        <f t="shared" si="52"/>
        <v/>
      </c>
      <c r="L1136" s="45" t="str">
        <f t="shared" si="53"/>
        <v/>
      </c>
      <c r="N1136" s="103"/>
      <c r="O1136" s="104"/>
      <c r="P1136" s="105"/>
    </row>
    <row r="1137" spans="2:16" x14ac:dyDescent="0.25">
      <c r="B1137" s="103"/>
      <c r="C1137" s="104"/>
      <c r="D1137" s="104"/>
      <c r="E1137" s="104"/>
      <c r="F1137" s="105"/>
      <c r="H1137" s="45" t="str">
        <f t="shared" si="51"/>
        <v/>
      </c>
      <c r="J1137" s="45" t="str">
        <f t="shared" si="52"/>
        <v/>
      </c>
      <c r="L1137" s="45" t="str">
        <f t="shared" si="53"/>
        <v/>
      </c>
      <c r="N1137" s="103"/>
      <c r="O1137" s="104"/>
      <c r="P1137" s="105"/>
    </row>
    <row r="1138" spans="2:16" x14ac:dyDescent="0.25">
      <c r="B1138" s="103"/>
      <c r="C1138" s="104"/>
      <c r="D1138" s="104"/>
      <c r="E1138" s="104"/>
      <c r="F1138" s="105"/>
      <c r="H1138" s="45" t="str">
        <f t="shared" si="51"/>
        <v/>
      </c>
      <c r="J1138" s="45" t="str">
        <f t="shared" si="52"/>
        <v/>
      </c>
      <c r="L1138" s="45" t="str">
        <f t="shared" si="53"/>
        <v/>
      </c>
      <c r="N1138" s="103"/>
      <c r="O1138" s="104"/>
      <c r="P1138" s="105"/>
    </row>
    <row r="1139" spans="2:16" x14ac:dyDescent="0.25">
      <c r="B1139" s="103"/>
      <c r="C1139" s="104"/>
      <c r="D1139" s="104"/>
      <c r="E1139" s="104"/>
      <c r="F1139" s="105"/>
      <c r="H1139" s="45" t="str">
        <f t="shared" si="51"/>
        <v/>
      </c>
      <c r="J1139" s="45" t="str">
        <f t="shared" si="52"/>
        <v/>
      </c>
      <c r="L1139" s="45" t="str">
        <f t="shared" si="53"/>
        <v/>
      </c>
      <c r="N1139" s="103"/>
      <c r="O1139" s="104"/>
      <c r="P1139" s="105"/>
    </row>
    <row r="1140" spans="2:16" x14ac:dyDescent="0.25">
      <c r="B1140" s="103"/>
      <c r="C1140" s="104"/>
      <c r="D1140" s="104"/>
      <c r="E1140" s="104"/>
      <c r="F1140" s="105"/>
      <c r="H1140" s="45" t="str">
        <f t="shared" si="51"/>
        <v/>
      </c>
      <c r="J1140" s="45" t="str">
        <f t="shared" si="52"/>
        <v/>
      </c>
      <c r="L1140" s="45" t="str">
        <f t="shared" si="53"/>
        <v/>
      </c>
      <c r="N1140" s="103"/>
      <c r="O1140" s="104"/>
      <c r="P1140" s="105"/>
    </row>
    <row r="1141" spans="2:16" x14ac:dyDescent="0.25">
      <c r="B1141" s="103"/>
      <c r="C1141" s="104"/>
      <c r="D1141" s="104"/>
      <c r="E1141" s="104"/>
      <c r="F1141" s="105"/>
      <c r="H1141" s="45" t="str">
        <f t="shared" si="51"/>
        <v/>
      </c>
      <c r="J1141" s="45" t="str">
        <f t="shared" si="52"/>
        <v/>
      </c>
      <c r="L1141" s="45" t="str">
        <f t="shared" si="53"/>
        <v/>
      </c>
      <c r="N1141" s="103"/>
      <c r="O1141" s="104"/>
      <c r="P1141" s="105"/>
    </row>
    <row r="1142" spans="2:16" x14ac:dyDescent="0.25">
      <c r="B1142" s="103"/>
      <c r="C1142" s="104"/>
      <c r="D1142" s="104"/>
      <c r="E1142" s="104"/>
      <c r="F1142" s="105"/>
      <c r="H1142" s="45" t="str">
        <f t="shared" si="51"/>
        <v/>
      </c>
      <c r="J1142" s="45" t="str">
        <f t="shared" si="52"/>
        <v/>
      </c>
      <c r="L1142" s="45" t="str">
        <f t="shared" si="53"/>
        <v/>
      </c>
      <c r="N1142" s="103"/>
      <c r="O1142" s="104"/>
      <c r="P1142" s="105"/>
    </row>
    <row r="1143" spans="2:16" x14ac:dyDescent="0.25">
      <c r="B1143" s="103"/>
      <c r="C1143" s="104"/>
      <c r="D1143" s="104"/>
      <c r="E1143" s="104"/>
      <c r="F1143" s="105"/>
      <c r="H1143" s="45" t="str">
        <f t="shared" si="51"/>
        <v/>
      </c>
      <c r="J1143" s="45" t="str">
        <f t="shared" si="52"/>
        <v/>
      </c>
      <c r="L1143" s="45" t="str">
        <f t="shared" si="53"/>
        <v/>
      </c>
      <c r="N1143" s="103"/>
      <c r="O1143" s="104"/>
      <c r="P1143" s="105"/>
    </row>
    <row r="1144" spans="2:16" x14ac:dyDescent="0.25">
      <c r="B1144" s="103"/>
      <c r="C1144" s="104"/>
      <c r="D1144" s="104"/>
      <c r="E1144" s="104"/>
      <c r="F1144" s="105"/>
      <c r="H1144" s="45" t="str">
        <f t="shared" si="51"/>
        <v/>
      </c>
      <c r="J1144" s="45" t="str">
        <f t="shared" si="52"/>
        <v/>
      </c>
      <c r="L1144" s="45" t="str">
        <f t="shared" si="53"/>
        <v/>
      </c>
      <c r="N1144" s="103"/>
      <c r="O1144" s="104"/>
      <c r="P1144" s="105"/>
    </row>
    <row r="1145" spans="2:16" x14ac:dyDescent="0.25">
      <c r="B1145" s="103"/>
      <c r="C1145" s="104"/>
      <c r="D1145" s="104"/>
      <c r="E1145" s="104"/>
      <c r="F1145" s="105"/>
      <c r="H1145" s="45" t="str">
        <f t="shared" si="51"/>
        <v/>
      </c>
      <c r="J1145" s="45" t="str">
        <f t="shared" si="52"/>
        <v/>
      </c>
      <c r="L1145" s="45" t="str">
        <f t="shared" si="53"/>
        <v/>
      </c>
      <c r="N1145" s="103"/>
      <c r="O1145" s="104"/>
      <c r="P1145" s="105"/>
    </row>
    <row r="1146" spans="2:16" x14ac:dyDescent="0.25">
      <c r="B1146" s="103"/>
      <c r="C1146" s="104"/>
      <c r="D1146" s="104"/>
      <c r="E1146" s="104"/>
      <c r="F1146" s="105"/>
      <c r="H1146" s="45" t="str">
        <f t="shared" si="51"/>
        <v/>
      </c>
      <c r="J1146" s="45" t="str">
        <f t="shared" si="52"/>
        <v/>
      </c>
      <c r="L1146" s="45" t="str">
        <f t="shared" si="53"/>
        <v/>
      </c>
      <c r="N1146" s="103"/>
      <c r="O1146" s="104"/>
      <c r="P1146" s="105"/>
    </row>
    <row r="1147" spans="2:16" x14ac:dyDescent="0.25">
      <c r="B1147" s="103"/>
      <c r="C1147" s="104"/>
      <c r="D1147" s="104"/>
      <c r="E1147" s="104"/>
      <c r="F1147" s="105"/>
      <c r="H1147" s="45" t="str">
        <f t="shared" si="51"/>
        <v/>
      </c>
      <c r="J1147" s="45" t="str">
        <f t="shared" si="52"/>
        <v/>
      </c>
      <c r="L1147" s="45" t="str">
        <f t="shared" si="53"/>
        <v/>
      </c>
      <c r="N1147" s="103"/>
      <c r="O1147" s="104"/>
      <c r="P1147" s="105"/>
    </row>
    <row r="1148" spans="2:16" x14ac:dyDescent="0.25">
      <c r="B1148" s="103"/>
      <c r="C1148" s="104"/>
      <c r="D1148" s="104"/>
      <c r="E1148" s="104"/>
      <c r="F1148" s="105"/>
      <c r="H1148" s="45" t="str">
        <f t="shared" si="51"/>
        <v/>
      </c>
      <c r="J1148" s="45" t="str">
        <f t="shared" si="52"/>
        <v/>
      </c>
      <c r="L1148" s="45" t="str">
        <f t="shared" si="53"/>
        <v/>
      </c>
      <c r="N1148" s="103"/>
      <c r="O1148" s="104"/>
      <c r="P1148" s="105"/>
    </row>
    <row r="1149" spans="2:16" x14ac:dyDescent="0.25">
      <c r="B1149" s="103"/>
      <c r="C1149" s="104"/>
      <c r="D1149" s="104"/>
      <c r="E1149" s="104"/>
      <c r="F1149" s="105"/>
      <c r="H1149" s="45" t="str">
        <f t="shared" si="51"/>
        <v/>
      </c>
      <c r="J1149" s="45" t="str">
        <f t="shared" si="52"/>
        <v/>
      </c>
      <c r="L1149" s="45" t="str">
        <f t="shared" si="53"/>
        <v/>
      </c>
      <c r="N1149" s="103"/>
      <c r="O1149" s="104"/>
      <c r="P1149" s="105"/>
    </row>
    <row r="1150" spans="2:16" x14ac:dyDescent="0.25">
      <c r="B1150" s="103"/>
      <c r="C1150" s="104"/>
      <c r="D1150" s="104"/>
      <c r="E1150" s="104"/>
      <c r="F1150" s="105"/>
      <c r="H1150" s="45" t="str">
        <f t="shared" si="51"/>
        <v/>
      </c>
      <c r="J1150" s="45" t="str">
        <f t="shared" si="52"/>
        <v/>
      </c>
      <c r="L1150" s="45" t="str">
        <f t="shared" si="53"/>
        <v/>
      </c>
      <c r="N1150" s="103"/>
      <c r="O1150" s="104"/>
      <c r="P1150" s="105"/>
    </row>
    <row r="1151" spans="2:16" x14ac:dyDescent="0.25">
      <c r="B1151" s="103"/>
      <c r="C1151" s="104"/>
      <c r="D1151" s="104"/>
      <c r="E1151" s="104"/>
      <c r="F1151" s="105"/>
      <c r="H1151" s="45" t="str">
        <f t="shared" si="51"/>
        <v/>
      </c>
      <c r="J1151" s="45" t="str">
        <f t="shared" si="52"/>
        <v/>
      </c>
      <c r="L1151" s="45" t="str">
        <f t="shared" si="53"/>
        <v/>
      </c>
      <c r="N1151" s="103"/>
      <c r="O1151" s="104"/>
      <c r="P1151" s="105"/>
    </row>
    <row r="1152" spans="2:16" x14ac:dyDescent="0.25">
      <c r="B1152" s="103"/>
      <c r="C1152" s="104"/>
      <c r="D1152" s="104"/>
      <c r="E1152" s="104"/>
      <c r="F1152" s="105"/>
      <c r="H1152" s="45" t="str">
        <f t="shared" si="51"/>
        <v/>
      </c>
      <c r="J1152" s="45" t="str">
        <f t="shared" si="52"/>
        <v/>
      </c>
      <c r="L1152" s="45" t="str">
        <f t="shared" si="53"/>
        <v/>
      </c>
      <c r="N1152" s="103"/>
      <c r="O1152" s="104"/>
      <c r="P1152" s="105"/>
    </row>
    <row r="1153" spans="2:16" x14ac:dyDescent="0.25">
      <c r="B1153" s="103"/>
      <c r="C1153" s="104"/>
      <c r="D1153" s="104"/>
      <c r="E1153" s="104"/>
      <c r="F1153" s="105"/>
      <c r="H1153" s="45" t="str">
        <f t="shared" si="51"/>
        <v/>
      </c>
      <c r="J1153" s="45" t="str">
        <f t="shared" si="52"/>
        <v/>
      </c>
      <c r="L1153" s="45" t="str">
        <f t="shared" si="53"/>
        <v/>
      </c>
      <c r="N1153" s="103"/>
      <c r="O1153" s="104"/>
      <c r="P1153" s="105"/>
    </row>
    <row r="1154" spans="2:16" x14ac:dyDescent="0.25">
      <c r="B1154" s="103"/>
      <c r="C1154" s="104"/>
      <c r="D1154" s="104"/>
      <c r="E1154" s="104"/>
      <c r="F1154" s="105"/>
      <c r="H1154" s="45" t="str">
        <f t="shared" si="51"/>
        <v/>
      </c>
      <c r="J1154" s="45" t="str">
        <f t="shared" si="52"/>
        <v/>
      </c>
      <c r="L1154" s="45" t="str">
        <f t="shared" si="53"/>
        <v/>
      </c>
      <c r="N1154" s="103"/>
      <c r="O1154" s="104"/>
      <c r="P1154" s="105"/>
    </row>
    <row r="1155" spans="2:16" x14ac:dyDescent="0.25">
      <c r="B1155" s="103"/>
      <c r="C1155" s="104"/>
      <c r="D1155" s="104"/>
      <c r="E1155" s="104"/>
      <c r="F1155" s="105"/>
      <c r="H1155" s="45" t="str">
        <f t="shared" si="51"/>
        <v/>
      </c>
      <c r="J1155" s="45" t="str">
        <f t="shared" si="52"/>
        <v/>
      </c>
      <c r="L1155" s="45" t="str">
        <f t="shared" si="53"/>
        <v/>
      </c>
      <c r="N1155" s="103"/>
      <c r="O1155" s="104"/>
      <c r="P1155" s="105"/>
    </row>
    <row r="1156" spans="2:16" x14ac:dyDescent="0.25">
      <c r="B1156" s="103"/>
      <c r="C1156" s="104"/>
      <c r="D1156" s="104"/>
      <c r="E1156" s="104"/>
      <c r="F1156" s="105"/>
      <c r="H1156" s="45" t="str">
        <f t="shared" si="51"/>
        <v/>
      </c>
      <c r="J1156" s="45" t="str">
        <f t="shared" si="52"/>
        <v/>
      </c>
      <c r="L1156" s="45" t="str">
        <f t="shared" si="53"/>
        <v/>
      </c>
      <c r="N1156" s="103"/>
      <c r="O1156" s="104"/>
      <c r="P1156" s="105"/>
    </row>
    <row r="1157" spans="2:16" x14ac:dyDescent="0.25">
      <c r="B1157" s="103"/>
      <c r="C1157" s="104"/>
      <c r="D1157" s="104"/>
      <c r="E1157" s="104"/>
      <c r="F1157" s="105"/>
      <c r="H1157" s="45" t="str">
        <f t="shared" si="51"/>
        <v/>
      </c>
      <c r="J1157" s="45" t="str">
        <f t="shared" si="52"/>
        <v/>
      </c>
      <c r="L1157" s="45" t="str">
        <f t="shared" si="53"/>
        <v/>
      </c>
      <c r="N1157" s="103"/>
      <c r="O1157" s="104"/>
      <c r="P1157" s="105"/>
    </row>
    <row r="1158" spans="2:16" x14ac:dyDescent="0.25">
      <c r="B1158" s="103"/>
      <c r="C1158" s="104"/>
      <c r="D1158" s="104"/>
      <c r="E1158" s="104"/>
      <c r="F1158" s="105"/>
      <c r="H1158" s="45" t="str">
        <f t="shared" si="51"/>
        <v/>
      </c>
      <c r="J1158" s="45" t="str">
        <f t="shared" si="52"/>
        <v/>
      </c>
      <c r="L1158" s="45" t="str">
        <f t="shared" si="53"/>
        <v/>
      </c>
      <c r="N1158" s="103"/>
      <c r="O1158" s="104"/>
      <c r="P1158" s="105"/>
    </row>
    <row r="1159" spans="2:16" x14ac:dyDescent="0.25">
      <c r="B1159" s="103"/>
      <c r="C1159" s="104"/>
      <c r="D1159" s="104"/>
      <c r="E1159" s="104"/>
      <c r="F1159" s="105"/>
      <c r="H1159" s="45" t="str">
        <f t="shared" si="51"/>
        <v/>
      </c>
      <c r="J1159" s="45" t="str">
        <f t="shared" si="52"/>
        <v/>
      </c>
      <c r="L1159" s="45" t="str">
        <f t="shared" si="53"/>
        <v/>
      </c>
      <c r="N1159" s="103"/>
      <c r="O1159" s="104"/>
      <c r="P1159" s="105"/>
    </row>
    <row r="1160" spans="2:16" x14ac:dyDescent="0.25">
      <c r="B1160" s="103"/>
      <c r="C1160" s="104"/>
      <c r="D1160" s="104"/>
      <c r="E1160" s="104"/>
      <c r="F1160" s="105"/>
      <c r="H1160" s="45" t="str">
        <f t="shared" si="51"/>
        <v/>
      </c>
      <c r="J1160" s="45" t="str">
        <f t="shared" si="52"/>
        <v/>
      </c>
      <c r="L1160" s="45" t="str">
        <f t="shared" si="53"/>
        <v/>
      </c>
      <c r="N1160" s="103"/>
      <c r="O1160" s="104"/>
      <c r="P1160" s="105"/>
    </row>
    <row r="1161" spans="2:16" x14ac:dyDescent="0.25">
      <c r="B1161" s="103"/>
      <c r="C1161" s="104"/>
      <c r="D1161" s="104"/>
      <c r="E1161" s="104"/>
      <c r="F1161" s="105"/>
      <c r="H1161" s="45" t="str">
        <f t="shared" si="51"/>
        <v/>
      </c>
      <c r="J1161" s="45" t="str">
        <f t="shared" si="52"/>
        <v/>
      </c>
      <c r="L1161" s="45" t="str">
        <f t="shared" si="53"/>
        <v/>
      </c>
      <c r="N1161" s="103"/>
      <c r="O1161" s="104"/>
      <c r="P1161" s="105"/>
    </row>
    <row r="1162" spans="2:16" x14ac:dyDescent="0.25">
      <c r="B1162" s="103"/>
      <c r="C1162" s="104"/>
      <c r="D1162" s="104"/>
      <c r="E1162" s="104"/>
      <c r="F1162" s="105"/>
      <c r="H1162" s="45" t="str">
        <f t="shared" si="51"/>
        <v/>
      </c>
      <c r="J1162" s="45" t="str">
        <f t="shared" si="52"/>
        <v/>
      </c>
      <c r="L1162" s="45" t="str">
        <f t="shared" si="53"/>
        <v/>
      </c>
      <c r="N1162" s="103"/>
      <c r="O1162" s="104"/>
      <c r="P1162" s="105"/>
    </row>
    <row r="1163" spans="2:16" x14ac:dyDescent="0.25">
      <c r="B1163" s="103"/>
      <c r="C1163" s="104"/>
      <c r="D1163" s="104"/>
      <c r="E1163" s="104"/>
      <c r="F1163" s="105"/>
      <c r="H1163" s="45" t="str">
        <f t="shared" ref="H1163:H1209" si="54">IF(C1163="","",C1163) &amp; IF(D1163="",""," – " &amp; D1163) &amp; IF(E1163="",""," – " &amp; E1163) &amp; IF(F1163="",""," – " &amp; F1163)</f>
        <v/>
      </c>
      <c r="J1163" s="45" t="str">
        <f t="shared" ref="J1163:J1209" si="55">IF(C1163="","",C1163) &amp; IF(D1163="",""," – " &amp; D1163) &amp; IF(E1163="",""," – " &amp; E1163)</f>
        <v/>
      </c>
      <c r="L1163" s="45" t="str">
        <f t="shared" ref="L1163:L1209" si="56">IF(C1163="","",C1163) &amp; IF(D1163="",""," – " &amp; D1163)</f>
        <v/>
      </c>
      <c r="N1163" s="103"/>
      <c r="O1163" s="104"/>
      <c r="P1163" s="105"/>
    </row>
    <row r="1164" spans="2:16" x14ac:dyDescent="0.25">
      <c r="B1164" s="103"/>
      <c r="C1164" s="104"/>
      <c r="D1164" s="104"/>
      <c r="E1164" s="104"/>
      <c r="F1164" s="105"/>
      <c r="H1164" s="45" t="str">
        <f t="shared" si="54"/>
        <v/>
      </c>
      <c r="J1164" s="45" t="str">
        <f t="shared" si="55"/>
        <v/>
      </c>
      <c r="L1164" s="45" t="str">
        <f t="shared" si="56"/>
        <v/>
      </c>
      <c r="N1164" s="103"/>
      <c r="O1164" s="104"/>
      <c r="P1164" s="105"/>
    </row>
    <row r="1165" spans="2:16" x14ac:dyDescent="0.25">
      <c r="B1165" s="103"/>
      <c r="C1165" s="104"/>
      <c r="D1165" s="104"/>
      <c r="E1165" s="104"/>
      <c r="F1165" s="105"/>
      <c r="H1165" s="45" t="str">
        <f t="shared" si="54"/>
        <v/>
      </c>
      <c r="J1165" s="45" t="str">
        <f t="shared" si="55"/>
        <v/>
      </c>
      <c r="L1165" s="45" t="str">
        <f t="shared" si="56"/>
        <v/>
      </c>
      <c r="N1165" s="103"/>
      <c r="O1165" s="104"/>
      <c r="P1165" s="105"/>
    </row>
    <row r="1166" spans="2:16" x14ac:dyDescent="0.25">
      <c r="B1166" s="103"/>
      <c r="C1166" s="104"/>
      <c r="D1166" s="104"/>
      <c r="E1166" s="104"/>
      <c r="F1166" s="105"/>
      <c r="H1166" s="45" t="str">
        <f t="shared" si="54"/>
        <v/>
      </c>
      <c r="J1166" s="45" t="str">
        <f t="shared" si="55"/>
        <v/>
      </c>
      <c r="L1166" s="45" t="str">
        <f t="shared" si="56"/>
        <v/>
      </c>
      <c r="N1166" s="103"/>
      <c r="O1166" s="104"/>
      <c r="P1166" s="105"/>
    </row>
    <row r="1167" spans="2:16" x14ac:dyDescent="0.25">
      <c r="B1167" s="103"/>
      <c r="C1167" s="104"/>
      <c r="D1167" s="104"/>
      <c r="E1167" s="104"/>
      <c r="F1167" s="105"/>
      <c r="H1167" s="45" t="str">
        <f t="shared" si="54"/>
        <v/>
      </c>
      <c r="J1167" s="45" t="str">
        <f t="shared" si="55"/>
        <v/>
      </c>
      <c r="L1167" s="45" t="str">
        <f t="shared" si="56"/>
        <v/>
      </c>
      <c r="N1167" s="103"/>
      <c r="O1167" s="104"/>
      <c r="P1167" s="105"/>
    </row>
    <row r="1168" spans="2:16" x14ac:dyDescent="0.25">
      <c r="B1168" s="103"/>
      <c r="C1168" s="104"/>
      <c r="D1168" s="104"/>
      <c r="E1168" s="104"/>
      <c r="F1168" s="105"/>
      <c r="H1168" s="45" t="str">
        <f t="shared" si="54"/>
        <v/>
      </c>
      <c r="J1168" s="45" t="str">
        <f t="shared" si="55"/>
        <v/>
      </c>
      <c r="L1168" s="45" t="str">
        <f t="shared" si="56"/>
        <v/>
      </c>
      <c r="N1168" s="103"/>
      <c r="O1168" s="104"/>
      <c r="P1168" s="105"/>
    </row>
    <row r="1169" spans="2:16" x14ac:dyDescent="0.25">
      <c r="B1169" s="103"/>
      <c r="C1169" s="104"/>
      <c r="D1169" s="104"/>
      <c r="E1169" s="104"/>
      <c r="F1169" s="105"/>
      <c r="H1169" s="45" t="str">
        <f t="shared" si="54"/>
        <v/>
      </c>
      <c r="J1169" s="45" t="str">
        <f t="shared" si="55"/>
        <v/>
      </c>
      <c r="L1169" s="45" t="str">
        <f t="shared" si="56"/>
        <v/>
      </c>
      <c r="N1169" s="103"/>
      <c r="O1169" s="104"/>
      <c r="P1169" s="105"/>
    </row>
    <row r="1170" spans="2:16" x14ac:dyDescent="0.25">
      <c r="B1170" s="103"/>
      <c r="C1170" s="104"/>
      <c r="D1170" s="104"/>
      <c r="E1170" s="104"/>
      <c r="F1170" s="105"/>
      <c r="H1170" s="45" t="str">
        <f t="shared" si="54"/>
        <v/>
      </c>
      <c r="J1170" s="45" t="str">
        <f t="shared" si="55"/>
        <v/>
      </c>
      <c r="L1170" s="45" t="str">
        <f t="shared" si="56"/>
        <v/>
      </c>
      <c r="N1170" s="103"/>
      <c r="O1170" s="104"/>
      <c r="P1170" s="105"/>
    </row>
    <row r="1171" spans="2:16" x14ac:dyDescent="0.25">
      <c r="B1171" s="103"/>
      <c r="C1171" s="104"/>
      <c r="D1171" s="104"/>
      <c r="E1171" s="104"/>
      <c r="F1171" s="105"/>
      <c r="H1171" s="45" t="str">
        <f t="shared" si="54"/>
        <v/>
      </c>
      <c r="J1171" s="45" t="str">
        <f t="shared" si="55"/>
        <v/>
      </c>
      <c r="L1171" s="45" t="str">
        <f t="shared" si="56"/>
        <v/>
      </c>
      <c r="N1171" s="103"/>
      <c r="O1171" s="104"/>
      <c r="P1171" s="105"/>
    </row>
    <row r="1172" spans="2:16" x14ac:dyDescent="0.25">
      <c r="B1172" s="103"/>
      <c r="C1172" s="104"/>
      <c r="D1172" s="104"/>
      <c r="E1172" s="104"/>
      <c r="F1172" s="105"/>
      <c r="H1172" s="45" t="str">
        <f t="shared" si="54"/>
        <v/>
      </c>
      <c r="J1172" s="45" t="str">
        <f t="shared" si="55"/>
        <v/>
      </c>
      <c r="L1172" s="45" t="str">
        <f t="shared" si="56"/>
        <v/>
      </c>
      <c r="N1172" s="103"/>
      <c r="O1172" s="104"/>
      <c r="P1172" s="105"/>
    </row>
    <row r="1173" spans="2:16" x14ac:dyDescent="0.25">
      <c r="B1173" s="103"/>
      <c r="C1173" s="104"/>
      <c r="D1173" s="104"/>
      <c r="E1173" s="104"/>
      <c r="F1173" s="105"/>
      <c r="H1173" s="45" t="str">
        <f t="shared" si="54"/>
        <v/>
      </c>
      <c r="J1173" s="45" t="str">
        <f t="shared" si="55"/>
        <v/>
      </c>
      <c r="L1173" s="45" t="str">
        <f t="shared" si="56"/>
        <v/>
      </c>
      <c r="N1173" s="103"/>
      <c r="O1173" s="104"/>
      <c r="P1173" s="105"/>
    </row>
    <row r="1174" spans="2:16" x14ac:dyDescent="0.25">
      <c r="B1174" s="103"/>
      <c r="C1174" s="104"/>
      <c r="D1174" s="104"/>
      <c r="E1174" s="104"/>
      <c r="F1174" s="105"/>
      <c r="H1174" s="45" t="str">
        <f t="shared" si="54"/>
        <v/>
      </c>
      <c r="J1174" s="45" t="str">
        <f t="shared" si="55"/>
        <v/>
      </c>
      <c r="L1174" s="45" t="str">
        <f t="shared" si="56"/>
        <v/>
      </c>
      <c r="N1174" s="103"/>
      <c r="O1174" s="104"/>
      <c r="P1174" s="105"/>
    </row>
    <row r="1175" spans="2:16" x14ac:dyDescent="0.25">
      <c r="B1175" s="103"/>
      <c r="C1175" s="104"/>
      <c r="D1175" s="104"/>
      <c r="E1175" s="104"/>
      <c r="F1175" s="105"/>
      <c r="H1175" s="45" t="str">
        <f t="shared" si="54"/>
        <v/>
      </c>
      <c r="J1175" s="45" t="str">
        <f t="shared" si="55"/>
        <v/>
      </c>
      <c r="L1175" s="45" t="str">
        <f t="shared" si="56"/>
        <v/>
      </c>
      <c r="N1175" s="103"/>
      <c r="O1175" s="104"/>
      <c r="P1175" s="105"/>
    </row>
    <row r="1176" spans="2:16" x14ac:dyDescent="0.25">
      <c r="B1176" s="103"/>
      <c r="C1176" s="104"/>
      <c r="D1176" s="104"/>
      <c r="E1176" s="104"/>
      <c r="F1176" s="105"/>
      <c r="H1176" s="45" t="str">
        <f t="shared" si="54"/>
        <v/>
      </c>
      <c r="J1176" s="45" t="str">
        <f t="shared" si="55"/>
        <v/>
      </c>
      <c r="L1176" s="45" t="str">
        <f t="shared" si="56"/>
        <v/>
      </c>
      <c r="N1176" s="103"/>
      <c r="O1176" s="104"/>
      <c r="P1176" s="105"/>
    </row>
    <row r="1177" spans="2:16" x14ac:dyDescent="0.25">
      <c r="B1177" s="103"/>
      <c r="C1177" s="104"/>
      <c r="D1177" s="104"/>
      <c r="E1177" s="104"/>
      <c r="F1177" s="105"/>
      <c r="H1177" s="45" t="str">
        <f t="shared" si="54"/>
        <v/>
      </c>
      <c r="J1177" s="45" t="str">
        <f t="shared" si="55"/>
        <v/>
      </c>
      <c r="L1177" s="45" t="str">
        <f t="shared" si="56"/>
        <v/>
      </c>
      <c r="N1177" s="103"/>
      <c r="O1177" s="104"/>
      <c r="P1177" s="105"/>
    </row>
    <row r="1178" spans="2:16" x14ac:dyDescent="0.25">
      <c r="B1178" s="103"/>
      <c r="C1178" s="104"/>
      <c r="D1178" s="104"/>
      <c r="E1178" s="104"/>
      <c r="F1178" s="105"/>
      <c r="H1178" s="45" t="str">
        <f t="shared" si="54"/>
        <v/>
      </c>
      <c r="J1178" s="45" t="str">
        <f t="shared" si="55"/>
        <v/>
      </c>
      <c r="L1178" s="45" t="str">
        <f t="shared" si="56"/>
        <v/>
      </c>
      <c r="N1178" s="103"/>
      <c r="O1178" s="104"/>
      <c r="P1178" s="105"/>
    </row>
    <row r="1179" spans="2:16" x14ac:dyDescent="0.25">
      <c r="B1179" s="103"/>
      <c r="C1179" s="104"/>
      <c r="D1179" s="104"/>
      <c r="E1179" s="104"/>
      <c r="F1179" s="105"/>
      <c r="H1179" s="45" t="str">
        <f t="shared" si="54"/>
        <v/>
      </c>
      <c r="J1179" s="45" t="str">
        <f t="shared" si="55"/>
        <v/>
      </c>
      <c r="L1179" s="45" t="str">
        <f t="shared" si="56"/>
        <v/>
      </c>
      <c r="N1179" s="103"/>
      <c r="O1179" s="104"/>
      <c r="P1179" s="105"/>
    </row>
    <row r="1180" spans="2:16" x14ac:dyDescent="0.25">
      <c r="B1180" s="103"/>
      <c r="C1180" s="104"/>
      <c r="D1180" s="104"/>
      <c r="E1180" s="104"/>
      <c r="F1180" s="105"/>
      <c r="H1180" s="45" t="str">
        <f t="shared" si="54"/>
        <v/>
      </c>
      <c r="J1180" s="45" t="str">
        <f t="shared" si="55"/>
        <v/>
      </c>
      <c r="L1180" s="45" t="str">
        <f t="shared" si="56"/>
        <v/>
      </c>
      <c r="N1180" s="103"/>
      <c r="O1180" s="104"/>
      <c r="P1180" s="105"/>
    </row>
    <row r="1181" spans="2:16" x14ac:dyDescent="0.25">
      <c r="B1181" s="103"/>
      <c r="C1181" s="104"/>
      <c r="D1181" s="104"/>
      <c r="E1181" s="104"/>
      <c r="F1181" s="105"/>
      <c r="H1181" s="45" t="str">
        <f t="shared" si="54"/>
        <v/>
      </c>
      <c r="J1181" s="45" t="str">
        <f t="shared" si="55"/>
        <v/>
      </c>
      <c r="L1181" s="45" t="str">
        <f t="shared" si="56"/>
        <v/>
      </c>
      <c r="N1181" s="103"/>
      <c r="O1181" s="104"/>
      <c r="P1181" s="105"/>
    </row>
    <row r="1182" spans="2:16" x14ac:dyDescent="0.25">
      <c r="B1182" s="103"/>
      <c r="C1182" s="104"/>
      <c r="D1182" s="104"/>
      <c r="E1182" s="104"/>
      <c r="F1182" s="105"/>
      <c r="H1182" s="45" t="str">
        <f t="shared" si="54"/>
        <v/>
      </c>
      <c r="J1182" s="45" t="str">
        <f t="shared" si="55"/>
        <v/>
      </c>
      <c r="L1182" s="45" t="str">
        <f t="shared" si="56"/>
        <v/>
      </c>
      <c r="N1182" s="103"/>
      <c r="O1182" s="104"/>
      <c r="P1182" s="105"/>
    </row>
    <row r="1183" spans="2:16" x14ac:dyDescent="0.25">
      <c r="B1183" s="103"/>
      <c r="C1183" s="104"/>
      <c r="D1183" s="104"/>
      <c r="E1183" s="104"/>
      <c r="F1183" s="105"/>
      <c r="H1183" s="45" t="str">
        <f t="shared" si="54"/>
        <v/>
      </c>
      <c r="J1183" s="45" t="str">
        <f t="shared" si="55"/>
        <v/>
      </c>
      <c r="L1183" s="45" t="str">
        <f t="shared" si="56"/>
        <v/>
      </c>
      <c r="N1183" s="103"/>
      <c r="O1183" s="104"/>
      <c r="P1183" s="105"/>
    </row>
    <row r="1184" spans="2:16" x14ac:dyDescent="0.25">
      <c r="B1184" s="103"/>
      <c r="C1184" s="104"/>
      <c r="D1184" s="104"/>
      <c r="E1184" s="104"/>
      <c r="F1184" s="105"/>
      <c r="H1184" s="45" t="str">
        <f t="shared" si="54"/>
        <v/>
      </c>
      <c r="J1184" s="45" t="str">
        <f t="shared" si="55"/>
        <v/>
      </c>
      <c r="L1184" s="45" t="str">
        <f t="shared" si="56"/>
        <v/>
      </c>
      <c r="N1184" s="103"/>
      <c r="O1184" s="104"/>
      <c r="P1184" s="105"/>
    </row>
    <row r="1185" spans="2:16" x14ac:dyDescent="0.25">
      <c r="B1185" s="103"/>
      <c r="C1185" s="104"/>
      <c r="D1185" s="104"/>
      <c r="E1185" s="104"/>
      <c r="F1185" s="105"/>
      <c r="H1185" s="45" t="str">
        <f t="shared" si="54"/>
        <v/>
      </c>
      <c r="J1185" s="45" t="str">
        <f t="shared" si="55"/>
        <v/>
      </c>
      <c r="L1185" s="45" t="str">
        <f t="shared" si="56"/>
        <v/>
      </c>
      <c r="N1185" s="103"/>
      <c r="O1185" s="104"/>
      <c r="P1185" s="105"/>
    </row>
    <row r="1186" spans="2:16" x14ac:dyDescent="0.25">
      <c r="B1186" s="103"/>
      <c r="C1186" s="104"/>
      <c r="D1186" s="104"/>
      <c r="E1186" s="104"/>
      <c r="F1186" s="105"/>
      <c r="H1186" s="45" t="str">
        <f t="shared" si="54"/>
        <v/>
      </c>
      <c r="J1186" s="45" t="str">
        <f t="shared" si="55"/>
        <v/>
      </c>
      <c r="L1186" s="45" t="str">
        <f t="shared" si="56"/>
        <v/>
      </c>
      <c r="N1186" s="103"/>
      <c r="O1186" s="104"/>
      <c r="P1186" s="105"/>
    </row>
    <row r="1187" spans="2:16" x14ac:dyDescent="0.25">
      <c r="B1187" s="103"/>
      <c r="C1187" s="104"/>
      <c r="D1187" s="104"/>
      <c r="E1187" s="104"/>
      <c r="F1187" s="105"/>
      <c r="H1187" s="45" t="str">
        <f t="shared" si="54"/>
        <v/>
      </c>
      <c r="J1187" s="45" t="str">
        <f t="shared" si="55"/>
        <v/>
      </c>
      <c r="L1187" s="45" t="str">
        <f t="shared" si="56"/>
        <v/>
      </c>
      <c r="N1187" s="103"/>
      <c r="O1187" s="104"/>
      <c r="P1187" s="105"/>
    </row>
    <row r="1188" spans="2:16" x14ac:dyDescent="0.25">
      <c r="B1188" s="103"/>
      <c r="C1188" s="104"/>
      <c r="D1188" s="104"/>
      <c r="E1188" s="104"/>
      <c r="F1188" s="105"/>
      <c r="H1188" s="45" t="str">
        <f t="shared" si="54"/>
        <v/>
      </c>
      <c r="J1188" s="45" t="str">
        <f t="shared" si="55"/>
        <v/>
      </c>
      <c r="L1188" s="45" t="str">
        <f t="shared" si="56"/>
        <v/>
      </c>
      <c r="N1188" s="103"/>
      <c r="O1188" s="104"/>
      <c r="P1188" s="105"/>
    </row>
    <row r="1189" spans="2:16" x14ac:dyDescent="0.25">
      <c r="B1189" s="103"/>
      <c r="C1189" s="104"/>
      <c r="D1189" s="104"/>
      <c r="E1189" s="104"/>
      <c r="F1189" s="105"/>
      <c r="H1189" s="45" t="str">
        <f t="shared" si="54"/>
        <v/>
      </c>
      <c r="J1189" s="45" t="str">
        <f t="shared" si="55"/>
        <v/>
      </c>
      <c r="L1189" s="45" t="str">
        <f t="shared" si="56"/>
        <v/>
      </c>
      <c r="N1189" s="103"/>
      <c r="O1189" s="104"/>
      <c r="P1189" s="105"/>
    </row>
    <row r="1190" spans="2:16" x14ac:dyDescent="0.25">
      <c r="B1190" s="103"/>
      <c r="C1190" s="104"/>
      <c r="D1190" s="104"/>
      <c r="E1190" s="104"/>
      <c r="F1190" s="105"/>
      <c r="H1190" s="45" t="str">
        <f t="shared" si="54"/>
        <v/>
      </c>
      <c r="J1190" s="45" t="str">
        <f t="shared" si="55"/>
        <v/>
      </c>
      <c r="L1190" s="45" t="str">
        <f t="shared" si="56"/>
        <v/>
      </c>
      <c r="N1190" s="103"/>
      <c r="O1190" s="104"/>
      <c r="P1190" s="105"/>
    </row>
    <row r="1191" spans="2:16" x14ac:dyDescent="0.25">
      <c r="B1191" s="103"/>
      <c r="C1191" s="104"/>
      <c r="D1191" s="104"/>
      <c r="E1191" s="104"/>
      <c r="F1191" s="105"/>
      <c r="H1191" s="45" t="str">
        <f t="shared" si="54"/>
        <v/>
      </c>
      <c r="J1191" s="45" t="str">
        <f t="shared" si="55"/>
        <v/>
      </c>
      <c r="L1191" s="45" t="str">
        <f t="shared" si="56"/>
        <v/>
      </c>
      <c r="N1191" s="103"/>
      <c r="O1191" s="104"/>
      <c r="P1191" s="105"/>
    </row>
    <row r="1192" spans="2:16" x14ac:dyDescent="0.25">
      <c r="B1192" s="103"/>
      <c r="C1192" s="104"/>
      <c r="D1192" s="104"/>
      <c r="E1192" s="104"/>
      <c r="F1192" s="105"/>
      <c r="H1192" s="45" t="str">
        <f t="shared" si="54"/>
        <v/>
      </c>
      <c r="J1192" s="45" t="str">
        <f t="shared" si="55"/>
        <v/>
      </c>
      <c r="L1192" s="45" t="str">
        <f t="shared" si="56"/>
        <v/>
      </c>
      <c r="N1192" s="103"/>
      <c r="O1192" s="104"/>
      <c r="P1192" s="105"/>
    </row>
    <row r="1193" spans="2:16" x14ac:dyDescent="0.25">
      <c r="B1193" s="103"/>
      <c r="C1193" s="104"/>
      <c r="D1193" s="104"/>
      <c r="E1193" s="104"/>
      <c r="F1193" s="105"/>
      <c r="H1193" s="45" t="str">
        <f t="shared" si="54"/>
        <v/>
      </c>
      <c r="J1193" s="45" t="str">
        <f t="shared" si="55"/>
        <v/>
      </c>
      <c r="L1193" s="45" t="str">
        <f t="shared" si="56"/>
        <v/>
      </c>
      <c r="N1193" s="103"/>
      <c r="O1193" s="104"/>
      <c r="P1193" s="105"/>
    </row>
    <row r="1194" spans="2:16" x14ac:dyDescent="0.25">
      <c r="B1194" s="103"/>
      <c r="C1194" s="104"/>
      <c r="D1194" s="104"/>
      <c r="E1194" s="104"/>
      <c r="F1194" s="105"/>
      <c r="H1194" s="45" t="str">
        <f t="shared" si="54"/>
        <v/>
      </c>
      <c r="J1194" s="45" t="str">
        <f t="shared" si="55"/>
        <v/>
      </c>
      <c r="L1194" s="45" t="str">
        <f t="shared" si="56"/>
        <v/>
      </c>
      <c r="N1194" s="103"/>
      <c r="O1194" s="104"/>
      <c r="P1194" s="105"/>
    </row>
    <row r="1195" spans="2:16" x14ac:dyDescent="0.25">
      <c r="B1195" s="103"/>
      <c r="C1195" s="104"/>
      <c r="D1195" s="104"/>
      <c r="E1195" s="104"/>
      <c r="F1195" s="105"/>
      <c r="H1195" s="45" t="str">
        <f t="shared" si="54"/>
        <v/>
      </c>
      <c r="J1195" s="45" t="str">
        <f t="shared" si="55"/>
        <v/>
      </c>
      <c r="L1195" s="45" t="str">
        <f t="shared" si="56"/>
        <v/>
      </c>
      <c r="N1195" s="103"/>
      <c r="O1195" s="104"/>
      <c r="P1195" s="105"/>
    </row>
    <row r="1196" spans="2:16" x14ac:dyDescent="0.25">
      <c r="B1196" s="103"/>
      <c r="C1196" s="104"/>
      <c r="D1196" s="104"/>
      <c r="E1196" s="104"/>
      <c r="F1196" s="105"/>
      <c r="H1196" s="45" t="str">
        <f t="shared" si="54"/>
        <v/>
      </c>
      <c r="J1196" s="45" t="str">
        <f t="shared" si="55"/>
        <v/>
      </c>
      <c r="L1196" s="45" t="str">
        <f t="shared" si="56"/>
        <v/>
      </c>
      <c r="N1196" s="103"/>
      <c r="O1196" s="104"/>
      <c r="P1196" s="105"/>
    </row>
    <row r="1197" spans="2:16" x14ac:dyDescent="0.25">
      <c r="B1197" s="103"/>
      <c r="C1197" s="104"/>
      <c r="D1197" s="104"/>
      <c r="E1197" s="104"/>
      <c r="F1197" s="105"/>
      <c r="H1197" s="45" t="str">
        <f t="shared" si="54"/>
        <v/>
      </c>
      <c r="J1197" s="45" t="str">
        <f t="shared" si="55"/>
        <v/>
      </c>
      <c r="L1197" s="45" t="str">
        <f t="shared" si="56"/>
        <v/>
      </c>
      <c r="N1197" s="103"/>
      <c r="O1197" s="104"/>
      <c r="P1197" s="105"/>
    </row>
    <row r="1198" spans="2:16" x14ac:dyDescent="0.25">
      <c r="B1198" s="103"/>
      <c r="C1198" s="104"/>
      <c r="D1198" s="104"/>
      <c r="E1198" s="104"/>
      <c r="F1198" s="105"/>
      <c r="H1198" s="45" t="str">
        <f t="shared" si="54"/>
        <v/>
      </c>
      <c r="J1198" s="45" t="str">
        <f t="shared" si="55"/>
        <v/>
      </c>
      <c r="L1198" s="45" t="str">
        <f t="shared" si="56"/>
        <v/>
      </c>
      <c r="N1198" s="103"/>
      <c r="O1198" s="104"/>
      <c r="P1198" s="105"/>
    </row>
    <row r="1199" spans="2:16" x14ac:dyDescent="0.25">
      <c r="B1199" s="103"/>
      <c r="C1199" s="104"/>
      <c r="D1199" s="104"/>
      <c r="E1199" s="104"/>
      <c r="F1199" s="105"/>
      <c r="H1199" s="45" t="str">
        <f t="shared" si="54"/>
        <v/>
      </c>
      <c r="J1199" s="45" t="str">
        <f t="shared" si="55"/>
        <v/>
      </c>
      <c r="L1199" s="45" t="str">
        <f t="shared" si="56"/>
        <v/>
      </c>
      <c r="N1199" s="103"/>
      <c r="O1199" s="104"/>
      <c r="P1199" s="105"/>
    </row>
    <row r="1200" spans="2:16" x14ac:dyDescent="0.25">
      <c r="B1200" s="103"/>
      <c r="C1200" s="104"/>
      <c r="D1200" s="104"/>
      <c r="E1200" s="104"/>
      <c r="F1200" s="105"/>
      <c r="H1200" s="45" t="str">
        <f t="shared" si="54"/>
        <v/>
      </c>
      <c r="J1200" s="45" t="str">
        <f t="shared" si="55"/>
        <v/>
      </c>
      <c r="L1200" s="45" t="str">
        <f t="shared" si="56"/>
        <v/>
      </c>
      <c r="N1200" s="103"/>
      <c r="O1200" s="104"/>
      <c r="P1200" s="105"/>
    </row>
    <row r="1201" spans="2:16" x14ac:dyDescent="0.25">
      <c r="B1201" s="103"/>
      <c r="C1201" s="104"/>
      <c r="D1201" s="104"/>
      <c r="E1201" s="104"/>
      <c r="F1201" s="105"/>
      <c r="H1201" s="45" t="str">
        <f t="shared" si="54"/>
        <v/>
      </c>
      <c r="J1201" s="45" t="str">
        <f t="shared" si="55"/>
        <v/>
      </c>
      <c r="L1201" s="45" t="str">
        <f t="shared" si="56"/>
        <v/>
      </c>
      <c r="N1201" s="103"/>
      <c r="O1201" s="104"/>
      <c r="P1201" s="105"/>
    </row>
    <row r="1202" spans="2:16" x14ac:dyDescent="0.25">
      <c r="B1202" s="103"/>
      <c r="C1202" s="104"/>
      <c r="D1202" s="104"/>
      <c r="E1202" s="104"/>
      <c r="F1202" s="105"/>
      <c r="H1202" s="45" t="str">
        <f t="shared" si="54"/>
        <v/>
      </c>
      <c r="J1202" s="45" t="str">
        <f t="shared" si="55"/>
        <v/>
      </c>
      <c r="L1202" s="45" t="str">
        <f t="shared" si="56"/>
        <v/>
      </c>
      <c r="N1202" s="103"/>
      <c r="O1202" s="104"/>
      <c r="P1202" s="105"/>
    </row>
    <row r="1203" spans="2:16" x14ac:dyDescent="0.25">
      <c r="B1203" s="103"/>
      <c r="C1203" s="104"/>
      <c r="D1203" s="104"/>
      <c r="E1203" s="104"/>
      <c r="F1203" s="105"/>
      <c r="H1203" s="45" t="str">
        <f t="shared" si="54"/>
        <v/>
      </c>
      <c r="J1203" s="45" t="str">
        <f t="shared" si="55"/>
        <v/>
      </c>
      <c r="L1203" s="45" t="str">
        <f t="shared" si="56"/>
        <v/>
      </c>
      <c r="N1203" s="103"/>
      <c r="O1203" s="104"/>
      <c r="P1203" s="105"/>
    </row>
    <row r="1204" spans="2:16" x14ac:dyDescent="0.25">
      <c r="B1204" s="103"/>
      <c r="C1204" s="104"/>
      <c r="D1204" s="104"/>
      <c r="E1204" s="104"/>
      <c r="F1204" s="105"/>
      <c r="H1204" s="45" t="str">
        <f t="shared" si="54"/>
        <v/>
      </c>
      <c r="J1204" s="45" t="str">
        <f t="shared" si="55"/>
        <v/>
      </c>
      <c r="L1204" s="45" t="str">
        <f t="shared" si="56"/>
        <v/>
      </c>
      <c r="N1204" s="103"/>
      <c r="O1204" s="104"/>
      <c r="P1204" s="105"/>
    </row>
    <row r="1205" spans="2:16" x14ac:dyDescent="0.25">
      <c r="B1205" s="103"/>
      <c r="C1205" s="104"/>
      <c r="D1205" s="104"/>
      <c r="E1205" s="104"/>
      <c r="F1205" s="105"/>
      <c r="H1205" s="45" t="str">
        <f t="shared" si="54"/>
        <v/>
      </c>
      <c r="J1205" s="45" t="str">
        <f t="shared" si="55"/>
        <v/>
      </c>
      <c r="L1205" s="45" t="str">
        <f t="shared" si="56"/>
        <v/>
      </c>
      <c r="N1205" s="103"/>
      <c r="O1205" s="104"/>
      <c r="P1205" s="105"/>
    </row>
    <row r="1206" spans="2:16" x14ac:dyDescent="0.25">
      <c r="B1206" s="103"/>
      <c r="C1206" s="104"/>
      <c r="D1206" s="104"/>
      <c r="E1206" s="104"/>
      <c r="F1206" s="105"/>
      <c r="H1206" s="45" t="str">
        <f t="shared" si="54"/>
        <v/>
      </c>
      <c r="J1206" s="45" t="str">
        <f t="shared" si="55"/>
        <v/>
      </c>
      <c r="L1206" s="45" t="str">
        <f t="shared" si="56"/>
        <v/>
      </c>
      <c r="N1206" s="103"/>
      <c r="O1206" s="104"/>
      <c r="P1206" s="105"/>
    </row>
    <row r="1207" spans="2:16" x14ac:dyDescent="0.25">
      <c r="B1207" s="103"/>
      <c r="C1207" s="104"/>
      <c r="D1207" s="104"/>
      <c r="E1207" s="104"/>
      <c r="F1207" s="105"/>
      <c r="H1207" s="45" t="str">
        <f t="shared" si="54"/>
        <v/>
      </c>
      <c r="J1207" s="45" t="str">
        <f t="shared" si="55"/>
        <v/>
      </c>
      <c r="L1207" s="45" t="str">
        <f t="shared" si="56"/>
        <v/>
      </c>
      <c r="N1207" s="103"/>
      <c r="O1207" s="104"/>
      <c r="P1207" s="105"/>
    </row>
    <row r="1208" spans="2:16" x14ac:dyDescent="0.25">
      <c r="B1208" s="103"/>
      <c r="C1208" s="104"/>
      <c r="D1208" s="104"/>
      <c r="E1208" s="104"/>
      <c r="F1208" s="105"/>
      <c r="H1208" s="45" t="str">
        <f t="shared" si="54"/>
        <v/>
      </c>
      <c r="J1208" s="45" t="str">
        <f t="shared" si="55"/>
        <v/>
      </c>
      <c r="L1208" s="45" t="str">
        <f t="shared" si="56"/>
        <v/>
      </c>
      <c r="N1208" s="103"/>
      <c r="O1208" s="104"/>
      <c r="P1208" s="105"/>
    </row>
    <row r="1209" spans="2:16" ht="15.75" thickBot="1" x14ac:dyDescent="0.3">
      <c r="B1209" s="106"/>
      <c r="C1209" s="107"/>
      <c r="D1209" s="107"/>
      <c r="E1209" s="107"/>
      <c r="F1209" s="108"/>
      <c r="H1209" s="46" t="str">
        <f t="shared" si="54"/>
        <v/>
      </c>
      <c r="J1209" s="46" t="str">
        <f t="shared" si="55"/>
        <v/>
      </c>
      <c r="L1209" s="46" t="str">
        <f t="shared" si="56"/>
        <v/>
      </c>
      <c r="N1209" s="106"/>
      <c r="O1209" s="107"/>
      <c r="P1209" s="108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27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9" t="s">
        <v>142</v>
      </c>
      <c r="C2" s="310"/>
      <c r="D2" s="310"/>
      <c r="E2" s="310"/>
      <c r="F2" s="310"/>
      <c r="G2" s="311"/>
    </row>
    <row r="3" spans="2:7" ht="15.75" thickBot="1" x14ac:dyDescent="0.3"/>
    <row r="4" spans="2:7" ht="21.75" thickBot="1" x14ac:dyDescent="0.4">
      <c r="B4" s="318" t="s">
        <v>49</v>
      </c>
      <c r="C4" s="319"/>
      <c r="E4" s="318" t="s">
        <v>48</v>
      </c>
      <c r="F4" s="329"/>
      <c r="G4" s="319"/>
    </row>
    <row r="5" spans="2:7" ht="15.75" thickBot="1" x14ac:dyDescent="0.3"/>
    <row r="6" spans="2:7" ht="107.25" customHeight="1" thickBot="1" x14ac:dyDescent="0.3">
      <c r="B6" s="330" t="s">
        <v>99</v>
      </c>
      <c r="C6" s="331"/>
      <c r="E6" s="326" t="s">
        <v>128</v>
      </c>
      <c r="F6" s="327"/>
      <c r="G6" s="328"/>
    </row>
    <row r="7" spans="2:7" x14ac:dyDescent="0.25">
      <c r="B7" s="6"/>
      <c r="C7" s="6"/>
    </row>
    <row r="8" spans="2:7" x14ac:dyDescent="0.25">
      <c r="B8" s="40" t="s">
        <v>100</v>
      </c>
      <c r="C8" s="40" t="s">
        <v>101</v>
      </c>
      <c r="D8" s="3"/>
      <c r="E8" s="41" t="s">
        <v>106</v>
      </c>
      <c r="F8" s="23" t="s">
        <v>114</v>
      </c>
      <c r="G8" s="24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100">
        <v>14</v>
      </c>
      <c r="C10" s="102" t="s">
        <v>3726</v>
      </c>
      <c r="D10" s="3"/>
      <c r="E10" s="100">
        <v>1</v>
      </c>
      <c r="F10" s="101" t="s">
        <v>361</v>
      </c>
      <c r="G10" s="102">
        <v>3</v>
      </c>
    </row>
    <row r="11" spans="2:7" x14ac:dyDescent="0.25">
      <c r="B11" s="103">
        <v>1</v>
      </c>
      <c r="C11" s="105" t="s">
        <v>1632</v>
      </c>
      <c r="D11" s="3"/>
      <c r="E11" s="103"/>
      <c r="F11" s="104"/>
      <c r="G11" s="105"/>
    </row>
    <row r="12" spans="2:7" x14ac:dyDescent="0.25">
      <c r="B12" s="103">
        <v>13</v>
      </c>
      <c r="C12" s="105" t="s">
        <v>3727</v>
      </c>
      <c r="D12" s="3"/>
      <c r="E12" s="103"/>
      <c r="F12" s="104"/>
      <c r="G12" s="105"/>
    </row>
    <row r="13" spans="2:7" x14ac:dyDescent="0.25">
      <c r="B13" s="103">
        <v>2</v>
      </c>
      <c r="C13" s="105" t="s">
        <v>479</v>
      </c>
      <c r="D13" s="3"/>
      <c r="E13" s="103"/>
      <c r="F13" s="104"/>
      <c r="G13" s="105"/>
    </row>
    <row r="14" spans="2:7" x14ac:dyDescent="0.25">
      <c r="B14" s="103">
        <v>3</v>
      </c>
      <c r="C14" s="105" t="s">
        <v>3728</v>
      </c>
      <c r="D14" s="3"/>
      <c r="E14" s="103"/>
      <c r="F14" s="104"/>
      <c r="G14" s="105"/>
    </row>
    <row r="15" spans="2:7" x14ac:dyDescent="0.25">
      <c r="B15" s="103">
        <v>4</v>
      </c>
      <c r="C15" s="105" t="s">
        <v>393</v>
      </c>
      <c r="D15" s="3"/>
      <c r="E15" s="103"/>
      <c r="F15" s="104"/>
      <c r="G15" s="105"/>
    </row>
    <row r="16" spans="2:7" x14ac:dyDescent="0.25">
      <c r="B16" s="103">
        <v>5</v>
      </c>
      <c r="C16" s="105" t="s">
        <v>530</v>
      </c>
      <c r="D16" s="3"/>
      <c r="E16" s="103"/>
      <c r="F16" s="104"/>
      <c r="G16" s="105"/>
    </row>
    <row r="17" spans="2:7" x14ac:dyDescent="0.25">
      <c r="B17" s="103">
        <v>17</v>
      </c>
      <c r="C17" s="105" t="s">
        <v>3729</v>
      </c>
      <c r="D17" s="3"/>
      <c r="E17" s="103"/>
      <c r="F17" s="104"/>
      <c r="G17" s="105"/>
    </row>
    <row r="18" spans="2:7" x14ac:dyDescent="0.25">
      <c r="B18" s="103">
        <v>6</v>
      </c>
      <c r="C18" s="105" t="s">
        <v>456</v>
      </c>
      <c r="D18" s="3"/>
      <c r="E18" s="103"/>
      <c r="F18" s="109"/>
      <c r="G18" s="105"/>
    </row>
    <row r="19" spans="2:7" x14ac:dyDescent="0.25">
      <c r="B19" s="103">
        <v>7</v>
      </c>
      <c r="C19" s="105" t="s">
        <v>3730</v>
      </c>
      <c r="D19" s="3"/>
      <c r="E19" s="103"/>
      <c r="F19" s="104"/>
      <c r="G19" s="105"/>
    </row>
    <row r="20" spans="2:7" x14ac:dyDescent="0.25">
      <c r="B20" s="103">
        <v>8</v>
      </c>
      <c r="C20" s="105" t="s">
        <v>2025</v>
      </c>
      <c r="D20" s="3"/>
      <c r="E20" s="103"/>
      <c r="F20" s="104"/>
      <c r="G20" s="105"/>
    </row>
    <row r="21" spans="2:7" x14ac:dyDescent="0.25">
      <c r="B21" s="103">
        <v>9</v>
      </c>
      <c r="C21" s="105" t="s">
        <v>1925</v>
      </c>
      <c r="D21" s="3"/>
      <c r="E21" s="103"/>
      <c r="F21" s="104"/>
      <c r="G21" s="105"/>
    </row>
    <row r="22" spans="2:7" x14ac:dyDescent="0.25">
      <c r="B22" s="103">
        <v>10</v>
      </c>
      <c r="C22" s="105" t="s">
        <v>3731</v>
      </c>
      <c r="D22" s="3"/>
      <c r="E22" s="103"/>
      <c r="F22" s="104"/>
      <c r="G22" s="105"/>
    </row>
    <row r="23" spans="2:7" x14ac:dyDescent="0.25">
      <c r="B23" s="103">
        <v>18</v>
      </c>
      <c r="C23" s="105" t="s">
        <v>3732</v>
      </c>
      <c r="D23" s="3"/>
      <c r="E23" s="103"/>
      <c r="F23" s="104"/>
      <c r="G23" s="105"/>
    </row>
    <row r="24" spans="2:7" x14ac:dyDescent="0.25">
      <c r="B24" s="103">
        <v>11</v>
      </c>
      <c r="C24" s="105" t="s">
        <v>410</v>
      </c>
      <c r="D24" s="3"/>
      <c r="E24" s="103"/>
      <c r="F24" s="104"/>
      <c r="G24" s="105"/>
    </row>
    <row r="25" spans="2:7" x14ac:dyDescent="0.25">
      <c r="B25" s="103">
        <v>12</v>
      </c>
      <c r="C25" s="105" t="s">
        <v>426</v>
      </c>
      <c r="D25" s="3"/>
      <c r="E25" s="103"/>
      <c r="F25" s="104"/>
      <c r="G25" s="105"/>
    </row>
    <row r="26" spans="2:7" x14ac:dyDescent="0.25">
      <c r="B26" s="103">
        <v>16</v>
      </c>
      <c r="C26" s="105" t="s">
        <v>3733</v>
      </c>
      <c r="D26" s="3"/>
      <c r="E26" s="103"/>
      <c r="F26" s="104"/>
      <c r="G26" s="105"/>
    </row>
    <row r="27" spans="2:7" x14ac:dyDescent="0.25">
      <c r="B27" s="103">
        <v>15</v>
      </c>
      <c r="C27" s="105" t="s">
        <v>3734</v>
      </c>
      <c r="D27" s="3"/>
      <c r="E27" s="103"/>
      <c r="F27" s="104"/>
      <c r="G27" s="105"/>
    </row>
    <row r="28" spans="2:7" x14ac:dyDescent="0.25">
      <c r="B28" s="103"/>
      <c r="C28" s="105"/>
      <c r="D28" s="3"/>
      <c r="E28" s="103"/>
      <c r="F28" s="104"/>
      <c r="G28" s="105"/>
    </row>
    <row r="29" spans="2:7" x14ac:dyDescent="0.25">
      <c r="B29" s="103"/>
      <c r="C29" s="105"/>
      <c r="D29" s="3"/>
      <c r="E29" s="103"/>
      <c r="F29" s="104"/>
      <c r="G29" s="105"/>
    </row>
    <row r="30" spans="2:7" x14ac:dyDescent="0.25">
      <c r="B30" s="103"/>
      <c r="C30" s="105"/>
      <c r="D30" s="3"/>
      <c r="E30" s="103"/>
      <c r="F30" s="104"/>
      <c r="G30" s="105"/>
    </row>
    <row r="31" spans="2:7" x14ac:dyDescent="0.25">
      <c r="B31" s="103"/>
      <c r="C31" s="105"/>
      <c r="D31" s="3"/>
      <c r="E31" s="103"/>
      <c r="F31" s="104"/>
      <c r="G31" s="105"/>
    </row>
    <row r="32" spans="2:7" x14ac:dyDescent="0.25">
      <c r="B32" s="103"/>
      <c r="C32" s="105"/>
      <c r="D32" s="3"/>
      <c r="E32" s="103"/>
      <c r="F32" s="104"/>
      <c r="G32" s="105"/>
    </row>
    <row r="33" spans="2:7" x14ac:dyDescent="0.25">
      <c r="B33" s="103"/>
      <c r="C33" s="105"/>
      <c r="D33" s="3"/>
      <c r="E33" s="103"/>
      <c r="F33" s="104"/>
      <c r="G33" s="105"/>
    </row>
    <row r="34" spans="2:7" x14ac:dyDescent="0.25">
      <c r="B34" s="103"/>
      <c r="C34" s="105"/>
      <c r="D34" s="3"/>
      <c r="E34" s="103"/>
      <c r="F34" s="104"/>
      <c r="G34" s="105"/>
    </row>
    <row r="35" spans="2:7" x14ac:dyDescent="0.25">
      <c r="B35" s="103"/>
      <c r="C35" s="105"/>
      <c r="D35" s="3"/>
      <c r="E35" s="103"/>
      <c r="F35" s="104"/>
      <c r="G35" s="105"/>
    </row>
    <row r="36" spans="2:7" x14ac:dyDescent="0.25">
      <c r="B36" s="103"/>
      <c r="C36" s="105"/>
      <c r="D36" s="3"/>
      <c r="E36" s="103"/>
      <c r="F36" s="104"/>
      <c r="G36" s="105"/>
    </row>
    <row r="37" spans="2:7" x14ac:dyDescent="0.25">
      <c r="B37" s="103"/>
      <c r="C37" s="105"/>
      <c r="D37" s="3"/>
      <c r="E37" s="103"/>
      <c r="F37" s="104"/>
      <c r="G37" s="105"/>
    </row>
    <row r="38" spans="2:7" x14ac:dyDescent="0.25">
      <c r="B38" s="103"/>
      <c r="C38" s="105"/>
      <c r="D38" s="3"/>
      <c r="E38" s="103"/>
      <c r="F38" s="104"/>
      <c r="G38" s="105"/>
    </row>
    <row r="39" spans="2:7" x14ac:dyDescent="0.25">
      <c r="B39" s="103"/>
      <c r="C39" s="105"/>
      <c r="D39" s="3"/>
      <c r="E39" s="103"/>
      <c r="F39" s="104"/>
      <c r="G39" s="105"/>
    </row>
    <row r="40" spans="2:7" x14ac:dyDescent="0.25">
      <c r="B40" s="103"/>
      <c r="C40" s="105"/>
      <c r="D40" s="3"/>
      <c r="E40" s="103"/>
      <c r="F40" s="104"/>
      <c r="G40" s="105"/>
    </row>
    <row r="41" spans="2:7" x14ac:dyDescent="0.25">
      <c r="B41" s="103"/>
      <c r="C41" s="105"/>
      <c r="D41" s="3"/>
      <c r="E41" s="103"/>
      <c r="F41" s="104"/>
      <c r="G41" s="105"/>
    </row>
    <row r="42" spans="2:7" x14ac:dyDescent="0.25">
      <c r="B42" s="103"/>
      <c r="C42" s="105"/>
      <c r="D42" s="3"/>
      <c r="E42" s="103"/>
      <c r="F42" s="104"/>
      <c r="G42" s="105"/>
    </row>
    <row r="43" spans="2:7" x14ac:dyDescent="0.25">
      <c r="B43" s="103"/>
      <c r="C43" s="105"/>
      <c r="D43" s="3"/>
      <c r="E43" s="103"/>
      <c r="F43" s="104"/>
      <c r="G43" s="105"/>
    </row>
    <row r="44" spans="2:7" x14ac:dyDescent="0.25">
      <c r="B44" s="103"/>
      <c r="C44" s="105"/>
      <c r="D44" s="3"/>
      <c r="E44" s="103"/>
      <c r="F44" s="104"/>
      <c r="G44" s="105"/>
    </row>
    <row r="45" spans="2:7" x14ac:dyDescent="0.25">
      <c r="B45" s="103"/>
      <c r="C45" s="105"/>
      <c r="D45" s="3"/>
      <c r="E45" s="103"/>
      <c r="F45" s="104"/>
      <c r="G45" s="105"/>
    </row>
    <row r="46" spans="2:7" x14ac:dyDescent="0.25">
      <c r="B46" s="103"/>
      <c r="C46" s="105"/>
      <c r="D46" s="3"/>
      <c r="E46" s="103"/>
      <c r="F46" s="104"/>
      <c r="G46" s="105"/>
    </row>
    <row r="47" spans="2:7" x14ac:dyDescent="0.25">
      <c r="B47" s="103"/>
      <c r="C47" s="105"/>
      <c r="D47" s="3"/>
      <c r="E47" s="103"/>
      <c r="F47" s="104"/>
      <c r="G47" s="105"/>
    </row>
    <row r="48" spans="2:7" x14ac:dyDescent="0.25">
      <c r="B48" s="103"/>
      <c r="C48" s="105"/>
      <c r="D48" s="3"/>
      <c r="E48" s="103"/>
      <c r="F48" s="104"/>
      <c r="G48" s="105"/>
    </row>
    <row r="49" spans="2:7" x14ac:dyDescent="0.25">
      <c r="B49" s="103"/>
      <c r="C49" s="105"/>
      <c r="D49" s="3"/>
      <c r="E49" s="103"/>
      <c r="F49" s="104"/>
      <c r="G49" s="105"/>
    </row>
    <row r="50" spans="2:7" x14ac:dyDescent="0.25">
      <c r="B50" s="103"/>
      <c r="C50" s="105"/>
      <c r="D50" s="3"/>
      <c r="E50" s="103"/>
      <c r="F50" s="104"/>
      <c r="G50" s="105"/>
    </row>
    <row r="51" spans="2:7" x14ac:dyDescent="0.25">
      <c r="B51" s="103"/>
      <c r="C51" s="105"/>
      <c r="D51" s="3"/>
      <c r="E51" s="103"/>
      <c r="F51" s="104"/>
      <c r="G51" s="105"/>
    </row>
    <row r="52" spans="2:7" x14ac:dyDescent="0.25">
      <c r="B52" s="103"/>
      <c r="C52" s="105"/>
      <c r="D52" s="3"/>
      <c r="E52" s="103"/>
      <c r="F52" s="104"/>
      <c r="G52" s="105"/>
    </row>
    <row r="53" spans="2:7" x14ac:dyDescent="0.25">
      <c r="B53" s="103"/>
      <c r="C53" s="105"/>
      <c r="D53" s="3"/>
      <c r="E53" s="103"/>
      <c r="F53" s="104"/>
      <c r="G53" s="105"/>
    </row>
    <row r="54" spans="2:7" x14ac:dyDescent="0.25">
      <c r="B54" s="103"/>
      <c r="C54" s="105"/>
      <c r="D54" s="3"/>
      <c r="E54" s="103"/>
      <c r="F54" s="104"/>
      <c r="G54" s="105"/>
    </row>
    <row r="55" spans="2:7" x14ac:dyDescent="0.25">
      <c r="B55" s="103"/>
      <c r="C55" s="105"/>
      <c r="D55" s="3"/>
      <c r="E55" s="103"/>
      <c r="F55" s="104"/>
      <c r="G55" s="105"/>
    </row>
    <row r="56" spans="2:7" x14ac:dyDescent="0.25">
      <c r="B56" s="103"/>
      <c r="C56" s="105"/>
      <c r="D56" s="3"/>
      <c r="E56" s="103"/>
      <c r="F56" s="104"/>
      <c r="G56" s="105"/>
    </row>
    <row r="57" spans="2:7" x14ac:dyDescent="0.25">
      <c r="B57" s="103"/>
      <c r="C57" s="105"/>
      <c r="D57" s="3"/>
      <c r="E57" s="103"/>
      <c r="F57" s="104"/>
      <c r="G57" s="105"/>
    </row>
    <row r="58" spans="2:7" x14ac:dyDescent="0.25">
      <c r="B58" s="103"/>
      <c r="C58" s="105"/>
      <c r="D58" s="3"/>
      <c r="E58" s="103"/>
      <c r="F58" s="104"/>
      <c r="G58" s="105"/>
    </row>
    <row r="59" spans="2:7" x14ac:dyDescent="0.25">
      <c r="B59" s="103"/>
      <c r="C59" s="105"/>
      <c r="D59" s="3"/>
      <c r="E59" s="103"/>
      <c r="F59" s="104"/>
      <c r="G59" s="105"/>
    </row>
    <row r="60" spans="2:7" x14ac:dyDescent="0.25">
      <c r="B60" s="103"/>
      <c r="C60" s="105"/>
      <c r="D60" s="3"/>
      <c r="E60" s="103"/>
      <c r="F60" s="104"/>
      <c r="G60" s="105"/>
    </row>
    <row r="61" spans="2:7" x14ac:dyDescent="0.25">
      <c r="B61" s="103"/>
      <c r="C61" s="105"/>
      <c r="D61" s="3"/>
      <c r="E61" s="103"/>
      <c r="F61" s="104"/>
      <c r="G61" s="105"/>
    </row>
    <row r="62" spans="2:7" x14ac:dyDescent="0.25">
      <c r="B62" s="103"/>
      <c r="C62" s="105"/>
      <c r="D62" s="3"/>
      <c r="E62" s="103"/>
      <c r="F62" s="104"/>
      <c r="G62" s="105"/>
    </row>
    <row r="63" spans="2:7" x14ac:dyDescent="0.25">
      <c r="B63" s="103"/>
      <c r="C63" s="105"/>
      <c r="D63" s="3"/>
      <c r="E63" s="103"/>
      <c r="F63" s="104"/>
      <c r="G63" s="105"/>
    </row>
    <row r="64" spans="2:7" x14ac:dyDescent="0.25">
      <c r="B64" s="103"/>
      <c r="C64" s="105"/>
      <c r="D64" s="3"/>
      <c r="E64" s="103"/>
      <c r="F64" s="104"/>
      <c r="G64" s="105"/>
    </row>
    <row r="65" spans="2:7" x14ac:dyDescent="0.25">
      <c r="B65" s="103"/>
      <c r="C65" s="105"/>
      <c r="D65" s="3"/>
      <c r="E65" s="103"/>
      <c r="F65" s="104"/>
      <c r="G65" s="105"/>
    </row>
    <row r="66" spans="2:7" x14ac:dyDescent="0.25">
      <c r="B66" s="103"/>
      <c r="C66" s="105"/>
      <c r="D66" s="3"/>
      <c r="E66" s="103"/>
      <c r="F66" s="104"/>
      <c r="G66" s="105"/>
    </row>
    <row r="67" spans="2:7" x14ac:dyDescent="0.25">
      <c r="B67" s="103"/>
      <c r="C67" s="105"/>
      <c r="D67" s="3"/>
      <c r="E67" s="103"/>
      <c r="F67" s="104"/>
      <c r="G67" s="105"/>
    </row>
    <row r="68" spans="2:7" x14ac:dyDescent="0.25">
      <c r="B68" s="103"/>
      <c r="C68" s="105"/>
      <c r="D68" s="3"/>
      <c r="E68" s="103"/>
      <c r="F68" s="104"/>
      <c r="G68" s="105"/>
    </row>
    <row r="69" spans="2:7" x14ac:dyDescent="0.25">
      <c r="B69" s="103"/>
      <c r="C69" s="105"/>
      <c r="D69" s="3"/>
      <c r="E69" s="103"/>
      <c r="F69" s="104"/>
      <c r="G69" s="105"/>
    </row>
    <row r="70" spans="2:7" x14ac:dyDescent="0.25">
      <c r="B70" s="103"/>
      <c r="C70" s="105"/>
      <c r="D70" s="3"/>
      <c r="E70" s="103"/>
      <c r="F70" s="104"/>
      <c r="G70" s="105"/>
    </row>
    <row r="71" spans="2:7" x14ac:dyDescent="0.25">
      <c r="B71" s="103"/>
      <c r="C71" s="105"/>
      <c r="D71" s="3"/>
      <c r="E71" s="103"/>
      <c r="F71" s="104"/>
      <c r="G71" s="105"/>
    </row>
    <row r="72" spans="2:7" x14ac:dyDescent="0.25">
      <c r="B72" s="103"/>
      <c r="C72" s="105"/>
      <c r="D72" s="3"/>
      <c r="E72" s="103"/>
      <c r="F72" s="104"/>
      <c r="G72" s="105"/>
    </row>
    <row r="73" spans="2:7" x14ac:dyDescent="0.25">
      <c r="B73" s="103"/>
      <c r="C73" s="105"/>
      <c r="D73" s="3"/>
      <c r="E73" s="103"/>
      <c r="F73" s="104"/>
      <c r="G73" s="105"/>
    </row>
    <row r="74" spans="2:7" x14ac:dyDescent="0.25">
      <c r="B74" s="103"/>
      <c r="C74" s="105"/>
      <c r="D74" s="3"/>
      <c r="E74" s="103"/>
      <c r="F74" s="104"/>
      <c r="G74" s="105"/>
    </row>
    <row r="75" spans="2:7" x14ac:dyDescent="0.25">
      <c r="B75" s="103"/>
      <c r="C75" s="105"/>
      <c r="D75" s="3"/>
      <c r="E75" s="103"/>
      <c r="F75" s="104"/>
      <c r="G75" s="105"/>
    </row>
    <row r="76" spans="2:7" x14ac:dyDescent="0.25">
      <c r="B76" s="103"/>
      <c r="C76" s="105"/>
      <c r="D76" s="3"/>
      <c r="E76" s="103"/>
      <c r="F76" s="104"/>
      <c r="G76" s="105"/>
    </row>
    <row r="77" spans="2:7" x14ac:dyDescent="0.25">
      <c r="B77" s="103"/>
      <c r="C77" s="105"/>
      <c r="D77" s="3"/>
      <c r="E77" s="103"/>
      <c r="F77" s="104"/>
      <c r="G77" s="105"/>
    </row>
    <row r="78" spans="2:7" x14ac:dyDescent="0.25">
      <c r="B78" s="103"/>
      <c r="C78" s="105"/>
      <c r="D78" s="3"/>
      <c r="E78" s="103"/>
      <c r="F78" s="104"/>
      <c r="G78" s="105"/>
    </row>
    <row r="79" spans="2:7" x14ac:dyDescent="0.25">
      <c r="B79" s="103"/>
      <c r="C79" s="105"/>
      <c r="D79" s="3"/>
      <c r="E79" s="103"/>
      <c r="F79" s="104"/>
      <c r="G79" s="105"/>
    </row>
    <row r="80" spans="2:7" x14ac:dyDescent="0.25">
      <c r="B80" s="103"/>
      <c r="C80" s="105"/>
      <c r="D80" s="3"/>
      <c r="E80" s="103"/>
      <c r="F80" s="104"/>
      <c r="G80" s="105"/>
    </row>
    <row r="81" spans="2:7" x14ac:dyDescent="0.25">
      <c r="B81" s="103"/>
      <c r="C81" s="105"/>
      <c r="D81" s="3"/>
      <c r="E81" s="103"/>
      <c r="F81" s="104"/>
      <c r="G81" s="105"/>
    </row>
    <row r="82" spans="2:7" x14ac:dyDescent="0.25">
      <c r="B82" s="103"/>
      <c r="C82" s="105"/>
      <c r="D82" s="3"/>
      <c r="E82" s="103"/>
      <c r="F82" s="104"/>
      <c r="G82" s="105"/>
    </row>
    <row r="83" spans="2:7" x14ac:dyDescent="0.25">
      <c r="B83" s="103"/>
      <c r="C83" s="105"/>
      <c r="D83" s="3"/>
      <c r="E83" s="103"/>
      <c r="F83" s="104"/>
      <c r="G83" s="105"/>
    </row>
    <row r="84" spans="2:7" x14ac:dyDescent="0.25">
      <c r="B84" s="103"/>
      <c r="C84" s="105"/>
      <c r="D84" s="3"/>
      <c r="E84" s="103"/>
      <c r="F84" s="104"/>
      <c r="G84" s="105"/>
    </row>
    <row r="85" spans="2:7" x14ac:dyDescent="0.25">
      <c r="B85" s="103"/>
      <c r="C85" s="105"/>
      <c r="D85" s="3"/>
      <c r="E85" s="103"/>
      <c r="F85" s="104"/>
      <c r="G85" s="105"/>
    </row>
    <row r="86" spans="2:7" x14ac:dyDescent="0.25">
      <c r="B86" s="103"/>
      <c r="C86" s="105"/>
      <c r="D86" s="3"/>
      <c r="E86" s="103"/>
      <c r="F86" s="104"/>
      <c r="G86" s="105"/>
    </row>
    <row r="87" spans="2:7" x14ac:dyDescent="0.25">
      <c r="B87" s="103"/>
      <c r="C87" s="105"/>
      <c r="D87" s="3"/>
      <c r="E87" s="103"/>
      <c r="F87" s="104"/>
      <c r="G87" s="105"/>
    </row>
    <row r="88" spans="2:7" x14ac:dyDescent="0.25">
      <c r="B88" s="103"/>
      <c r="C88" s="105"/>
      <c r="D88" s="3"/>
      <c r="E88" s="103"/>
      <c r="F88" s="104"/>
      <c r="G88" s="105"/>
    </row>
    <row r="89" spans="2:7" x14ac:dyDescent="0.25">
      <c r="B89" s="103"/>
      <c r="C89" s="105"/>
      <c r="D89" s="3"/>
      <c r="E89" s="103"/>
      <c r="F89" s="104"/>
      <c r="G89" s="105"/>
    </row>
    <row r="90" spans="2:7" x14ac:dyDescent="0.25">
      <c r="B90" s="103"/>
      <c r="C90" s="105"/>
      <c r="D90" s="3"/>
      <c r="E90" s="103"/>
      <c r="F90" s="104"/>
      <c r="G90" s="105"/>
    </row>
    <row r="91" spans="2:7" x14ac:dyDescent="0.25">
      <c r="B91" s="103"/>
      <c r="C91" s="105"/>
      <c r="D91" s="3"/>
      <c r="E91" s="103"/>
      <c r="F91" s="104"/>
      <c r="G91" s="105"/>
    </row>
    <row r="92" spans="2:7" x14ac:dyDescent="0.25">
      <c r="B92" s="103"/>
      <c r="C92" s="105"/>
      <c r="D92" s="3"/>
      <c r="E92" s="103"/>
      <c r="F92" s="104"/>
      <c r="G92" s="105"/>
    </row>
    <row r="93" spans="2:7" x14ac:dyDescent="0.25">
      <c r="B93" s="103"/>
      <c r="C93" s="105"/>
      <c r="D93" s="3"/>
      <c r="E93" s="103"/>
      <c r="F93" s="104"/>
      <c r="G93" s="105"/>
    </row>
    <row r="94" spans="2:7" x14ac:dyDescent="0.25">
      <c r="B94" s="103"/>
      <c r="C94" s="105"/>
      <c r="D94" s="3"/>
      <c r="E94" s="103"/>
      <c r="F94" s="104"/>
      <c r="G94" s="105"/>
    </row>
    <row r="95" spans="2:7" x14ac:dyDescent="0.25">
      <c r="B95" s="103"/>
      <c r="C95" s="105"/>
      <c r="D95" s="3"/>
      <c r="E95" s="103"/>
      <c r="F95" s="104"/>
      <c r="G95" s="105"/>
    </row>
    <row r="96" spans="2:7" x14ac:dyDescent="0.25">
      <c r="B96" s="103"/>
      <c r="C96" s="105"/>
      <c r="D96" s="3"/>
      <c r="E96" s="103"/>
      <c r="F96" s="104"/>
      <c r="G96" s="105"/>
    </row>
    <row r="97" spans="2:7" x14ac:dyDescent="0.25">
      <c r="B97" s="103"/>
      <c r="C97" s="105"/>
      <c r="D97" s="3"/>
      <c r="E97" s="103"/>
      <c r="F97" s="104"/>
      <c r="G97" s="105"/>
    </row>
    <row r="98" spans="2:7" x14ac:dyDescent="0.25">
      <c r="B98" s="103"/>
      <c r="C98" s="105"/>
      <c r="D98" s="3"/>
      <c r="E98" s="103"/>
      <c r="F98" s="104"/>
      <c r="G98" s="105"/>
    </row>
    <row r="99" spans="2:7" x14ac:dyDescent="0.25">
      <c r="B99" s="103"/>
      <c r="C99" s="105"/>
      <c r="D99" s="3"/>
      <c r="E99" s="103"/>
      <c r="F99" s="104"/>
      <c r="G99" s="105"/>
    </row>
    <row r="100" spans="2:7" x14ac:dyDescent="0.25">
      <c r="B100" s="103"/>
      <c r="C100" s="105"/>
      <c r="D100" s="3"/>
      <c r="E100" s="103"/>
      <c r="F100" s="104"/>
      <c r="G100" s="105"/>
    </row>
    <row r="101" spans="2:7" x14ac:dyDescent="0.25">
      <c r="B101" s="103"/>
      <c r="C101" s="105"/>
      <c r="D101" s="3"/>
      <c r="E101" s="103"/>
      <c r="F101" s="104"/>
      <c r="G101" s="105"/>
    </row>
    <row r="102" spans="2:7" x14ac:dyDescent="0.25">
      <c r="B102" s="103"/>
      <c r="C102" s="105"/>
      <c r="D102" s="3"/>
      <c r="E102" s="103"/>
      <c r="F102" s="104"/>
      <c r="G102" s="105"/>
    </row>
    <row r="103" spans="2:7" x14ac:dyDescent="0.25">
      <c r="B103" s="103"/>
      <c r="C103" s="105"/>
      <c r="D103" s="3"/>
      <c r="E103" s="103"/>
      <c r="F103" s="104"/>
      <c r="G103" s="105"/>
    </row>
    <row r="104" spans="2:7" x14ac:dyDescent="0.25">
      <c r="B104" s="103"/>
      <c r="C104" s="105"/>
      <c r="D104" s="3"/>
      <c r="E104" s="103"/>
      <c r="F104" s="104"/>
      <c r="G104" s="105"/>
    </row>
    <row r="105" spans="2:7" x14ac:dyDescent="0.25">
      <c r="B105" s="103"/>
      <c r="C105" s="105"/>
      <c r="D105" s="3"/>
      <c r="E105" s="103"/>
      <c r="F105" s="104"/>
      <c r="G105" s="105"/>
    </row>
    <row r="106" spans="2:7" x14ac:dyDescent="0.25">
      <c r="B106" s="103"/>
      <c r="C106" s="105"/>
      <c r="D106" s="3"/>
      <c r="E106" s="103"/>
      <c r="F106" s="104"/>
      <c r="G106" s="105"/>
    </row>
    <row r="107" spans="2:7" x14ac:dyDescent="0.25">
      <c r="B107" s="103"/>
      <c r="C107" s="105"/>
      <c r="D107" s="3"/>
      <c r="E107" s="103"/>
      <c r="F107" s="104"/>
      <c r="G107" s="105"/>
    </row>
    <row r="108" spans="2:7" x14ac:dyDescent="0.25">
      <c r="B108" s="103"/>
      <c r="C108" s="105"/>
      <c r="D108" s="3"/>
      <c r="E108" s="103"/>
      <c r="F108" s="104"/>
      <c r="G108" s="105"/>
    </row>
    <row r="109" spans="2:7" ht="15.75" thickBot="1" x14ac:dyDescent="0.3">
      <c r="B109" s="106"/>
      <c r="C109" s="108"/>
      <c r="D109" s="3"/>
      <c r="E109" s="106"/>
      <c r="F109" s="107"/>
      <c r="G109" s="108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9" t="s">
        <v>141</v>
      </c>
      <c r="C2" s="310"/>
      <c r="D2" s="311"/>
    </row>
    <row r="3" spans="2:4" ht="15.75" thickBot="1" x14ac:dyDescent="0.3"/>
    <row r="4" spans="2:4" ht="21.75" thickBot="1" x14ac:dyDescent="0.4">
      <c r="B4" s="318" t="s">
        <v>48</v>
      </c>
      <c r="C4" s="329"/>
      <c r="D4" s="319"/>
    </row>
    <row r="5" spans="2:4" ht="15.75" thickBot="1" x14ac:dyDescent="0.3"/>
    <row r="6" spans="2:4" ht="107.25" customHeight="1" thickBot="1" x14ac:dyDescent="0.3">
      <c r="B6" s="326" t="s">
        <v>116</v>
      </c>
      <c r="C6" s="327"/>
      <c r="D6" s="328"/>
    </row>
    <row r="8" spans="2:4" x14ac:dyDescent="0.25">
      <c r="B8" s="41" t="s">
        <v>117</v>
      </c>
      <c r="C8" s="23" t="s">
        <v>118</v>
      </c>
      <c r="D8" s="24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100">
        <v>1</v>
      </c>
      <c r="C10" s="101" t="s">
        <v>3718</v>
      </c>
      <c r="D10" s="102" t="s">
        <v>3719</v>
      </c>
    </row>
    <row r="11" spans="2:4" x14ac:dyDescent="0.25">
      <c r="B11" s="103">
        <v>2</v>
      </c>
      <c r="C11" s="104" t="s">
        <v>3720</v>
      </c>
      <c r="D11" s="105" t="s">
        <v>3721</v>
      </c>
    </row>
    <row r="12" spans="2:4" x14ac:dyDescent="0.25">
      <c r="B12" s="103">
        <v>3</v>
      </c>
      <c r="C12" s="104" t="s">
        <v>3722</v>
      </c>
      <c r="D12" s="105" t="s">
        <v>3723</v>
      </c>
    </row>
    <row r="13" spans="2:4" x14ac:dyDescent="0.25">
      <c r="B13" s="103">
        <v>4</v>
      </c>
      <c r="C13" s="104" t="s">
        <v>3724</v>
      </c>
      <c r="D13" s="105" t="s">
        <v>3725</v>
      </c>
    </row>
    <row r="14" spans="2:4" x14ac:dyDescent="0.25">
      <c r="B14" s="103"/>
      <c r="C14" s="104"/>
      <c r="D14" s="105"/>
    </row>
    <row r="15" spans="2:4" x14ac:dyDescent="0.25">
      <c r="B15" s="103"/>
      <c r="C15" s="104"/>
      <c r="D15" s="105"/>
    </row>
    <row r="16" spans="2:4" x14ac:dyDescent="0.25">
      <c r="B16" s="103"/>
      <c r="C16" s="104"/>
      <c r="D16" s="105"/>
    </row>
    <row r="17" spans="2:4" x14ac:dyDescent="0.25">
      <c r="B17" s="103"/>
      <c r="C17" s="104"/>
      <c r="D17" s="105"/>
    </row>
    <row r="18" spans="2:4" x14ac:dyDescent="0.25">
      <c r="B18" s="103"/>
      <c r="C18" s="109"/>
      <c r="D18" s="105"/>
    </row>
    <row r="19" spans="2:4" x14ac:dyDescent="0.25">
      <c r="B19" s="103"/>
      <c r="C19" s="104"/>
      <c r="D19" s="105"/>
    </row>
    <row r="20" spans="2:4" x14ac:dyDescent="0.25">
      <c r="B20" s="103"/>
      <c r="C20" s="104"/>
      <c r="D20" s="105"/>
    </row>
    <row r="21" spans="2:4" x14ac:dyDescent="0.25">
      <c r="B21" s="103"/>
      <c r="C21" s="104"/>
      <c r="D21" s="105"/>
    </row>
    <row r="22" spans="2:4" x14ac:dyDescent="0.25">
      <c r="B22" s="103"/>
      <c r="C22" s="104"/>
      <c r="D22" s="105"/>
    </row>
    <row r="23" spans="2:4" x14ac:dyDescent="0.25">
      <c r="B23" s="103"/>
      <c r="C23" s="104"/>
      <c r="D23" s="105"/>
    </row>
    <row r="24" spans="2:4" x14ac:dyDescent="0.25">
      <c r="B24" s="103"/>
      <c r="C24" s="104"/>
      <c r="D24" s="105"/>
    </row>
    <row r="25" spans="2:4" x14ac:dyDescent="0.25">
      <c r="B25" s="103"/>
      <c r="C25" s="104"/>
      <c r="D25" s="105"/>
    </row>
    <row r="26" spans="2:4" x14ac:dyDescent="0.25">
      <c r="B26" s="103"/>
      <c r="C26" s="104"/>
      <c r="D26" s="105"/>
    </row>
    <row r="27" spans="2:4" x14ac:dyDescent="0.25">
      <c r="B27" s="103"/>
      <c r="C27" s="104"/>
      <c r="D27" s="105"/>
    </row>
    <row r="28" spans="2:4" x14ac:dyDescent="0.25">
      <c r="B28" s="103"/>
      <c r="C28" s="104"/>
      <c r="D28" s="105"/>
    </row>
    <row r="29" spans="2:4" x14ac:dyDescent="0.25">
      <c r="B29" s="103"/>
      <c r="C29" s="104"/>
      <c r="D29" s="105"/>
    </row>
    <row r="30" spans="2:4" x14ac:dyDescent="0.25">
      <c r="B30" s="103"/>
      <c r="C30" s="104"/>
      <c r="D30" s="105"/>
    </row>
    <row r="31" spans="2:4" x14ac:dyDescent="0.25">
      <c r="B31" s="103"/>
      <c r="C31" s="104"/>
      <c r="D31" s="105"/>
    </row>
    <row r="32" spans="2:4" x14ac:dyDescent="0.25">
      <c r="B32" s="103"/>
      <c r="C32" s="104"/>
      <c r="D32" s="105"/>
    </row>
    <row r="33" spans="2:4" x14ac:dyDescent="0.25">
      <c r="B33" s="103"/>
      <c r="C33" s="104"/>
      <c r="D33" s="105"/>
    </row>
    <row r="34" spans="2:4" x14ac:dyDescent="0.25">
      <c r="B34" s="103"/>
      <c r="C34" s="104"/>
      <c r="D34" s="105"/>
    </row>
    <row r="35" spans="2:4" x14ac:dyDescent="0.25">
      <c r="B35" s="103"/>
      <c r="C35" s="104"/>
      <c r="D35" s="105"/>
    </row>
    <row r="36" spans="2:4" x14ac:dyDescent="0.25">
      <c r="B36" s="103"/>
      <c r="C36" s="104"/>
      <c r="D36" s="105"/>
    </row>
    <row r="37" spans="2:4" x14ac:dyDescent="0.25">
      <c r="B37" s="103"/>
      <c r="C37" s="104"/>
      <c r="D37" s="105"/>
    </row>
    <row r="38" spans="2:4" x14ac:dyDescent="0.25">
      <c r="B38" s="103"/>
      <c r="C38" s="104"/>
      <c r="D38" s="105"/>
    </row>
    <row r="39" spans="2:4" x14ac:dyDescent="0.25">
      <c r="B39" s="103"/>
      <c r="C39" s="104"/>
      <c r="D39" s="105"/>
    </row>
    <row r="40" spans="2:4" x14ac:dyDescent="0.25">
      <c r="B40" s="103"/>
      <c r="C40" s="104"/>
      <c r="D40" s="105"/>
    </row>
    <row r="41" spans="2:4" x14ac:dyDescent="0.25">
      <c r="B41" s="103"/>
      <c r="C41" s="104"/>
      <c r="D41" s="105"/>
    </row>
    <row r="42" spans="2:4" x14ac:dyDescent="0.25">
      <c r="B42" s="103"/>
      <c r="C42" s="104"/>
      <c r="D42" s="105"/>
    </row>
    <row r="43" spans="2:4" x14ac:dyDescent="0.25">
      <c r="B43" s="103"/>
      <c r="C43" s="104"/>
      <c r="D43" s="105"/>
    </row>
    <row r="44" spans="2:4" x14ac:dyDescent="0.25">
      <c r="B44" s="103"/>
      <c r="C44" s="104"/>
      <c r="D44" s="105"/>
    </row>
    <row r="45" spans="2:4" x14ac:dyDescent="0.25">
      <c r="B45" s="103"/>
      <c r="C45" s="104"/>
      <c r="D45" s="105"/>
    </row>
    <row r="46" spans="2:4" x14ac:dyDescent="0.25">
      <c r="B46" s="103"/>
      <c r="C46" s="104"/>
      <c r="D46" s="105"/>
    </row>
    <row r="47" spans="2:4" x14ac:dyDescent="0.25">
      <c r="B47" s="103"/>
      <c r="C47" s="104"/>
      <c r="D47" s="105"/>
    </row>
    <row r="48" spans="2:4" x14ac:dyDescent="0.25">
      <c r="B48" s="103"/>
      <c r="C48" s="104"/>
      <c r="D48" s="105"/>
    </row>
    <row r="49" spans="2:4" x14ac:dyDescent="0.25">
      <c r="B49" s="103"/>
      <c r="C49" s="104"/>
      <c r="D49" s="105"/>
    </row>
    <row r="50" spans="2:4" x14ac:dyDescent="0.25">
      <c r="B50" s="103"/>
      <c r="C50" s="104"/>
      <c r="D50" s="105"/>
    </row>
    <row r="51" spans="2:4" x14ac:dyDescent="0.25">
      <c r="B51" s="103"/>
      <c r="C51" s="104"/>
      <c r="D51" s="105"/>
    </row>
    <row r="52" spans="2:4" x14ac:dyDescent="0.25">
      <c r="B52" s="103"/>
      <c r="C52" s="104"/>
      <c r="D52" s="105"/>
    </row>
    <row r="53" spans="2:4" x14ac:dyDescent="0.25">
      <c r="B53" s="103"/>
      <c r="C53" s="104"/>
      <c r="D53" s="105"/>
    </row>
    <row r="54" spans="2:4" x14ac:dyDescent="0.25">
      <c r="B54" s="103"/>
      <c r="C54" s="104"/>
      <c r="D54" s="105"/>
    </row>
    <row r="55" spans="2:4" x14ac:dyDescent="0.25">
      <c r="B55" s="103"/>
      <c r="C55" s="104"/>
      <c r="D55" s="105"/>
    </row>
    <row r="56" spans="2:4" x14ac:dyDescent="0.25">
      <c r="B56" s="103"/>
      <c r="C56" s="104"/>
      <c r="D56" s="105"/>
    </row>
    <row r="57" spans="2:4" x14ac:dyDescent="0.25">
      <c r="B57" s="103"/>
      <c r="C57" s="104"/>
      <c r="D57" s="105"/>
    </row>
    <row r="58" spans="2:4" x14ac:dyDescent="0.25">
      <c r="B58" s="103"/>
      <c r="C58" s="104"/>
      <c r="D58" s="105"/>
    </row>
    <row r="59" spans="2:4" x14ac:dyDescent="0.25">
      <c r="B59" s="103"/>
      <c r="C59" s="104"/>
      <c r="D59" s="105"/>
    </row>
    <row r="60" spans="2:4" x14ac:dyDescent="0.25">
      <c r="B60" s="103"/>
      <c r="C60" s="104"/>
      <c r="D60" s="105"/>
    </row>
    <row r="61" spans="2:4" x14ac:dyDescent="0.25">
      <c r="B61" s="103"/>
      <c r="C61" s="104"/>
      <c r="D61" s="105"/>
    </row>
    <row r="62" spans="2:4" x14ac:dyDescent="0.25">
      <c r="B62" s="103"/>
      <c r="C62" s="104"/>
      <c r="D62" s="105"/>
    </row>
    <row r="63" spans="2:4" x14ac:dyDescent="0.25">
      <c r="B63" s="103"/>
      <c r="C63" s="104"/>
      <c r="D63" s="105"/>
    </row>
    <row r="64" spans="2:4" x14ac:dyDescent="0.25">
      <c r="B64" s="103"/>
      <c r="C64" s="104"/>
      <c r="D64" s="105"/>
    </row>
    <row r="65" spans="2:4" x14ac:dyDescent="0.25">
      <c r="B65" s="103"/>
      <c r="C65" s="104"/>
      <c r="D65" s="105"/>
    </row>
    <row r="66" spans="2:4" x14ac:dyDescent="0.25">
      <c r="B66" s="103"/>
      <c r="C66" s="104"/>
      <c r="D66" s="105"/>
    </row>
    <row r="67" spans="2:4" x14ac:dyDescent="0.25">
      <c r="B67" s="103"/>
      <c r="C67" s="104"/>
      <c r="D67" s="105"/>
    </row>
    <row r="68" spans="2:4" x14ac:dyDescent="0.25">
      <c r="B68" s="103"/>
      <c r="C68" s="104"/>
      <c r="D68" s="105"/>
    </row>
    <row r="69" spans="2:4" x14ac:dyDescent="0.25">
      <c r="B69" s="103"/>
      <c r="C69" s="104"/>
      <c r="D69" s="105"/>
    </row>
    <row r="70" spans="2:4" x14ac:dyDescent="0.25">
      <c r="B70" s="103"/>
      <c r="C70" s="104"/>
      <c r="D70" s="105"/>
    </row>
    <row r="71" spans="2:4" x14ac:dyDescent="0.25">
      <c r="B71" s="103"/>
      <c r="C71" s="104"/>
      <c r="D71" s="105"/>
    </row>
    <row r="72" spans="2:4" x14ac:dyDescent="0.25">
      <c r="B72" s="103"/>
      <c r="C72" s="104"/>
      <c r="D72" s="105"/>
    </row>
    <row r="73" spans="2:4" x14ac:dyDescent="0.25">
      <c r="B73" s="103"/>
      <c r="C73" s="104"/>
      <c r="D73" s="105"/>
    </row>
    <row r="74" spans="2:4" x14ac:dyDescent="0.25">
      <c r="B74" s="103"/>
      <c r="C74" s="104"/>
      <c r="D74" s="105"/>
    </row>
    <row r="75" spans="2:4" x14ac:dyDescent="0.25">
      <c r="B75" s="103"/>
      <c r="C75" s="104"/>
      <c r="D75" s="105"/>
    </row>
    <row r="76" spans="2:4" x14ac:dyDescent="0.25">
      <c r="B76" s="103"/>
      <c r="C76" s="104"/>
      <c r="D76" s="105"/>
    </row>
    <row r="77" spans="2:4" x14ac:dyDescent="0.25">
      <c r="B77" s="103"/>
      <c r="C77" s="104"/>
      <c r="D77" s="105"/>
    </row>
    <row r="78" spans="2:4" x14ac:dyDescent="0.25">
      <c r="B78" s="103"/>
      <c r="C78" s="104"/>
      <c r="D78" s="105"/>
    </row>
    <row r="79" spans="2:4" x14ac:dyDescent="0.25">
      <c r="B79" s="103"/>
      <c r="C79" s="104"/>
      <c r="D79" s="105"/>
    </row>
    <row r="80" spans="2:4" x14ac:dyDescent="0.25">
      <c r="B80" s="103"/>
      <c r="C80" s="104"/>
      <c r="D80" s="105"/>
    </row>
    <row r="81" spans="2:4" x14ac:dyDescent="0.25">
      <c r="B81" s="103"/>
      <c r="C81" s="104"/>
      <c r="D81" s="105"/>
    </row>
    <row r="82" spans="2:4" x14ac:dyDescent="0.25">
      <c r="B82" s="103"/>
      <c r="C82" s="104"/>
      <c r="D82" s="105"/>
    </row>
    <row r="83" spans="2:4" x14ac:dyDescent="0.25">
      <c r="B83" s="103"/>
      <c r="C83" s="104"/>
      <c r="D83" s="105"/>
    </row>
    <row r="84" spans="2:4" x14ac:dyDescent="0.25">
      <c r="B84" s="103"/>
      <c r="C84" s="104"/>
      <c r="D84" s="105"/>
    </row>
    <row r="85" spans="2:4" x14ac:dyDescent="0.25">
      <c r="B85" s="103"/>
      <c r="C85" s="104"/>
      <c r="D85" s="105"/>
    </row>
    <row r="86" spans="2:4" x14ac:dyDescent="0.25">
      <c r="B86" s="103"/>
      <c r="C86" s="104"/>
      <c r="D86" s="105"/>
    </row>
    <row r="87" spans="2:4" x14ac:dyDescent="0.25">
      <c r="B87" s="103"/>
      <c r="C87" s="104"/>
      <c r="D87" s="105"/>
    </row>
    <row r="88" spans="2:4" x14ac:dyDescent="0.25">
      <c r="B88" s="103"/>
      <c r="C88" s="104"/>
      <c r="D88" s="105"/>
    </row>
    <row r="89" spans="2:4" x14ac:dyDescent="0.25">
      <c r="B89" s="103"/>
      <c r="C89" s="104"/>
      <c r="D89" s="105"/>
    </row>
    <row r="90" spans="2:4" x14ac:dyDescent="0.25">
      <c r="B90" s="103"/>
      <c r="C90" s="104"/>
      <c r="D90" s="105"/>
    </row>
    <row r="91" spans="2:4" x14ac:dyDescent="0.25">
      <c r="B91" s="103"/>
      <c r="C91" s="104"/>
      <c r="D91" s="105"/>
    </row>
    <row r="92" spans="2:4" x14ac:dyDescent="0.25">
      <c r="B92" s="103"/>
      <c r="C92" s="104"/>
      <c r="D92" s="105"/>
    </row>
    <row r="93" spans="2:4" x14ac:dyDescent="0.25">
      <c r="B93" s="103"/>
      <c r="C93" s="104"/>
      <c r="D93" s="105"/>
    </row>
    <row r="94" spans="2:4" x14ac:dyDescent="0.25">
      <c r="B94" s="103"/>
      <c r="C94" s="104"/>
      <c r="D94" s="105"/>
    </row>
    <row r="95" spans="2:4" x14ac:dyDescent="0.25">
      <c r="B95" s="103"/>
      <c r="C95" s="104"/>
      <c r="D95" s="105"/>
    </row>
    <row r="96" spans="2:4" x14ac:dyDescent="0.25">
      <c r="B96" s="103"/>
      <c r="C96" s="104"/>
      <c r="D96" s="105"/>
    </row>
    <row r="97" spans="2:4" x14ac:dyDescent="0.25">
      <c r="B97" s="103"/>
      <c r="C97" s="104"/>
      <c r="D97" s="105"/>
    </row>
    <row r="98" spans="2:4" x14ac:dyDescent="0.25">
      <c r="B98" s="103"/>
      <c r="C98" s="104"/>
      <c r="D98" s="105"/>
    </row>
    <row r="99" spans="2:4" x14ac:dyDescent="0.25">
      <c r="B99" s="103"/>
      <c r="C99" s="104"/>
      <c r="D99" s="105"/>
    </row>
    <row r="100" spans="2:4" x14ac:dyDescent="0.25">
      <c r="B100" s="103"/>
      <c r="C100" s="104"/>
      <c r="D100" s="105"/>
    </row>
    <row r="101" spans="2:4" x14ac:dyDescent="0.25">
      <c r="B101" s="103"/>
      <c r="C101" s="104"/>
      <c r="D101" s="105"/>
    </row>
    <row r="102" spans="2:4" x14ac:dyDescent="0.25">
      <c r="B102" s="103"/>
      <c r="C102" s="104"/>
      <c r="D102" s="105"/>
    </row>
    <row r="103" spans="2:4" x14ac:dyDescent="0.25">
      <c r="B103" s="103"/>
      <c r="C103" s="104"/>
      <c r="D103" s="105"/>
    </row>
    <row r="104" spans="2:4" x14ac:dyDescent="0.25">
      <c r="B104" s="103"/>
      <c r="C104" s="104"/>
      <c r="D104" s="105"/>
    </row>
    <row r="105" spans="2:4" x14ac:dyDescent="0.25">
      <c r="B105" s="103"/>
      <c r="C105" s="104"/>
      <c r="D105" s="105"/>
    </row>
    <row r="106" spans="2:4" x14ac:dyDescent="0.25">
      <c r="B106" s="103"/>
      <c r="C106" s="104"/>
      <c r="D106" s="105"/>
    </row>
    <row r="107" spans="2:4" x14ac:dyDescent="0.25">
      <c r="B107" s="103"/>
      <c r="C107" s="104"/>
      <c r="D107" s="105"/>
    </row>
    <row r="108" spans="2:4" x14ac:dyDescent="0.25">
      <c r="B108" s="103"/>
      <c r="C108" s="104"/>
      <c r="D108" s="105"/>
    </row>
    <row r="109" spans="2:4" ht="15.75" thickBot="1" x14ac:dyDescent="0.3">
      <c r="B109" s="106"/>
      <c r="C109" s="107"/>
      <c r="D109" s="108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P59"/>
  <sheetViews>
    <sheetView workbookViewId="0">
      <selection activeCell="B10" sqref="B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</cols>
  <sheetData>
    <row r="1" spans="2:16" ht="15.75" thickBot="1" x14ac:dyDescent="0.3"/>
    <row r="2" spans="2:16" ht="32.25" thickBot="1" x14ac:dyDescent="0.55000000000000004">
      <c r="B2" s="309" t="s">
        <v>140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29"/>
      <c r="G4" s="329"/>
      <c r="H4" s="329"/>
      <c r="I4" s="319"/>
      <c r="O4" s="318" t="s">
        <v>49</v>
      </c>
      <c r="P4" s="319"/>
    </row>
    <row r="5" spans="2:16" ht="15.75" thickBot="1" x14ac:dyDescent="0.3">
      <c r="B5" s="3"/>
      <c r="C5" s="3"/>
      <c r="E5" s="3"/>
      <c r="F5" s="3"/>
      <c r="K5" s="3"/>
      <c r="L5" s="3"/>
      <c r="M5" s="3"/>
      <c r="O5" s="3"/>
      <c r="P5" s="3"/>
    </row>
    <row r="6" spans="2:16" ht="123.75" customHeight="1" thickBot="1" x14ac:dyDescent="0.3">
      <c r="B6" s="330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32"/>
      <c r="D6" s="332"/>
      <c r="E6" s="332"/>
      <c r="F6" s="332"/>
      <c r="G6" s="332"/>
      <c r="H6" s="332"/>
      <c r="I6" s="331"/>
      <c r="K6" s="3"/>
      <c r="L6" s="3"/>
      <c r="M6" s="3"/>
      <c r="O6" s="330" t="str">
        <f>"SELECT
	kategorija_id,
	alias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kategorija_id,
	alias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31"/>
    </row>
    <row r="7" spans="2:16" x14ac:dyDescent="0.25">
      <c r="B7" s="3"/>
      <c r="C7" s="3"/>
      <c r="E7" s="3"/>
      <c r="F7" s="3"/>
      <c r="H7" s="12"/>
      <c r="K7" s="3"/>
      <c r="L7" s="3"/>
      <c r="M7" s="3"/>
      <c r="O7" s="3"/>
      <c r="P7" s="3"/>
    </row>
    <row r="8" spans="2:16" s="21" customFormat="1" x14ac:dyDescent="0.25">
      <c r="B8" s="134" t="s">
        <v>24</v>
      </c>
      <c r="C8" s="93" t="s">
        <v>25</v>
      </c>
      <c r="D8" s="135" t="s">
        <v>8</v>
      </c>
      <c r="E8" s="136" t="s">
        <v>26</v>
      </c>
      <c r="F8" s="136" t="s">
        <v>27</v>
      </c>
      <c r="G8" s="93" t="s">
        <v>28</v>
      </c>
      <c r="H8" s="135" t="s">
        <v>29</v>
      </c>
      <c r="I8" s="137" t="s">
        <v>30</v>
      </c>
      <c r="K8" s="131" t="s">
        <v>16</v>
      </c>
      <c r="L8" s="132" t="s">
        <v>53</v>
      </c>
      <c r="M8" s="133" t="s">
        <v>35</v>
      </c>
      <c r="O8" s="22" t="s">
        <v>24</v>
      </c>
      <c r="P8" s="24" t="s">
        <v>25</v>
      </c>
    </row>
    <row r="9" spans="2:16" ht="7.5" customHeight="1" thickBot="1" x14ac:dyDescent="0.3">
      <c r="L9" s="36">
        <f>data_max_stazaKategorija_id</f>
        <v>22</v>
      </c>
      <c r="M9" s="36"/>
    </row>
    <row r="10" spans="2:16" x14ac:dyDescent="0.25">
      <c r="B10" s="110">
        <v>101</v>
      </c>
      <c r="C10" s="101" t="s">
        <v>886</v>
      </c>
      <c r="D10" s="113" t="s">
        <v>354</v>
      </c>
      <c r="E10" s="114">
        <v>21</v>
      </c>
      <c r="F10" s="114">
        <v>34</v>
      </c>
      <c r="G10" s="101" t="s">
        <v>3707</v>
      </c>
      <c r="H10" s="113">
        <v>1</v>
      </c>
      <c r="I10" s="115">
        <v>1</v>
      </c>
      <c r="K10" s="27">
        <f>IF(B10="","",K9+1)</f>
        <v>1</v>
      </c>
      <c r="L10" s="37">
        <f>IF(K10="","",MAX(L$9:L9)+1)</f>
        <v>23</v>
      </c>
      <c r="M10" s="29">
        <f>IF(K10="","",IFERROR(INDEX(natjecanje!T$13:T$412,MATCH(B10,natjecanje!S$13:S$412,0)),""))</f>
        <v>13</v>
      </c>
      <c r="O10" s="110">
        <v>291</v>
      </c>
      <c r="P10" s="102" t="s">
        <v>2427</v>
      </c>
    </row>
    <row r="11" spans="2:16" x14ac:dyDescent="0.25">
      <c r="B11" s="111">
        <v>102</v>
      </c>
      <c r="C11" s="104" t="s">
        <v>3001</v>
      </c>
      <c r="D11" s="116" t="s">
        <v>3708</v>
      </c>
      <c r="E11" s="117">
        <v>21</v>
      </c>
      <c r="F11" s="117">
        <v>34</v>
      </c>
      <c r="G11" s="104" t="s">
        <v>3707</v>
      </c>
      <c r="H11" s="116">
        <v>1</v>
      </c>
      <c r="I11" s="118">
        <v>2</v>
      </c>
      <c r="K11" s="30">
        <f t="shared" ref="K11:K59" si="0">IF(B11="","",K10+1)</f>
        <v>2</v>
      </c>
      <c r="L11" s="38">
        <f>IF(K11="","",MAX(L$9:L10)+1)</f>
        <v>24</v>
      </c>
      <c r="M11" s="32">
        <f>IF(K11="","",IFERROR(INDEX(natjecanje!T$13:T$412,MATCH(B11,natjecanje!S$13:S$412,0)),""))</f>
        <v>14</v>
      </c>
      <c r="O11" s="111"/>
      <c r="P11" s="105"/>
    </row>
    <row r="12" spans="2:16" x14ac:dyDescent="0.25">
      <c r="B12" s="111">
        <v>103</v>
      </c>
      <c r="C12" s="104" t="s">
        <v>2403</v>
      </c>
      <c r="D12" s="116" t="s">
        <v>354</v>
      </c>
      <c r="E12" s="117">
        <v>70</v>
      </c>
      <c r="F12" s="117">
        <v>99</v>
      </c>
      <c r="G12" s="104" t="s">
        <v>3709</v>
      </c>
      <c r="H12" s="116">
        <v>1</v>
      </c>
      <c r="I12" s="118">
        <v>3</v>
      </c>
      <c r="K12" s="30">
        <f t="shared" si="0"/>
        <v>3</v>
      </c>
      <c r="L12" s="38">
        <f>IF(K12="","",MAX(L$9:L11)+1)</f>
        <v>25</v>
      </c>
      <c r="M12" s="32">
        <f>IF(K12="","",IFERROR(INDEX(natjecanje!T$13:T$412,MATCH(B12,natjecanje!S$13:S$412,0)),""))</f>
        <v>15</v>
      </c>
      <c r="O12" s="111"/>
      <c r="P12" s="105"/>
    </row>
    <row r="13" spans="2:16" x14ac:dyDescent="0.25">
      <c r="B13" s="111">
        <v>104</v>
      </c>
      <c r="C13" s="104" t="s">
        <v>2367</v>
      </c>
      <c r="D13" s="116" t="s">
        <v>354</v>
      </c>
      <c r="E13" s="117">
        <v>65</v>
      </c>
      <c r="F13" s="117">
        <v>69</v>
      </c>
      <c r="G13" s="104" t="s">
        <v>3709</v>
      </c>
      <c r="H13" s="116">
        <v>1</v>
      </c>
      <c r="I13" s="118">
        <v>4</v>
      </c>
      <c r="K13" s="30">
        <f t="shared" si="0"/>
        <v>4</v>
      </c>
      <c r="L13" s="38">
        <f>IF(K13="","",MAX(L$9:L12)+1)</f>
        <v>26</v>
      </c>
      <c r="M13" s="32">
        <f>IF(K13="","",IFERROR(INDEX(natjecanje!T$13:T$412,MATCH(B13,natjecanje!S$13:S$412,0)),""))</f>
        <v>15</v>
      </c>
      <c r="O13" s="111"/>
      <c r="P13" s="105"/>
    </row>
    <row r="14" spans="2:16" x14ac:dyDescent="0.25">
      <c r="B14" s="111">
        <v>105</v>
      </c>
      <c r="C14" s="104" t="s">
        <v>2195</v>
      </c>
      <c r="D14" s="116" t="s">
        <v>354</v>
      </c>
      <c r="E14" s="117">
        <v>55</v>
      </c>
      <c r="F14" s="117">
        <v>64</v>
      </c>
      <c r="G14" s="104" t="s">
        <v>3709</v>
      </c>
      <c r="H14" s="116">
        <v>1</v>
      </c>
      <c r="I14" s="118">
        <v>5</v>
      </c>
      <c r="K14" s="30">
        <f t="shared" si="0"/>
        <v>5</v>
      </c>
      <c r="L14" s="38">
        <f>IF(K14="","",MAX(L$9:L13)+1)</f>
        <v>27</v>
      </c>
      <c r="M14" s="32">
        <f>IF(K14="","",IFERROR(INDEX(natjecanje!T$13:T$412,MATCH(B14,natjecanje!S$13:S$412,0)),""))</f>
        <v>16</v>
      </c>
      <c r="O14" s="111"/>
      <c r="P14" s="105"/>
    </row>
    <row r="15" spans="2:16" x14ac:dyDescent="0.25">
      <c r="B15" s="111">
        <v>106</v>
      </c>
      <c r="C15" s="104" t="s">
        <v>1909</v>
      </c>
      <c r="D15" s="116" t="s">
        <v>354</v>
      </c>
      <c r="E15" s="117">
        <v>45</v>
      </c>
      <c r="F15" s="117">
        <v>54</v>
      </c>
      <c r="G15" s="104" t="s">
        <v>3709</v>
      </c>
      <c r="H15" s="116">
        <v>1</v>
      </c>
      <c r="I15" s="118">
        <v>6</v>
      </c>
      <c r="K15" s="30">
        <f t="shared" si="0"/>
        <v>6</v>
      </c>
      <c r="L15" s="38">
        <f>IF(K15="","",MAX(L$9:L14)+1)</f>
        <v>28</v>
      </c>
      <c r="M15" s="32">
        <f>IF(K15="","",IFERROR(INDEX(natjecanje!T$13:T$412,MATCH(B15,natjecanje!S$13:S$412,0)),""))</f>
        <v>17</v>
      </c>
      <c r="O15" s="111"/>
      <c r="P15" s="105"/>
    </row>
    <row r="16" spans="2:16" x14ac:dyDescent="0.25">
      <c r="B16" s="111">
        <v>107</v>
      </c>
      <c r="C16" s="104" t="s">
        <v>1575</v>
      </c>
      <c r="D16" s="116" t="s">
        <v>354</v>
      </c>
      <c r="E16" s="117">
        <v>35</v>
      </c>
      <c r="F16" s="117">
        <v>44</v>
      </c>
      <c r="G16" s="104" t="s">
        <v>3709</v>
      </c>
      <c r="H16" s="116">
        <v>1</v>
      </c>
      <c r="I16" s="118">
        <v>7</v>
      </c>
      <c r="K16" s="30">
        <f t="shared" si="0"/>
        <v>7</v>
      </c>
      <c r="L16" s="38">
        <f>IF(K16="","",MAX(L$9:L15)+1)</f>
        <v>29</v>
      </c>
      <c r="M16" s="32">
        <f>IF(K16="","",IFERROR(INDEX(natjecanje!T$13:T$412,MATCH(B16,natjecanje!S$13:S$412,0)),""))</f>
        <v>18</v>
      </c>
      <c r="O16" s="111"/>
      <c r="P16" s="105"/>
    </row>
    <row r="17" spans="2:16" x14ac:dyDescent="0.25">
      <c r="B17" s="111">
        <v>108</v>
      </c>
      <c r="C17" s="104" t="s">
        <v>1130</v>
      </c>
      <c r="D17" s="116" t="s">
        <v>354</v>
      </c>
      <c r="E17" s="117">
        <v>21</v>
      </c>
      <c r="F17" s="117">
        <v>34</v>
      </c>
      <c r="G17" s="104" t="s">
        <v>3707</v>
      </c>
      <c r="H17" s="116">
        <v>1</v>
      </c>
      <c r="I17" s="118">
        <v>8</v>
      </c>
      <c r="K17" s="30">
        <f t="shared" si="0"/>
        <v>8</v>
      </c>
      <c r="L17" s="38">
        <f>IF(K17="","",MAX(L$9:L16)+1)</f>
        <v>30</v>
      </c>
      <c r="M17" s="32">
        <f>IF(K17="","",IFERROR(INDEX(natjecanje!T$13:T$412,MATCH(B17,natjecanje!S$13:S$412,0)),""))</f>
        <v>19</v>
      </c>
      <c r="O17" s="111"/>
      <c r="P17" s="105"/>
    </row>
    <row r="18" spans="2:16" x14ac:dyDescent="0.25">
      <c r="B18" s="111">
        <v>109</v>
      </c>
      <c r="C18" s="104" t="s">
        <v>769</v>
      </c>
      <c r="D18" s="116" t="s">
        <v>354</v>
      </c>
      <c r="E18" s="117">
        <v>17</v>
      </c>
      <c r="F18" s="117">
        <v>20</v>
      </c>
      <c r="G18" s="104" t="s">
        <v>3710</v>
      </c>
      <c r="H18" s="116">
        <v>1</v>
      </c>
      <c r="I18" s="118">
        <v>9</v>
      </c>
      <c r="K18" s="30">
        <f t="shared" si="0"/>
        <v>9</v>
      </c>
      <c r="L18" s="38">
        <f>IF(K18="","",MAX(L$9:L17)+1)</f>
        <v>31</v>
      </c>
      <c r="M18" s="32">
        <f>IF(K18="","",IFERROR(INDEX(natjecanje!T$13:T$412,MATCH(B18,natjecanje!S$13:S$412,0)),""))</f>
        <v>20</v>
      </c>
      <c r="O18" s="111"/>
      <c r="P18" s="105"/>
    </row>
    <row r="19" spans="2:16" x14ac:dyDescent="0.25">
      <c r="B19" s="111">
        <v>110</v>
      </c>
      <c r="C19" s="104" t="s">
        <v>652</v>
      </c>
      <c r="D19" s="116" t="s">
        <v>354</v>
      </c>
      <c r="E19" s="117">
        <v>15</v>
      </c>
      <c r="F19" s="117">
        <v>16</v>
      </c>
      <c r="G19" s="104" t="s">
        <v>3710</v>
      </c>
      <c r="H19" s="116">
        <v>1</v>
      </c>
      <c r="I19" s="118">
        <v>10</v>
      </c>
      <c r="K19" s="30">
        <f t="shared" si="0"/>
        <v>10</v>
      </c>
      <c r="L19" s="38">
        <f>IF(K19="","",MAX(L$9:L18)+1)</f>
        <v>32</v>
      </c>
      <c r="M19" s="32">
        <f>IF(K19="","",IFERROR(INDEX(natjecanje!T$13:T$412,MATCH(B19,natjecanje!S$13:S$412,0)),""))</f>
        <v>19</v>
      </c>
      <c r="O19" s="111"/>
      <c r="P19" s="105"/>
    </row>
    <row r="20" spans="2:16" x14ac:dyDescent="0.25">
      <c r="B20" s="111">
        <v>111</v>
      </c>
      <c r="C20" s="104" t="s">
        <v>487</v>
      </c>
      <c r="D20" s="116" t="s">
        <v>354</v>
      </c>
      <c r="E20" s="117">
        <v>13</v>
      </c>
      <c r="F20" s="117">
        <v>14</v>
      </c>
      <c r="G20" s="104" t="s">
        <v>3710</v>
      </c>
      <c r="H20" s="116">
        <v>1</v>
      </c>
      <c r="I20" s="118">
        <v>11</v>
      </c>
      <c r="K20" s="30">
        <f t="shared" si="0"/>
        <v>11</v>
      </c>
      <c r="L20" s="38">
        <f>IF(K20="","",MAX(L$9:L19)+1)</f>
        <v>33</v>
      </c>
      <c r="M20" s="32">
        <f>IF(K20="","",IFERROR(INDEX(natjecanje!T$13:T$412,MATCH(B20,natjecanje!S$13:S$412,0)),""))</f>
        <v>21</v>
      </c>
      <c r="O20" s="111"/>
      <c r="P20" s="105"/>
    </row>
    <row r="21" spans="2:16" x14ac:dyDescent="0.25">
      <c r="B21" s="111">
        <v>112</v>
      </c>
      <c r="C21" s="104" t="s">
        <v>364</v>
      </c>
      <c r="D21" s="116" t="s">
        <v>354</v>
      </c>
      <c r="E21" s="117">
        <v>7</v>
      </c>
      <c r="F21" s="117">
        <v>12</v>
      </c>
      <c r="G21" s="104" t="s">
        <v>3710</v>
      </c>
      <c r="H21" s="116">
        <v>1</v>
      </c>
      <c r="I21" s="118">
        <v>12</v>
      </c>
      <c r="K21" s="30">
        <f t="shared" si="0"/>
        <v>12</v>
      </c>
      <c r="L21" s="38">
        <f>IF(K21="","",MAX(L$9:L20)+1)</f>
        <v>34</v>
      </c>
      <c r="M21" s="32">
        <f>IF(K21="","",IFERROR(INDEX(natjecanje!T$13:T$412,MATCH(B21,natjecanje!S$13:S$412,0)),""))</f>
        <v>22</v>
      </c>
      <c r="O21" s="111"/>
      <c r="P21" s="105"/>
    </row>
    <row r="22" spans="2:16" x14ac:dyDescent="0.25">
      <c r="B22" s="111">
        <v>113</v>
      </c>
      <c r="C22" s="104" t="s">
        <v>3704</v>
      </c>
      <c r="D22" s="116" t="s">
        <v>3708</v>
      </c>
      <c r="E22" s="117">
        <v>70</v>
      </c>
      <c r="F22" s="117">
        <v>99</v>
      </c>
      <c r="G22" s="104" t="s">
        <v>3709</v>
      </c>
      <c r="H22" s="116">
        <v>1</v>
      </c>
      <c r="I22" s="118">
        <v>13</v>
      </c>
      <c r="K22" s="30">
        <f t="shared" si="0"/>
        <v>13</v>
      </c>
      <c r="L22" s="38">
        <f>IF(K22="","",MAX(L$9:L21)+1)</f>
        <v>35</v>
      </c>
      <c r="M22" s="32" t="str">
        <f>IF(K22="","",IFERROR(INDEX(natjecanje!T$13:T$412,MATCH(B22,natjecanje!S$13:S$412,0)),""))</f>
        <v/>
      </c>
      <c r="O22" s="111"/>
      <c r="P22" s="105"/>
    </row>
    <row r="23" spans="2:16" x14ac:dyDescent="0.25">
      <c r="B23" s="111">
        <v>114</v>
      </c>
      <c r="C23" s="104" t="s">
        <v>3680</v>
      </c>
      <c r="D23" s="116" t="s">
        <v>3708</v>
      </c>
      <c r="E23" s="117">
        <v>65</v>
      </c>
      <c r="F23" s="117">
        <v>69</v>
      </c>
      <c r="G23" s="104" t="s">
        <v>3709</v>
      </c>
      <c r="H23" s="116">
        <v>1</v>
      </c>
      <c r="I23" s="118">
        <v>14</v>
      </c>
      <c r="K23" s="30">
        <f t="shared" si="0"/>
        <v>14</v>
      </c>
      <c r="L23" s="38">
        <f>IF(K23="","",MAX(L$9:L22)+1)</f>
        <v>36</v>
      </c>
      <c r="M23" s="32">
        <f>IF(K23="","",IFERROR(INDEX(natjecanje!T$13:T$412,MATCH(B23,natjecanje!S$13:S$412,0)),""))</f>
        <v>23</v>
      </c>
      <c r="O23" s="111"/>
      <c r="P23" s="105"/>
    </row>
    <row r="24" spans="2:16" x14ac:dyDescent="0.25">
      <c r="B24" s="111">
        <v>115</v>
      </c>
      <c r="C24" s="104" t="s">
        <v>3619</v>
      </c>
      <c r="D24" s="116" t="s">
        <v>3708</v>
      </c>
      <c r="E24" s="117">
        <v>55</v>
      </c>
      <c r="F24" s="117">
        <v>64</v>
      </c>
      <c r="G24" s="104" t="s">
        <v>3709</v>
      </c>
      <c r="H24" s="116">
        <v>1</v>
      </c>
      <c r="I24" s="118">
        <v>15</v>
      </c>
      <c r="K24" s="30">
        <f t="shared" si="0"/>
        <v>15</v>
      </c>
      <c r="L24" s="38">
        <f>IF(K24="","",MAX(L$9:L23)+1)</f>
        <v>37</v>
      </c>
      <c r="M24" s="32">
        <f>IF(K24="","",IFERROR(INDEX(natjecanje!T$13:T$412,MATCH(B24,natjecanje!S$13:S$412,0)),""))</f>
        <v>24</v>
      </c>
      <c r="O24" s="111"/>
      <c r="P24" s="105"/>
    </row>
    <row r="25" spans="2:16" x14ac:dyDescent="0.25">
      <c r="B25" s="111">
        <v>116</v>
      </c>
      <c r="C25" s="104" t="s">
        <v>3443</v>
      </c>
      <c r="D25" s="116" t="s">
        <v>3708</v>
      </c>
      <c r="E25" s="117">
        <v>45</v>
      </c>
      <c r="F25" s="117">
        <v>54</v>
      </c>
      <c r="G25" s="104" t="s">
        <v>3709</v>
      </c>
      <c r="H25" s="116">
        <v>1</v>
      </c>
      <c r="I25" s="118">
        <v>16</v>
      </c>
      <c r="K25" s="30">
        <f t="shared" si="0"/>
        <v>16</v>
      </c>
      <c r="L25" s="38">
        <f>IF(K25="","",MAX(L$9:L24)+1)</f>
        <v>38</v>
      </c>
      <c r="M25" s="32">
        <f>IF(K25="","",IFERROR(INDEX(natjecanje!T$13:T$412,MATCH(B25,natjecanje!S$13:S$412,0)),""))</f>
        <v>25</v>
      </c>
      <c r="O25" s="111"/>
      <c r="P25" s="105"/>
    </row>
    <row r="26" spans="2:16" x14ac:dyDescent="0.25">
      <c r="B26" s="111">
        <v>117</v>
      </c>
      <c r="C26" s="104" t="s">
        <v>3265</v>
      </c>
      <c r="D26" s="116" t="s">
        <v>3708</v>
      </c>
      <c r="E26" s="117">
        <v>35</v>
      </c>
      <c r="F26" s="117">
        <v>44</v>
      </c>
      <c r="G26" s="104" t="s">
        <v>3709</v>
      </c>
      <c r="H26" s="116">
        <v>1</v>
      </c>
      <c r="I26" s="118">
        <v>17</v>
      </c>
      <c r="K26" s="30">
        <f t="shared" si="0"/>
        <v>17</v>
      </c>
      <c r="L26" s="38">
        <f>IF(K26="","",MAX(L$9:L25)+1)</f>
        <v>39</v>
      </c>
      <c r="M26" s="32">
        <f>IF(K26="","",IFERROR(INDEX(natjecanje!T$13:T$412,MATCH(B26,natjecanje!S$13:S$412,0)),""))</f>
        <v>26</v>
      </c>
      <c r="O26" s="111"/>
      <c r="P26" s="105"/>
    </row>
    <row r="27" spans="2:16" x14ac:dyDescent="0.25">
      <c r="B27" s="111">
        <v>118</v>
      </c>
      <c r="C27" s="104" t="s">
        <v>3094</v>
      </c>
      <c r="D27" s="116" t="s">
        <v>3708</v>
      </c>
      <c r="E27" s="117">
        <v>21</v>
      </c>
      <c r="F27" s="117">
        <v>34</v>
      </c>
      <c r="G27" s="104" t="s">
        <v>3707</v>
      </c>
      <c r="H27" s="116">
        <v>1</v>
      </c>
      <c r="I27" s="118">
        <v>18</v>
      </c>
      <c r="K27" s="30">
        <f t="shared" si="0"/>
        <v>18</v>
      </c>
      <c r="L27" s="38">
        <f>IF(K27="","",MAX(L$9:L26)+1)</f>
        <v>40</v>
      </c>
      <c r="M27" s="32">
        <f>IF(K27="","",IFERROR(INDEX(natjecanje!T$13:T$412,MATCH(B27,natjecanje!S$13:S$412,0)),""))</f>
        <v>27</v>
      </c>
      <c r="O27" s="111"/>
      <c r="P27" s="105"/>
    </row>
    <row r="28" spans="2:16" x14ac:dyDescent="0.25">
      <c r="B28" s="111">
        <v>119</v>
      </c>
      <c r="C28" s="104" t="s">
        <v>2928</v>
      </c>
      <c r="D28" s="116" t="s">
        <v>3708</v>
      </c>
      <c r="E28" s="117">
        <v>17</v>
      </c>
      <c r="F28" s="117">
        <v>20</v>
      </c>
      <c r="G28" s="104" t="s">
        <v>3710</v>
      </c>
      <c r="H28" s="116">
        <v>1</v>
      </c>
      <c r="I28" s="118">
        <v>19</v>
      </c>
      <c r="K28" s="30">
        <f t="shared" si="0"/>
        <v>19</v>
      </c>
      <c r="L28" s="38">
        <f>IF(K28="","",MAX(L$9:L27)+1)</f>
        <v>41</v>
      </c>
      <c r="M28" s="32">
        <f>IF(K28="","",IFERROR(INDEX(natjecanje!T$13:T$412,MATCH(B28,natjecanje!S$13:S$412,0)),""))</f>
        <v>28</v>
      </c>
      <c r="O28" s="111"/>
      <c r="P28" s="105"/>
    </row>
    <row r="29" spans="2:16" x14ac:dyDescent="0.25">
      <c r="B29" s="111">
        <v>120</v>
      </c>
      <c r="C29" s="104" t="s">
        <v>2766</v>
      </c>
      <c r="D29" s="116" t="s">
        <v>3708</v>
      </c>
      <c r="E29" s="117">
        <v>15</v>
      </c>
      <c r="F29" s="117">
        <v>16</v>
      </c>
      <c r="G29" s="104" t="s">
        <v>3710</v>
      </c>
      <c r="H29" s="116">
        <v>1</v>
      </c>
      <c r="I29" s="118">
        <v>20</v>
      </c>
      <c r="K29" s="30">
        <f t="shared" si="0"/>
        <v>20</v>
      </c>
      <c r="L29" s="38">
        <f>IF(K29="","",MAX(L$9:L28)+1)</f>
        <v>42</v>
      </c>
      <c r="M29" s="32">
        <f>IF(K29="","",IFERROR(INDEX(natjecanje!T$13:T$412,MATCH(B29,natjecanje!S$13:S$412,0)),""))</f>
        <v>27</v>
      </c>
      <c r="O29" s="111"/>
      <c r="P29" s="105"/>
    </row>
    <row r="30" spans="2:16" x14ac:dyDescent="0.25">
      <c r="B30" s="111">
        <v>121</v>
      </c>
      <c r="C30" s="104" t="s">
        <v>2732</v>
      </c>
      <c r="D30" s="116" t="s">
        <v>3708</v>
      </c>
      <c r="E30" s="117">
        <v>13</v>
      </c>
      <c r="F30" s="117">
        <v>14</v>
      </c>
      <c r="G30" s="104" t="s">
        <v>3710</v>
      </c>
      <c r="H30" s="116">
        <v>1</v>
      </c>
      <c r="I30" s="118">
        <v>21</v>
      </c>
      <c r="K30" s="30">
        <f t="shared" si="0"/>
        <v>21</v>
      </c>
      <c r="L30" s="38">
        <f>IF(K30="","",MAX(L$9:L29)+1)</f>
        <v>43</v>
      </c>
      <c r="M30" s="32">
        <f>IF(K30="","",IFERROR(INDEX(natjecanje!T$13:T$412,MATCH(B30,natjecanje!S$13:S$412,0)),""))</f>
        <v>21</v>
      </c>
      <c r="O30" s="111"/>
      <c r="P30" s="105"/>
    </row>
    <row r="31" spans="2:16" x14ac:dyDescent="0.25">
      <c r="B31" s="111">
        <v>122</v>
      </c>
      <c r="C31" s="104" t="s">
        <v>2637</v>
      </c>
      <c r="D31" s="116" t="s">
        <v>3708</v>
      </c>
      <c r="E31" s="117">
        <v>7</v>
      </c>
      <c r="F31" s="117">
        <v>12</v>
      </c>
      <c r="G31" s="104" t="s">
        <v>3710</v>
      </c>
      <c r="H31" s="116">
        <v>1</v>
      </c>
      <c r="I31" s="118">
        <v>22</v>
      </c>
      <c r="K31" s="30">
        <f t="shared" si="0"/>
        <v>22</v>
      </c>
      <c r="L31" s="38">
        <f>IF(K31="","",MAX(L$9:L30)+1)</f>
        <v>44</v>
      </c>
      <c r="M31" s="32">
        <f>IF(K31="","",IFERROR(INDEX(natjecanje!T$13:T$412,MATCH(B31,natjecanje!S$13:S$412,0)),""))</f>
        <v>22</v>
      </c>
      <c r="O31" s="111"/>
      <c r="P31" s="105"/>
    </row>
    <row r="32" spans="2:16" x14ac:dyDescent="0.25">
      <c r="B32" s="111">
        <v>291</v>
      </c>
      <c r="C32" s="104" t="s">
        <v>3711</v>
      </c>
      <c r="D32" s="116" t="s">
        <v>3712</v>
      </c>
      <c r="E32" s="117">
        <v>7</v>
      </c>
      <c r="F32" s="117">
        <v>99</v>
      </c>
      <c r="G32" s="104" t="s">
        <v>3707</v>
      </c>
      <c r="H32" s="116">
        <v>0</v>
      </c>
      <c r="I32" s="118">
        <v>291</v>
      </c>
      <c r="K32" s="30">
        <f t="shared" si="0"/>
        <v>23</v>
      </c>
      <c r="L32" s="38">
        <f>IF(K32="","",MAX(L$9:L31)+1)</f>
        <v>45</v>
      </c>
      <c r="M32" s="32">
        <f>IF(K32="","",IFERROR(INDEX(natjecanje!T$13:T$412,MATCH(B32,natjecanje!S$13:S$412,0)),""))</f>
        <v>29</v>
      </c>
      <c r="O32" s="111"/>
      <c r="P32" s="105"/>
    </row>
    <row r="33" spans="2:16" x14ac:dyDescent="0.25">
      <c r="B33" s="111">
        <v>292</v>
      </c>
      <c r="C33" s="104" t="s">
        <v>3713</v>
      </c>
      <c r="D33" s="116" t="s">
        <v>3712</v>
      </c>
      <c r="E33" s="117">
        <v>7</v>
      </c>
      <c r="F33" s="117">
        <v>99</v>
      </c>
      <c r="G33" s="104" t="s">
        <v>3707</v>
      </c>
      <c r="H33" s="116">
        <v>0</v>
      </c>
      <c r="I33" s="118">
        <v>292</v>
      </c>
      <c r="K33" s="30">
        <f t="shared" si="0"/>
        <v>24</v>
      </c>
      <c r="L33" s="38">
        <f>IF(K33="","",MAX(L$9:L32)+1)</f>
        <v>46</v>
      </c>
      <c r="M33" s="32" t="str">
        <f>IF(K33="","",IFERROR(INDEX(natjecanje!T$13:T$412,MATCH(B33,natjecanje!S$13:S$412,0)),""))</f>
        <v/>
      </c>
      <c r="O33" s="111"/>
      <c r="P33" s="105"/>
    </row>
    <row r="34" spans="2:16" x14ac:dyDescent="0.25">
      <c r="B34" s="111"/>
      <c r="C34" s="104"/>
      <c r="D34" s="116"/>
      <c r="E34" s="117"/>
      <c r="F34" s="117"/>
      <c r="G34" s="104"/>
      <c r="H34" s="116"/>
      <c r="I34" s="118"/>
      <c r="K34" s="30" t="str">
        <f t="shared" si="0"/>
        <v/>
      </c>
      <c r="L34" s="38" t="str">
        <f>IF(K34="","",MAX(L$9:L33)+1)</f>
        <v/>
      </c>
      <c r="M34" s="32" t="str">
        <f>IF(K34="","",IFERROR(INDEX(natjecanje!T$13:T$412,MATCH(B34,natjecanje!S$13:S$412,0)),""))</f>
        <v/>
      </c>
      <c r="O34" s="111"/>
      <c r="P34" s="105"/>
    </row>
    <row r="35" spans="2:16" x14ac:dyDescent="0.25">
      <c r="B35" s="111"/>
      <c r="C35" s="104"/>
      <c r="D35" s="116"/>
      <c r="E35" s="117"/>
      <c r="F35" s="117"/>
      <c r="G35" s="104"/>
      <c r="H35" s="116"/>
      <c r="I35" s="118"/>
      <c r="K35" s="30" t="str">
        <f t="shared" si="0"/>
        <v/>
      </c>
      <c r="L35" s="38" t="str">
        <f>IF(K35="","",MAX(L$9:L34)+1)</f>
        <v/>
      </c>
      <c r="M35" s="32" t="str">
        <f>IF(K35="","",IFERROR(INDEX(natjecanje!T$13:T$412,MATCH(B35,natjecanje!S$13:S$412,0)),""))</f>
        <v/>
      </c>
      <c r="O35" s="111"/>
      <c r="P35" s="105"/>
    </row>
    <row r="36" spans="2:16" x14ac:dyDescent="0.25">
      <c r="B36" s="111"/>
      <c r="C36" s="104"/>
      <c r="D36" s="116"/>
      <c r="E36" s="117"/>
      <c r="F36" s="117"/>
      <c r="G36" s="104"/>
      <c r="H36" s="116"/>
      <c r="I36" s="118"/>
      <c r="K36" s="30" t="str">
        <f t="shared" si="0"/>
        <v/>
      </c>
      <c r="L36" s="38" t="str">
        <f>IF(K36="","",MAX(L$9:L35)+1)</f>
        <v/>
      </c>
      <c r="M36" s="32" t="str">
        <f>IF(K36="","",IFERROR(INDEX(natjecanje!T$13:T$412,MATCH(B36,natjecanje!S$13:S$412,0)),""))</f>
        <v/>
      </c>
      <c r="O36" s="111"/>
      <c r="P36" s="105"/>
    </row>
    <row r="37" spans="2:16" x14ac:dyDescent="0.25">
      <c r="B37" s="111"/>
      <c r="C37" s="104"/>
      <c r="D37" s="116"/>
      <c r="E37" s="117"/>
      <c r="F37" s="117"/>
      <c r="G37" s="104"/>
      <c r="H37" s="116"/>
      <c r="I37" s="118"/>
      <c r="K37" s="30" t="str">
        <f t="shared" si="0"/>
        <v/>
      </c>
      <c r="L37" s="38" t="str">
        <f>IF(K37="","",MAX(L$9:L36)+1)</f>
        <v/>
      </c>
      <c r="M37" s="32" t="str">
        <f>IF(K37="","",IFERROR(INDEX(natjecanje!T$13:T$412,MATCH(B37,natjecanje!S$13:S$412,0)),""))</f>
        <v/>
      </c>
      <c r="O37" s="111"/>
      <c r="P37" s="105"/>
    </row>
    <row r="38" spans="2:16" x14ac:dyDescent="0.25">
      <c r="B38" s="111"/>
      <c r="C38" s="104"/>
      <c r="D38" s="116"/>
      <c r="E38" s="117"/>
      <c r="F38" s="117"/>
      <c r="G38" s="104"/>
      <c r="H38" s="116"/>
      <c r="I38" s="118"/>
      <c r="K38" s="30" t="str">
        <f t="shared" si="0"/>
        <v/>
      </c>
      <c r="L38" s="38" t="str">
        <f>IF(K38="","",MAX(L$9:L37)+1)</f>
        <v/>
      </c>
      <c r="M38" s="32" t="str">
        <f>IF(K38="","",IFERROR(INDEX(natjecanje!T$13:T$412,MATCH(B38,natjecanje!S$13:S$412,0)),""))</f>
        <v/>
      </c>
      <c r="O38" s="111"/>
      <c r="P38" s="105"/>
    </row>
    <row r="39" spans="2:16" x14ac:dyDescent="0.25">
      <c r="B39" s="111"/>
      <c r="C39" s="104"/>
      <c r="D39" s="116"/>
      <c r="E39" s="117"/>
      <c r="F39" s="117"/>
      <c r="G39" s="104"/>
      <c r="H39" s="116"/>
      <c r="I39" s="118"/>
      <c r="K39" s="30" t="str">
        <f t="shared" si="0"/>
        <v/>
      </c>
      <c r="L39" s="38" t="str">
        <f>IF(K39="","",MAX(L$9:L38)+1)</f>
        <v/>
      </c>
      <c r="M39" s="32" t="str">
        <f>IF(K39="","",IFERROR(INDEX(natjecanje!T$13:T$412,MATCH(B39,natjecanje!S$13:S$412,0)),""))</f>
        <v/>
      </c>
      <c r="O39" s="111"/>
      <c r="P39" s="105"/>
    </row>
    <row r="40" spans="2:16" x14ac:dyDescent="0.25">
      <c r="B40" s="111"/>
      <c r="C40" s="104"/>
      <c r="D40" s="116"/>
      <c r="E40" s="117"/>
      <c r="F40" s="117"/>
      <c r="G40" s="104"/>
      <c r="H40" s="116"/>
      <c r="I40" s="118"/>
      <c r="K40" s="30" t="str">
        <f t="shared" si="0"/>
        <v/>
      </c>
      <c r="L40" s="38" t="str">
        <f>IF(K40="","",MAX(L$9:L39)+1)</f>
        <v/>
      </c>
      <c r="M40" s="32" t="str">
        <f>IF(K40="","",IFERROR(INDEX(natjecanje!T$13:T$412,MATCH(B40,natjecanje!S$13:S$412,0)),""))</f>
        <v/>
      </c>
      <c r="O40" s="111"/>
      <c r="P40" s="105"/>
    </row>
    <row r="41" spans="2:16" x14ac:dyDescent="0.25">
      <c r="B41" s="111"/>
      <c r="C41" s="104"/>
      <c r="D41" s="116"/>
      <c r="E41" s="117"/>
      <c r="F41" s="117"/>
      <c r="G41" s="104"/>
      <c r="H41" s="116"/>
      <c r="I41" s="118"/>
      <c r="K41" s="30" t="str">
        <f t="shared" si="0"/>
        <v/>
      </c>
      <c r="L41" s="38" t="str">
        <f>IF(K41="","",MAX(L$9:L40)+1)</f>
        <v/>
      </c>
      <c r="M41" s="32" t="str">
        <f>IF(K41="","",IFERROR(INDEX(natjecanje!T$13:T$412,MATCH(B41,natjecanje!S$13:S$412,0)),""))</f>
        <v/>
      </c>
      <c r="O41" s="111"/>
      <c r="P41" s="105"/>
    </row>
    <row r="42" spans="2:16" x14ac:dyDescent="0.25">
      <c r="B42" s="111"/>
      <c r="C42" s="104"/>
      <c r="D42" s="116"/>
      <c r="E42" s="117"/>
      <c r="F42" s="117"/>
      <c r="G42" s="104"/>
      <c r="H42" s="116"/>
      <c r="I42" s="118"/>
      <c r="K42" s="30" t="str">
        <f t="shared" si="0"/>
        <v/>
      </c>
      <c r="L42" s="38" t="str">
        <f>IF(K42="","",MAX(L$9:L41)+1)</f>
        <v/>
      </c>
      <c r="M42" s="32" t="str">
        <f>IF(K42="","",IFERROR(INDEX(natjecanje!T$13:T$412,MATCH(B42,natjecanje!S$13:S$412,0)),""))</f>
        <v/>
      </c>
      <c r="O42" s="111"/>
      <c r="P42" s="105"/>
    </row>
    <row r="43" spans="2:16" x14ac:dyDescent="0.25">
      <c r="B43" s="111"/>
      <c r="C43" s="104"/>
      <c r="D43" s="116"/>
      <c r="E43" s="117"/>
      <c r="F43" s="117"/>
      <c r="G43" s="104"/>
      <c r="H43" s="116"/>
      <c r="I43" s="118"/>
      <c r="K43" s="30" t="str">
        <f t="shared" si="0"/>
        <v/>
      </c>
      <c r="L43" s="38" t="str">
        <f>IF(K43="","",MAX(L$9:L42)+1)</f>
        <v/>
      </c>
      <c r="M43" s="32" t="str">
        <f>IF(K43="","",IFERROR(INDEX(natjecanje!T$13:T$412,MATCH(B43,natjecanje!S$13:S$412,0)),""))</f>
        <v/>
      </c>
      <c r="O43" s="111"/>
      <c r="P43" s="105"/>
    </row>
    <row r="44" spans="2:16" x14ac:dyDescent="0.25">
      <c r="B44" s="111"/>
      <c r="C44" s="104"/>
      <c r="D44" s="116"/>
      <c r="E44" s="117"/>
      <c r="F44" s="117"/>
      <c r="G44" s="104"/>
      <c r="H44" s="116"/>
      <c r="I44" s="118"/>
      <c r="K44" s="30" t="str">
        <f t="shared" si="0"/>
        <v/>
      </c>
      <c r="L44" s="38" t="str">
        <f>IF(K44="","",MAX(L$9:L43)+1)</f>
        <v/>
      </c>
      <c r="M44" s="32" t="str">
        <f>IF(K44="","",IFERROR(INDEX(natjecanje!T$13:T$412,MATCH(B44,natjecanje!S$13:S$412,0)),""))</f>
        <v/>
      </c>
      <c r="O44" s="111"/>
      <c r="P44" s="105"/>
    </row>
    <row r="45" spans="2:16" x14ac:dyDescent="0.25">
      <c r="B45" s="111"/>
      <c r="C45" s="104"/>
      <c r="D45" s="116"/>
      <c r="E45" s="117"/>
      <c r="F45" s="117"/>
      <c r="G45" s="104"/>
      <c r="H45" s="116"/>
      <c r="I45" s="118"/>
      <c r="K45" s="30" t="str">
        <f t="shared" si="0"/>
        <v/>
      </c>
      <c r="L45" s="38" t="str">
        <f>IF(K45="","",MAX(L$9:L44)+1)</f>
        <v/>
      </c>
      <c r="M45" s="32" t="str">
        <f>IF(K45="","",IFERROR(INDEX(natjecanje!T$13:T$412,MATCH(B45,natjecanje!S$13:S$412,0)),""))</f>
        <v/>
      </c>
      <c r="O45" s="111"/>
      <c r="P45" s="105"/>
    </row>
    <row r="46" spans="2:16" x14ac:dyDescent="0.25">
      <c r="B46" s="111"/>
      <c r="C46" s="104"/>
      <c r="D46" s="116"/>
      <c r="E46" s="117"/>
      <c r="F46" s="117"/>
      <c r="G46" s="104"/>
      <c r="H46" s="116"/>
      <c r="I46" s="118"/>
      <c r="K46" s="30" t="str">
        <f t="shared" si="0"/>
        <v/>
      </c>
      <c r="L46" s="38" t="str">
        <f>IF(K46="","",MAX(L$9:L45)+1)</f>
        <v/>
      </c>
      <c r="M46" s="32" t="str">
        <f>IF(K46="","",IFERROR(INDEX(natjecanje!T$13:T$412,MATCH(B46,natjecanje!S$13:S$412,0)),""))</f>
        <v/>
      </c>
      <c r="O46" s="111"/>
      <c r="P46" s="105"/>
    </row>
    <row r="47" spans="2:16" x14ac:dyDescent="0.25">
      <c r="B47" s="111"/>
      <c r="C47" s="104"/>
      <c r="D47" s="116"/>
      <c r="E47" s="117"/>
      <c r="F47" s="117"/>
      <c r="G47" s="104"/>
      <c r="H47" s="116"/>
      <c r="I47" s="118"/>
      <c r="K47" s="30" t="str">
        <f t="shared" si="0"/>
        <v/>
      </c>
      <c r="L47" s="38" t="str">
        <f>IF(K47="","",MAX(L$9:L46)+1)</f>
        <v/>
      </c>
      <c r="M47" s="32" t="str">
        <f>IF(K47="","",IFERROR(INDEX(natjecanje!T$13:T$412,MATCH(B47,natjecanje!S$13:S$412,0)),""))</f>
        <v/>
      </c>
      <c r="O47" s="111"/>
      <c r="P47" s="105"/>
    </row>
    <row r="48" spans="2:16" x14ac:dyDescent="0.25">
      <c r="B48" s="111"/>
      <c r="C48" s="104"/>
      <c r="D48" s="116"/>
      <c r="E48" s="117"/>
      <c r="F48" s="117"/>
      <c r="G48" s="104"/>
      <c r="H48" s="116"/>
      <c r="I48" s="118"/>
      <c r="K48" s="30" t="str">
        <f t="shared" si="0"/>
        <v/>
      </c>
      <c r="L48" s="38" t="str">
        <f>IF(K48="","",MAX(L$9:L47)+1)</f>
        <v/>
      </c>
      <c r="M48" s="32" t="str">
        <f>IF(K48="","",IFERROR(INDEX(natjecanje!T$13:T$412,MATCH(B48,natjecanje!S$13:S$412,0)),""))</f>
        <v/>
      </c>
      <c r="O48" s="111"/>
      <c r="P48" s="105"/>
    </row>
    <row r="49" spans="2:16" x14ac:dyDescent="0.25">
      <c r="B49" s="111"/>
      <c r="C49" s="104"/>
      <c r="D49" s="116"/>
      <c r="E49" s="117"/>
      <c r="F49" s="117"/>
      <c r="G49" s="104"/>
      <c r="H49" s="116"/>
      <c r="I49" s="118"/>
      <c r="K49" s="30" t="str">
        <f t="shared" si="0"/>
        <v/>
      </c>
      <c r="L49" s="38" t="str">
        <f>IF(K49="","",MAX(L$9:L48)+1)</f>
        <v/>
      </c>
      <c r="M49" s="32" t="str">
        <f>IF(K49="","",IFERROR(INDEX(natjecanje!T$13:T$412,MATCH(B49,natjecanje!S$13:S$412,0)),""))</f>
        <v/>
      </c>
      <c r="O49" s="111"/>
      <c r="P49" s="105"/>
    </row>
    <row r="50" spans="2:16" x14ac:dyDescent="0.25">
      <c r="B50" s="111"/>
      <c r="C50" s="104"/>
      <c r="D50" s="116"/>
      <c r="E50" s="117"/>
      <c r="F50" s="117"/>
      <c r="G50" s="104"/>
      <c r="H50" s="116"/>
      <c r="I50" s="118"/>
      <c r="K50" s="30" t="str">
        <f t="shared" si="0"/>
        <v/>
      </c>
      <c r="L50" s="38" t="str">
        <f>IF(K50="","",MAX(L$9:L49)+1)</f>
        <v/>
      </c>
      <c r="M50" s="32" t="str">
        <f>IF(K50="","",IFERROR(INDEX(natjecanje!T$13:T$412,MATCH(B50,natjecanje!S$13:S$412,0)),""))</f>
        <v/>
      </c>
      <c r="O50" s="111"/>
      <c r="P50" s="105"/>
    </row>
    <row r="51" spans="2:16" x14ac:dyDescent="0.25">
      <c r="B51" s="111"/>
      <c r="C51" s="104"/>
      <c r="D51" s="116"/>
      <c r="E51" s="117"/>
      <c r="F51" s="117"/>
      <c r="G51" s="104"/>
      <c r="H51" s="116"/>
      <c r="I51" s="118"/>
      <c r="K51" s="30" t="str">
        <f t="shared" si="0"/>
        <v/>
      </c>
      <c r="L51" s="38" t="str">
        <f>IF(K51="","",MAX(L$9:L50)+1)</f>
        <v/>
      </c>
      <c r="M51" s="32" t="str">
        <f>IF(K51="","",IFERROR(INDEX(natjecanje!T$13:T$412,MATCH(B51,natjecanje!S$13:S$412,0)),""))</f>
        <v/>
      </c>
      <c r="O51" s="111"/>
      <c r="P51" s="105"/>
    </row>
    <row r="52" spans="2:16" x14ac:dyDescent="0.25">
      <c r="B52" s="111"/>
      <c r="C52" s="104"/>
      <c r="D52" s="116"/>
      <c r="E52" s="117"/>
      <c r="F52" s="117"/>
      <c r="G52" s="104"/>
      <c r="H52" s="116"/>
      <c r="I52" s="118"/>
      <c r="K52" s="30" t="str">
        <f t="shared" si="0"/>
        <v/>
      </c>
      <c r="L52" s="38" t="str">
        <f>IF(K52="","",MAX(L$9:L51)+1)</f>
        <v/>
      </c>
      <c r="M52" s="32" t="str">
        <f>IF(K52="","",IFERROR(INDEX(natjecanje!T$13:T$412,MATCH(B52,natjecanje!S$13:S$412,0)),""))</f>
        <v/>
      </c>
      <c r="O52" s="111"/>
      <c r="P52" s="105"/>
    </row>
    <row r="53" spans="2:16" x14ac:dyDescent="0.25">
      <c r="B53" s="111"/>
      <c r="C53" s="104"/>
      <c r="D53" s="116"/>
      <c r="E53" s="117"/>
      <c r="F53" s="117"/>
      <c r="G53" s="104"/>
      <c r="H53" s="116"/>
      <c r="I53" s="118"/>
      <c r="K53" s="30" t="str">
        <f t="shared" si="0"/>
        <v/>
      </c>
      <c r="L53" s="38" t="str">
        <f>IF(K53="","",MAX(L$9:L52)+1)</f>
        <v/>
      </c>
      <c r="M53" s="32" t="str">
        <f>IF(K53="","",IFERROR(INDEX(natjecanje!T$13:T$412,MATCH(B53,natjecanje!S$13:S$412,0)),""))</f>
        <v/>
      </c>
      <c r="O53" s="111"/>
      <c r="P53" s="105"/>
    </row>
    <row r="54" spans="2:16" x14ac:dyDescent="0.25">
      <c r="B54" s="111"/>
      <c r="C54" s="104"/>
      <c r="D54" s="116"/>
      <c r="E54" s="117"/>
      <c r="F54" s="117"/>
      <c r="G54" s="104"/>
      <c r="H54" s="116"/>
      <c r="I54" s="118"/>
      <c r="K54" s="30" t="str">
        <f t="shared" si="0"/>
        <v/>
      </c>
      <c r="L54" s="38" t="str">
        <f>IF(K54="","",MAX(L$9:L53)+1)</f>
        <v/>
      </c>
      <c r="M54" s="32" t="str">
        <f>IF(K54="","",IFERROR(INDEX(natjecanje!T$13:T$412,MATCH(B54,natjecanje!S$13:S$412,0)),""))</f>
        <v/>
      </c>
      <c r="O54" s="111"/>
      <c r="P54" s="105"/>
    </row>
    <row r="55" spans="2:16" x14ac:dyDescent="0.25">
      <c r="B55" s="111"/>
      <c r="C55" s="104"/>
      <c r="D55" s="116"/>
      <c r="E55" s="117"/>
      <c r="F55" s="117"/>
      <c r="G55" s="104"/>
      <c r="H55" s="116"/>
      <c r="I55" s="118"/>
      <c r="K55" s="30" t="str">
        <f t="shared" si="0"/>
        <v/>
      </c>
      <c r="L55" s="38" t="str">
        <f>IF(K55="","",MAX(L$9:L54)+1)</f>
        <v/>
      </c>
      <c r="M55" s="32" t="str">
        <f>IF(K55="","",IFERROR(INDEX(natjecanje!T$13:T$412,MATCH(B55,natjecanje!S$13:S$412,0)),""))</f>
        <v/>
      </c>
      <c r="O55" s="111"/>
      <c r="P55" s="105"/>
    </row>
    <row r="56" spans="2:16" x14ac:dyDescent="0.25">
      <c r="B56" s="111"/>
      <c r="C56" s="104"/>
      <c r="D56" s="116"/>
      <c r="E56" s="117"/>
      <c r="F56" s="117"/>
      <c r="G56" s="104"/>
      <c r="H56" s="116"/>
      <c r="I56" s="118"/>
      <c r="K56" s="30" t="str">
        <f t="shared" si="0"/>
        <v/>
      </c>
      <c r="L56" s="38" t="str">
        <f>IF(K56="","",MAX(L$9:L55)+1)</f>
        <v/>
      </c>
      <c r="M56" s="32" t="str">
        <f>IF(K56="","",IFERROR(INDEX(natjecanje!T$13:T$412,MATCH(B56,natjecanje!S$13:S$412,0)),""))</f>
        <v/>
      </c>
      <c r="O56" s="111"/>
      <c r="P56" s="105"/>
    </row>
    <row r="57" spans="2:16" x14ac:dyDescent="0.25">
      <c r="B57" s="111"/>
      <c r="C57" s="104"/>
      <c r="D57" s="116"/>
      <c r="E57" s="117"/>
      <c r="F57" s="117"/>
      <c r="G57" s="104"/>
      <c r="H57" s="116"/>
      <c r="I57" s="118"/>
      <c r="K57" s="30" t="str">
        <f t="shared" si="0"/>
        <v/>
      </c>
      <c r="L57" s="38" t="str">
        <f>IF(K57="","",MAX(L$9:L56)+1)</f>
        <v/>
      </c>
      <c r="M57" s="32" t="str">
        <f>IF(K57="","",IFERROR(INDEX(natjecanje!T$13:T$412,MATCH(B57,natjecanje!S$13:S$412,0)),""))</f>
        <v/>
      </c>
      <c r="O57" s="111"/>
      <c r="P57" s="105"/>
    </row>
    <row r="58" spans="2:16" x14ac:dyDescent="0.25">
      <c r="B58" s="111"/>
      <c r="C58" s="104"/>
      <c r="D58" s="116"/>
      <c r="E58" s="117"/>
      <c r="F58" s="117"/>
      <c r="G58" s="104"/>
      <c r="H58" s="116"/>
      <c r="I58" s="118"/>
      <c r="K58" s="30" t="str">
        <f t="shared" si="0"/>
        <v/>
      </c>
      <c r="L58" s="38" t="str">
        <f>IF(K58="","",MAX(L$9:L57)+1)</f>
        <v/>
      </c>
      <c r="M58" s="32" t="str">
        <f>IF(K58="","",IFERROR(INDEX(natjecanje!T$13:T$412,MATCH(B58,natjecanje!S$13:S$412,0)),""))</f>
        <v/>
      </c>
      <c r="O58" s="111"/>
      <c r="P58" s="105"/>
    </row>
    <row r="59" spans="2:16" ht="15.75" thickBot="1" x14ac:dyDescent="0.3">
      <c r="B59" s="112"/>
      <c r="C59" s="107"/>
      <c r="D59" s="119"/>
      <c r="E59" s="120"/>
      <c r="F59" s="120"/>
      <c r="G59" s="107"/>
      <c r="H59" s="119"/>
      <c r="I59" s="121"/>
      <c r="K59" s="33" t="str">
        <f t="shared" si="0"/>
        <v/>
      </c>
      <c r="L59" s="39" t="str">
        <f>IF(K59="","",MAX(L$9:L58)+1)</f>
        <v/>
      </c>
      <c r="M59" s="35" t="str">
        <f>IF(K59="","",IFERROR(INDEX(natjecanje!T$13:T$412,MATCH(B59,natjecanje!S$13:S$412,0)),""))</f>
        <v/>
      </c>
      <c r="O59" s="112"/>
      <c r="P59" s="108"/>
    </row>
  </sheetData>
  <sheetProtection sheet="1" objects="1" scenarios="1"/>
  <mergeCells count="5">
    <mergeCell ref="B6:I6"/>
    <mergeCell ref="O6:P6"/>
    <mergeCell ref="B4:I4"/>
    <mergeCell ref="O4:P4"/>
    <mergeCell ref="B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9" t="s">
        <v>68</v>
      </c>
      <c r="C2" s="311"/>
    </row>
    <row r="3" spans="2:3" ht="15.75" thickBot="1" x14ac:dyDescent="0.3"/>
    <row r="4" spans="2:3" ht="21.75" thickBot="1" x14ac:dyDescent="0.4">
      <c r="B4" s="318" t="s">
        <v>48</v>
      </c>
      <c r="C4" s="319"/>
    </row>
    <row r="5" spans="2:3" ht="15.75" thickBot="1" x14ac:dyDescent="0.3"/>
    <row r="6" spans="2:3" ht="110.25" customHeight="1" thickBot="1" x14ac:dyDescent="0.3">
      <c r="B6" s="333" t="s">
        <v>69</v>
      </c>
      <c r="C6" s="334"/>
    </row>
    <row r="8" spans="2:3" x14ac:dyDescent="0.25">
      <c r="B8" s="25" t="s">
        <v>62</v>
      </c>
      <c r="C8" s="26" t="s">
        <v>61</v>
      </c>
    </row>
    <row r="9" spans="2:3" ht="7.5" customHeight="1" thickBot="1" x14ac:dyDescent="0.3">
      <c r="B9" s="3"/>
      <c r="C9" s="3"/>
    </row>
    <row r="10" spans="2:3" x14ac:dyDescent="0.25">
      <c r="B10" s="100">
        <v>1</v>
      </c>
      <c r="C10" s="102" t="s">
        <v>171</v>
      </c>
    </row>
    <row r="11" spans="2:3" x14ac:dyDescent="0.25">
      <c r="B11" s="103">
        <v>2</v>
      </c>
      <c r="C11" s="105" t="s">
        <v>172</v>
      </c>
    </row>
    <row r="12" spans="2:3" x14ac:dyDescent="0.25">
      <c r="B12" s="103">
        <v>3</v>
      </c>
      <c r="C12" s="105" t="s">
        <v>173</v>
      </c>
    </row>
    <row r="13" spans="2:3" x14ac:dyDescent="0.25">
      <c r="B13" s="103">
        <v>4</v>
      </c>
      <c r="C13" s="105" t="s">
        <v>174</v>
      </c>
    </row>
    <row r="14" spans="2:3" x14ac:dyDescent="0.25">
      <c r="B14" s="103">
        <v>5</v>
      </c>
      <c r="C14" s="105" t="s">
        <v>175</v>
      </c>
    </row>
    <row r="15" spans="2:3" x14ac:dyDescent="0.25">
      <c r="B15" s="103">
        <v>6</v>
      </c>
      <c r="C15" s="105" t="s">
        <v>176</v>
      </c>
    </row>
    <row r="16" spans="2:3" x14ac:dyDescent="0.25">
      <c r="B16" s="103">
        <v>7</v>
      </c>
      <c r="C16" s="105" t="s">
        <v>177</v>
      </c>
    </row>
    <row r="17" spans="2:3" x14ac:dyDescent="0.25">
      <c r="B17" s="103">
        <v>8</v>
      </c>
      <c r="C17" s="105" t="s">
        <v>178</v>
      </c>
    </row>
    <row r="18" spans="2:3" x14ac:dyDescent="0.25">
      <c r="B18" s="103">
        <v>9</v>
      </c>
      <c r="C18" s="105" t="s">
        <v>179</v>
      </c>
    </row>
    <row r="19" spans="2:3" x14ac:dyDescent="0.25">
      <c r="B19" s="103">
        <v>10</v>
      </c>
      <c r="C19" s="105" t="s">
        <v>180</v>
      </c>
    </row>
    <row r="20" spans="2:3" x14ac:dyDescent="0.25">
      <c r="B20" s="103">
        <v>11</v>
      </c>
      <c r="C20" s="105" t="s">
        <v>181</v>
      </c>
    </row>
    <row r="21" spans="2:3" x14ac:dyDescent="0.25">
      <c r="B21" s="103">
        <v>12</v>
      </c>
      <c r="C21" s="105" t="s">
        <v>182</v>
      </c>
    </row>
    <row r="22" spans="2:3" x14ac:dyDescent="0.25">
      <c r="B22" s="103">
        <v>13</v>
      </c>
      <c r="C22" s="105" t="s">
        <v>183</v>
      </c>
    </row>
    <row r="23" spans="2:3" x14ac:dyDescent="0.25">
      <c r="B23" s="103">
        <v>14</v>
      </c>
      <c r="C23" s="105" t="s">
        <v>184</v>
      </c>
    </row>
    <row r="24" spans="2:3" x14ac:dyDescent="0.25">
      <c r="B24" s="103">
        <v>15</v>
      </c>
      <c r="C24" s="105" t="s">
        <v>185</v>
      </c>
    </row>
    <row r="25" spans="2:3" x14ac:dyDescent="0.25">
      <c r="B25" s="103">
        <v>16</v>
      </c>
      <c r="C25" s="105" t="s">
        <v>186</v>
      </c>
    </row>
    <row r="26" spans="2:3" x14ac:dyDescent="0.25">
      <c r="B26" s="103">
        <v>17</v>
      </c>
      <c r="C26" s="105" t="s">
        <v>187</v>
      </c>
    </row>
    <row r="27" spans="2:3" x14ac:dyDescent="0.25">
      <c r="B27" s="103">
        <v>18</v>
      </c>
      <c r="C27" s="105" t="s">
        <v>188</v>
      </c>
    </row>
    <row r="28" spans="2:3" x14ac:dyDescent="0.25">
      <c r="B28" s="103">
        <v>19</v>
      </c>
      <c r="C28" s="105" t="s">
        <v>189</v>
      </c>
    </row>
    <row r="29" spans="2:3" x14ac:dyDescent="0.25">
      <c r="B29" s="103">
        <v>20</v>
      </c>
      <c r="C29" s="105" t="s">
        <v>190</v>
      </c>
    </row>
    <row r="30" spans="2:3" x14ac:dyDescent="0.25">
      <c r="B30" s="103">
        <v>21</v>
      </c>
      <c r="C30" s="105" t="s">
        <v>191</v>
      </c>
    </row>
    <row r="31" spans="2:3" x14ac:dyDescent="0.25">
      <c r="B31" s="103">
        <v>22</v>
      </c>
      <c r="C31" s="105" t="s">
        <v>192</v>
      </c>
    </row>
    <row r="32" spans="2:3" x14ac:dyDescent="0.25">
      <c r="B32" s="103">
        <v>23</v>
      </c>
      <c r="C32" s="105" t="s">
        <v>193</v>
      </c>
    </row>
    <row r="33" spans="2:3" x14ac:dyDescent="0.25">
      <c r="B33" s="103">
        <v>24</v>
      </c>
      <c r="C33" s="105" t="s">
        <v>194</v>
      </c>
    </row>
    <row r="34" spans="2:3" x14ac:dyDescent="0.25">
      <c r="B34" s="103">
        <v>25</v>
      </c>
      <c r="C34" s="105" t="s">
        <v>195</v>
      </c>
    </row>
    <row r="35" spans="2:3" x14ac:dyDescent="0.25">
      <c r="B35" s="103">
        <v>26</v>
      </c>
      <c r="C35" s="105" t="s">
        <v>196</v>
      </c>
    </row>
    <row r="36" spans="2:3" x14ac:dyDescent="0.25">
      <c r="B36" s="103">
        <v>27</v>
      </c>
      <c r="C36" s="105" t="s">
        <v>197</v>
      </c>
    </row>
    <row r="37" spans="2:3" x14ac:dyDescent="0.25">
      <c r="B37" s="103">
        <v>28</v>
      </c>
      <c r="C37" s="105" t="s">
        <v>198</v>
      </c>
    </row>
    <row r="38" spans="2:3" x14ac:dyDescent="0.25">
      <c r="B38" s="103">
        <v>29</v>
      </c>
      <c r="C38" s="105" t="s">
        <v>199</v>
      </c>
    </row>
    <row r="39" spans="2:3" x14ac:dyDescent="0.25">
      <c r="B39" s="103">
        <v>30</v>
      </c>
      <c r="C39" s="105" t="s">
        <v>200</v>
      </c>
    </row>
    <row r="40" spans="2:3" x14ac:dyDescent="0.25">
      <c r="B40" s="103">
        <v>31</v>
      </c>
      <c r="C40" s="105" t="s">
        <v>201</v>
      </c>
    </row>
    <row r="41" spans="2:3" x14ac:dyDescent="0.25">
      <c r="B41" s="103">
        <v>32</v>
      </c>
      <c r="C41" s="105" t="s">
        <v>202</v>
      </c>
    </row>
    <row r="42" spans="2:3" x14ac:dyDescent="0.25">
      <c r="B42" s="103">
        <v>33</v>
      </c>
      <c r="C42" s="105" t="s">
        <v>71</v>
      </c>
    </row>
    <row r="43" spans="2:3" x14ac:dyDescent="0.25">
      <c r="B43" s="103">
        <v>34</v>
      </c>
      <c r="C43" s="105" t="s">
        <v>82</v>
      </c>
    </row>
    <row r="44" spans="2:3" x14ac:dyDescent="0.25">
      <c r="B44" s="103"/>
      <c r="C44" s="105"/>
    </row>
    <row r="45" spans="2:3" x14ac:dyDescent="0.25">
      <c r="B45" s="103"/>
      <c r="C45" s="105"/>
    </row>
    <row r="46" spans="2:3" x14ac:dyDescent="0.25">
      <c r="B46" s="103"/>
      <c r="C46" s="105"/>
    </row>
    <row r="47" spans="2:3" x14ac:dyDescent="0.25">
      <c r="B47" s="103"/>
      <c r="C47" s="105"/>
    </row>
    <row r="48" spans="2:3" x14ac:dyDescent="0.25">
      <c r="B48" s="103"/>
      <c r="C48" s="105"/>
    </row>
    <row r="49" spans="2:3" x14ac:dyDescent="0.25">
      <c r="B49" s="103"/>
      <c r="C49" s="105"/>
    </row>
    <row r="50" spans="2:3" x14ac:dyDescent="0.25">
      <c r="B50" s="103"/>
      <c r="C50" s="105"/>
    </row>
    <row r="51" spans="2:3" x14ac:dyDescent="0.25">
      <c r="B51" s="103"/>
      <c r="C51" s="105"/>
    </row>
    <row r="52" spans="2:3" x14ac:dyDescent="0.25">
      <c r="B52" s="103"/>
      <c r="C52" s="105"/>
    </row>
    <row r="53" spans="2:3" x14ac:dyDescent="0.25">
      <c r="B53" s="103"/>
      <c r="C53" s="105"/>
    </row>
    <row r="54" spans="2:3" x14ac:dyDescent="0.25">
      <c r="B54" s="103"/>
      <c r="C54" s="105"/>
    </row>
    <row r="55" spans="2:3" x14ac:dyDescent="0.25">
      <c r="B55" s="103"/>
      <c r="C55" s="105"/>
    </row>
    <row r="56" spans="2:3" x14ac:dyDescent="0.25">
      <c r="B56" s="103"/>
      <c r="C56" s="105"/>
    </row>
    <row r="57" spans="2:3" x14ac:dyDescent="0.25">
      <c r="B57" s="103"/>
      <c r="C57" s="105"/>
    </row>
    <row r="58" spans="2:3" x14ac:dyDescent="0.25">
      <c r="B58" s="103"/>
      <c r="C58" s="105"/>
    </row>
    <row r="59" spans="2:3" ht="15.75" thickBot="1" x14ac:dyDescent="0.3">
      <c r="B59" s="106"/>
      <c r="C59" s="108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9" t="s">
        <v>84</v>
      </c>
      <c r="C2" s="310"/>
      <c r="D2" s="310"/>
      <c r="E2" s="311"/>
    </row>
    <row r="3" spans="2:5" ht="15.75" thickBot="1" x14ac:dyDescent="0.3"/>
    <row r="4" spans="2:5" ht="21.75" thickBot="1" x14ac:dyDescent="0.4">
      <c r="B4" s="318" t="s">
        <v>48</v>
      </c>
      <c r="C4" s="329"/>
      <c r="D4" s="329"/>
      <c r="E4" s="319"/>
    </row>
    <row r="5" spans="2:5" ht="15.75" thickBot="1" x14ac:dyDescent="0.3"/>
    <row r="6" spans="2:5" ht="91.5" customHeight="1" thickBot="1" x14ac:dyDescent="0.3">
      <c r="B6" s="333" t="s">
        <v>231</v>
      </c>
      <c r="C6" s="335"/>
      <c r="D6" s="335"/>
      <c r="E6" s="334"/>
    </row>
    <row r="8" spans="2:5" x14ac:dyDescent="0.25">
      <c r="B8" s="25" t="s">
        <v>85</v>
      </c>
      <c r="C8" s="93" t="s">
        <v>25</v>
      </c>
      <c r="D8" s="93" t="s">
        <v>12</v>
      </c>
      <c r="E8" s="26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100">
        <v>1</v>
      </c>
      <c r="C10" s="101" t="s">
        <v>87</v>
      </c>
      <c r="D10" s="101" t="s">
        <v>88</v>
      </c>
      <c r="E10" s="102">
        <v>0</v>
      </c>
    </row>
    <row r="11" spans="2:5" x14ac:dyDescent="0.25">
      <c r="B11" s="103">
        <v>2</v>
      </c>
      <c r="C11" s="104" t="s">
        <v>89</v>
      </c>
      <c r="D11" s="104" t="s">
        <v>131</v>
      </c>
      <c r="E11" s="105" t="s">
        <v>90</v>
      </c>
    </row>
    <row r="12" spans="2:5" x14ac:dyDescent="0.25">
      <c r="B12" s="103">
        <v>3</v>
      </c>
      <c r="C12" s="104" t="s">
        <v>91</v>
      </c>
      <c r="D12" s="104" t="s">
        <v>92</v>
      </c>
      <c r="E12" s="105">
        <v>3</v>
      </c>
    </row>
    <row r="13" spans="2:5" x14ac:dyDescent="0.25">
      <c r="B13" s="103">
        <v>4</v>
      </c>
      <c r="C13" s="104" t="s">
        <v>93</v>
      </c>
      <c r="D13" s="104" t="s">
        <v>94</v>
      </c>
      <c r="E13" s="105">
        <v>2</v>
      </c>
    </row>
    <row r="14" spans="2:5" x14ac:dyDescent="0.25">
      <c r="B14" s="103">
        <v>5</v>
      </c>
      <c r="C14" s="104" t="s">
        <v>95</v>
      </c>
      <c r="D14" s="104" t="s">
        <v>96</v>
      </c>
      <c r="E14" s="105">
        <v>4</v>
      </c>
    </row>
    <row r="15" spans="2:5" x14ac:dyDescent="0.25">
      <c r="B15" s="103">
        <v>6</v>
      </c>
      <c r="C15" s="104" t="s">
        <v>97</v>
      </c>
      <c r="D15" s="104" t="s">
        <v>98</v>
      </c>
      <c r="E15" s="105">
        <v>1</v>
      </c>
    </row>
    <row r="16" spans="2:5" x14ac:dyDescent="0.25">
      <c r="B16" s="103"/>
      <c r="C16" s="104"/>
      <c r="D16" s="104"/>
      <c r="E16" s="105"/>
    </row>
    <row r="17" spans="2:5" x14ac:dyDescent="0.25">
      <c r="B17" s="103"/>
      <c r="C17" s="104"/>
      <c r="D17" s="104"/>
      <c r="E17" s="105"/>
    </row>
    <row r="18" spans="2:5" x14ac:dyDescent="0.25">
      <c r="B18" s="103"/>
      <c r="C18" s="104"/>
      <c r="D18" s="104"/>
      <c r="E18" s="105"/>
    </row>
    <row r="19" spans="2:5" x14ac:dyDescent="0.25">
      <c r="B19" s="103"/>
      <c r="C19" s="104"/>
      <c r="D19" s="104"/>
      <c r="E19" s="105"/>
    </row>
    <row r="20" spans="2:5" x14ac:dyDescent="0.25">
      <c r="B20" s="103"/>
      <c r="C20" s="104"/>
      <c r="D20" s="104"/>
      <c r="E20" s="105"/>
    </row>
    <row r="21" spans="2:5" x14ac:dyDescent="0.25">
      <c r="B21" s="103"/>
      <c r="C21" s="104"/>
      <c r="D21" s="104"/>
      <c r="E21" s="105"/>
    </row>
    <row r="22" spans="2:5" x14ac:dyDescent="0.25">
      <c r="B22" s="103"/>
      <c r="C22" s="104"/>
      <c r="D22" s="104"/>
      <c r="E22" s="105"/>
    </row>
    <row r="23" spans="2:5" x14ac:dyDescent="0.25">
      <c r="B23" s="103"/>
      <c r="C23" s="104"/>
      <c r="D23" s="104"/>
      <c r="E23" s="105"/>
    </row>
    <row r="24" spans="2:5" x14ac:dyDescent="0.25">
      <c r="B24" s="103"/>
      <c r="C24" s="104"/>
      <c r="D24" s="104"/>
      <c r="E24" s="105"/>
    </row>
    <row r="25" spans="2:5" x14ac:dyDescent="0.25">
      <c r="B25" s="103"/>
      <c r="C25" s="104"/>
      <c r="D25" s="104"/>
      <c r="E25" s="105"/>
    </row>
    <row r="26" spans="2:5" x14ac:dyDescent="0.25">
      <c r="B26" s="103"/>
      <c r="C26" s="104"/>
      <c r="D26" s="104"/>
      <c r="E26" s="105"/>
    </row>
    <row r="27" spans="2:5" x14ac:dyDescent="0.25">
      <c r="B27" s="103"/>
      <c r="C27" s="104"/>
      <c r="D27" s="104"/>
      <c r="E27" s="105"/>
    </row>
    <row r="28" spans="2:5" x14ac:dyDescent="0.25">
      <c r="B28" s="103"/>
      <c r="C28" s="104"/>
      <c r="D28" s="104"/>
      <c r="E28" s="105"/>
    </row>
    <row r="29" spans="2:5" ht="15.75" thickBot="1" x14ac:dyDescent="0.3">
      <c r="B29" s="106"/>
      <c r="C29" s="107"/>
      <c r="D29" s="107"/>
      <c r="E29" s="108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D336"/>
    </sheetView>
  </sheetViews>
  <sheetFormatPr defaultRowHeight="15" x14ac:dyDescent="0.25"/>
  <cols>
    <col min="1" max="1" width="2.85546875" style="139" customWidth="1"/>
    <col min="2" max="16384" width="9.140625" style="139"/>
  </cols>
  <sheetData>
    <row r="1" spans="2:105" ht="15.75" thickBot="1" x14ac:dyDescent="0.3">
      <c r="B1" s="139">
        <v>1</v>
      </c>
      <c r="C1" s="139">
        <f>B1+1</f>
        <v>2</v>
      </c>
      <c r="D1" s="139">
        <f t="shared" ref="D1:BO1" si="0">C1+1</f>
        <v>3</v>
      </c>
      <c r="E1" s="139">
        <f t="shared" si="0"/>
        <v>4</v>
      </c>
      <c r="F1" s="139">
        <f t="shared" si="0"/>
        <v>5</v>
      </c>
      <c r="G1" s="139">
        <f t="shared" si="0"/>
        <v>6</v>
      </c>
      <c r="H1" s="139">
        <f t="shared" si="0"/>
        <v>7</v>
      </c>
      <c r="I1" s="139">
        <f t="shared" si="0"/>
        <v>8</v>
      </c>
      <c r="J1" s="139">
        <f t="shared" si="0"/>
        <v>9</v>
      </c>
      <c r="K1" s="139">
        <f t="shared" si="0"/>
        <v>10</v>
      </c>
      <c r="L1" s="139">
        <f t="shared" si="0"/>
        <v>11</v>
      </c>
      <c r="M1" s="139">
        <f t="shared" si="0"/>
        <v>12</v>
      </c>
      <c r="N1" s="139">
        <f t="shared" si="0"/>
        <v>13</v>
      </c>
      <c r="O1" s="139">
        <f t="shared" si="0"/>
        <v>14</v>
      </c>
      <c r="P1" s="139">
        <f t="shared" si="0"/>
        <v>15</v>
      </c>
      <c r="Q1" s="139">
        <f t="shared" si="0"/>
        <v>16</v>
      </c>
      <c r="R1" s="139">
        <f t="shared" si="0"/>
        <v>17</v>
      </c>
      <c r="S1" s="139">
        <f t="shared" si="0"/>
        <v>18</v>
      </c>
      <c r="T1" s="139">
        <f t="shared" si="0"/>
        <v>19</v>
      </c>
      <c r="U1" s="139">
        <f t="shared" si="0"/>
        <v>20</v>
      </c>
      <c r="V1" s="139">
        <f t="shared" si="0"/>
        <v>21</v>
      </c>
      <c r="W1" s="139">
        <f t="shared" si="0"/>
        <v>22</v>
      </c>
      <c r="X1" s="139">
        <f t="shared" si="0"/>
        <v>23</v>
      </c>
      <c r="Y1" s="139">
        <f t="shared" si="0"/>
        <v>24</v>
      </c>
      <c r="Z1" s="139">
        <f t="shared" si="0"/>
        <v>25</v>
      </c>
      <c r="AA1" s="139">
        <f t="shared" si="0"/>
        <v>26</v>
      </c>
      <c r="AB1" s="139">
        <f t="shared" si="0"/>
        <v>27</v>
      </c>
      <c r="AC1" s="139">
        <f t="shared" si="0"/>
        <v>28</v>
      </c>
      <c r="AD1" s="139">
        <f t="shared" si="0"/>
        <v>29</v>
      </c>
      <c r="AE1" s="139">
        <f t="shared" si="0"/>
        <v>30</v>
      </c>
      <c r="AF1" s="139">
        <f t="shared" si="0"/>
        <v>31</v>
      </c>
      <c r="AG1" s="139">
        <f t="shared" si="0"/>
        <v>32</v>
      </c>
      <c r="AH1" s="139">
        <f t="shared" si="0"/>
        <v>33</v>
      </c>
      <c r="AI1" s="139">
        <f t="shared" si="0"/>
        <v>34</v>
      </c>
      <c r="AJ1" s="139">
        <f t="shared" si="0"/>
        <v>35</v>
      </c>
      <c r="AK1" s="139">
        <f t="shared" si="0"/>
        <v>36</v>
      </c>
      <c r="AL1" s="139">
        <f t="shared" si="0"/>
        <v>37</v>
      </c>
      <c r="AM1" s="139">
        <f t="shared" si="0"/>
        <v>38</v>
      </c>
      <c r="AN1" s="139">
        <f t="shared" si="0"/>
        <v>39</v>
      </c>
      <c r="AO1" s="139">
        <f t="shared" si="0"/>
        <v>40</v>
      </c>
      <c r="AP1" s="139">
        <f t="shared" si="0"/>
        <v>41</v>
      </c>
      <c r="AQ1" s="139">
        <f t="shared" si="0"/>
        <v>42</v>
      </c>
      <c r="AR1" s="139">
        <f t="shared" si="0"/>
        <v>43</v>
      </c>
      <c r="AS1" s="139">
        <f t="shared" si="0"/>
        <v>44</v>
      </c>
      <c r="AT1" s="139">
        <f t="shared" si="0"/>
        <v>45</v>
      </c>
      <c r="AU1" s="139">
        <f t="shared" si="0"/>
        <v>46</v>
      </c>
      <c r="AV1" s="139">
        <f t="shared" si="0"/>
        <v>47</v>
      </c>
      <c r="AW1" s="139">
        <f t="shared" si="0"/>
        <v>48</v>
      </c>
      <c r="AX1" s="139">
        <f t="shared" si="0"/>
        <v>49</v>
      </c>
      <c r="AY1" s="139">
        <f t="shared" si="0"/>
        <v>50</v>
      </c>
      <c r="AZ1" s="139">
        <f t="shared" si="0"/>
        <v>51</v>
      </c>
      <c r="BA1" s="139">
        <f t="shared" si="0"/>
        <v>52</v>
      </c>
      <c r="BB1" s="139">
        <f t="shared" si="0"/>
        <v>53</v>
      </c>
      <c r="BC1" s="139">
        <f t="shared" si="0"/>
        <v>54</v>
      </c>
      <c r="BD1" s="139">
        <f t="shared" si="0"/>
        <v>55</v>
      </c>
      <c r="BE1" s="139">
        <f t="shared" si="0"/>
        <v>56</v>
      </c>
      <c r="BF1" s="139">
        <f t="shared" si="0"/>
        <v>57</v>
      </c>
      <c r="BG1" s="139">
        <f t="shared" si="0"/>
        <v>58</v>
      </c>
      <c r="BH1" s="139">
        <f t="shared" si="0"/>
        <v>59</v>
      </c>
      <c r="BI1" s="139">
        <f t="shared" si="0"/>
        <v>60</v>
      </c>
      <c r="BJ1" s="139">
        <f t="shared" si="0"/>
        <v>61</v>
      </c>
      <c r="BK1" s="139">
        <f t="shared" si="0"/>
        <v>62</v>
      </c>
      <c r="BL1" s="139">
        <f t="shared" si="0"/>
        <v>63</v>
      </c>
      <c r="BM1" s="139">
        <f t="shared" si="0"/>
        <v>64</v>
      </c>
      <c r="BN1" s="139">
        <f t="shared" si="0"/>
        <v>65</v>
      </c>
      <c r="BO1" s="139">
        <f t="shared" si="0"/>
        <v>66</v>
      </c>
      <c r="BP1" s="139">
        <f t="shared" ref="BP1:DA1" si="1">BO1+1</f>
        <v>67</v>
      </c>
      <c r="BQ1" s="139">
        <f t="shared" si="1"/>
        <v>68</v>
      </c>
      <c r="BR1" s="139">
        <f t="shared" si="1"/>
        <v>69</v>
      </c>
      <c r="BS1" s="139">
        <f t="shared" si="1"/>
        <v>70</v>
      </c>
      <c r="BT1" s="139">
        <f t="shared" si="1"/>
        <v>71</v>
      </c>
      <c r="BU1" s="139">
        <f t="shared" si="1"/>
        <v>72</v>
      </c>
      <c r="BV1" s="139">
        <f t="shared" si="1"/>
        <v>73</v>
      </c>
      <c r="BW1" s="139">
        <f t="shared" si="1"/>
        <v>74</v>
      </c>
      <c r="BX1" s="139">
        <f t="shared" si="1"/>
        <v>75</v>
      </c>
      <c r="BY1" s="139">
        <f t="shared" si="1"/>
        <v>76</v>
      </c>
      <c r="BZ1" s="139">
        <f t="shared" si="1"/>
        <v>77</v>
      </c>
      <c r="CA1" s="139">
        <f t="shared" si="1"/>
        <v>78</v>
      </c>
      <c r="CB1" s="139">
        <f t="shared" si="1"/>
        <v>79</v>
      </c>
      <c r="CC1" s="139">
        <f t="shared" si="1"/>
        <v>80</v>
      </c>
      <c r="CD1" s="139">
        <f t="shared" si="1"/>
        <v>81</v>
      </c>
      <c r="CE1" s="139">
        <f t="shared" si="1"/>
        <v>82</v>
      </c>
      <c r="CF1" s="139">
        <f t="shared" si="1"/>
        <v>83</v>
      </c>
      <c r="CG1" s="139">
        <f t="shared" si="1"/>
        <v>84</v>
      </c>
      <c r="CH1" s="139">
        <f t="shared" si="1"/>
        <v>85</v>
      </c>
      <c r="CI1" s="139">
        <f t="shared" si="1"/>
        <v>86</v>
      </c>
      <c r="CJ1" s="139">
        <f t="shared" si="1"/>
        <v>87</v>
      </c>
      <c r="CK1" s="139">
        <f t="shared" si="1"/>
        <v>88</v>
      </c>
      <c r="CL1" s="139">
        <f t="shared" si="1"/>
        <v>89</v>
      </c>
      <c r="CM1" s="139">
        <f t="shared" si="1"/>
        <v>90</v>
      </c>
      <c r="CN1" s="139">
        <f t="shared" si="1"/>
        <v>91</v>
      </c>
      <c r="CO1" s="139">
        <f t="shared" si="1"/>
        <v>92</v>
      </c>
      <c r="CP1" s="139">
        <f t="shared" si="1"/>
        <v>93</v>
      </c>
      <c r="CQ1" s="139">
        <f t="shared" si="1"/>
        <v>94</v>
      </c>
      <c r="CR1" s="139">
        <f t="shared" si="1"/>
        <v>95</v>
      </c>
      <c r="CS1" s="139">
        <f t="shared" si="1"/>
        <v>96</v>
      </c>
      <c r="CT1" s="139">
        <f t="shared" si="1"/>
        <v>97</v>
      </c>
      <c r="CU1" s="139">
        <f t="shared" si="1"/>
        <v>98</v>
      </c>
      <c r="CV1" s="139">
        <f t="shared" si="1"/>
        <v>99</v>
      </c>
      <c r="CW1" s="139">
        <f t="shared" si="1"/>
        <v>100</v>
      </c>
      <c r="CX1" s="139">
        <f t="shared" si="1"/>
        <v>101</v>
      </c>
      <c r="CY1" s="139">
        <f t="shared" si="1"/>
        <v>102</v>
      </c>
      <c r="CZ1" s="139">
        <f t="shared" si="1"/>
        <v>103</v>
      </c>
      <c r="DA1" s="139">
        <f t="shared" si="1"/>
        <v>104</v>
      </c>
    </row>
    <row r="2" spans="2:105" x14ac:dyDescent="0.25">
      <c r="B2" s="167" t="s">
        <v>286</v>
      </c>
      <c r="C2" s="168" t="s">
        <v>287</v>
      </c>
      <c r="D2" s="168" t="s">
        <v>288</v>
      </c>
      <c r="E2" s="168" t="s">
        <v>289</v>
      </c>
      <c r="F2" s="168" t="s">
        <v>290</v>
      </c>
      <c r="G2" s="168" t="s">
        <v>291</v>
      </c>
      <c r="H2" s="168" t="s">
        <v>292</v>
      </c>
      <c r="I2" s="168" t="s">
        <v>293</v>
      </c>
      <c r="J2" s="168" t="s">
        <v>294</v>
      </c>
      <c r="K2" s="168" t="s">
        <v>295</v>
      </c>
      <c r="L2" s="168" t="s">
        <v>296</v>
      </c>
      <c r="M2" s="168" t="s">
        <v>297</v>
      </c>
      <c r="N2" s="168" t="s">
        <v>298</v>
      </c>
      <c r="O2" s="168" t="s">
        <v>299</v>
      </c>
      <c r="P2" s="168" t="s">
        <v>300</v>
      </c>
      <c r="Q2" s="168" t="s">
        <v>301</v>
      </c>
      <c r="R2" s="168" t="s">
        <v>302</v>
      </c>
      <c r="S2" s="168" t="s">
        <v>303</v>
      </c>
      <c r="T2" s="168" t="s">
        <v>304</v>
      </c>
      <c r="U2" s="168" t="s">
        <v>305</v>
      </c>
      <c r="V2" s="168" t="s">
        <v>306</v>
      </c>
      <c r="W2" s="168" t="s">
        <v>307</v>
      </c>
      <c r="X2" s="168" t="s">
        <v>308</v>
      </c>
      <c r="Y2" s="168" t="s">
        <v>309</v>
      </c>
      <c r="Z2" s="168" t="s">
        <v>310</v>
      </c>
      <c r="AA2" s="168" t="s">
        <v>311</v>
      </c>
      <c r="AB2" s="168" t="s">
        <v>312</v>
      </c>
      <c r="AC2" s="168" t="s">
        <v>313</v>
      </c>
      <c r="AD2" s="168" t="s">
        <v>314</v>
      </c>
      <c r="AE2" s="168" t="s">
        <v>315</v>
      </c>
      <c r="AF2" s="168" t="s">
        <v>301</v>
      </c>
      <c r="AG2" s="168" t="s">
        <v>316</v>
      </c>
      <c r="AH2" s="168" t="s">
        <v>317</v>
      </c>
      <c r="AI2" s="168" t="s">
        <v>318</v>
      </c>
      <c r="AJ2" s="168" t="s">
        <v>319</v>
      </c>
      <c r="AK2" s="168" t="s">
        <v>320</v>
      </c>
      <c r="AL2" s="168" t="s">
        <v>321</v>
      </c>
      <c r="AM2" s="168" t="s">
        <v>322</v>
      </c>
      <c r="AN2" s="168" t="s">
        <v>323</v>
      </c>
      <c r="AO2" s="168" t="s">
        <v>324</v>
      </c>
      <c r="AP2" s="168" t="s">
        <v>38</v>
      </c>
      <c r="AQ2" s="168" t="s">
        <v>39</v>
      </c>
      <c r="AR2" s="168" t="s">
        <v>325</v>
      </c>
      <c r="AS2" s="168" t="s">
        <v>326</v>
      </c>
      <c r="AT2" s="168" t="s">
        <v>327</v>
      </c>
      <c r="AU2" s="168" t="s">
        <v>328</v>
      </c>
      <c r="AV2" s="168" t="s">
        <v>329</v>
      </c>
      <c r="AW2" s="168" t="s">
        <v>330</v>
      </c>
      <c r="AX2" s="168" t="s">
        <v>331</v>
      </c>
      <c r="AY2" s="168" t="s">
        <v>332</v>
      </c>
      <c r="AZ2" s="168" t="s">
        <v>333</v>
      </c>
      <c r="BA2" s="168" t="s">
        <v>334</v>
      </c>
      <c r="BB2" s="168" t="s">
        <v>335</v>
      </c>
      <c r="BC2" s="168" t="s">
        <v>336</v>
      </c>
      <c r="BD2" s="168" t="s">
        <v>337</v>
      </c>
      <c r="BE2" s="168" t="s">
        <v>338</v>
      </c>
      <c r="BF2" s="168" t="s">
        <v>339</v>
      </c>
      <c r="BG2" s="168" t="s">
        <v>340</v>
      </c>
      <c r="BH2" s="168" t="s">
        <v>341</v>
      </c>
      <c r="BI2" s="168" t="s">
        <v>342</v>
      </c>
      <c r="BJ2" s="168" t="s">
        <v>343</v>
      </c>
      <c r="BK2" s="168" t="s">
        <v>344</v>
      </c>
      <c r="BL2" s="168" t="s">
        <v>345</v>
      </c>
      <c r="BM2" s="168" t="s">
        <v>346</v>
      </c>
      <c r="BN2" s="168" t="s">
        <v>347</v>
      </c>
      <c r="BO2" s="168" t="s">
        <v>348</v>
      </c>
      <c r="BP2" s="168" t="s">
        <v>349</v>
      </c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9"/>
    </row>
    <row r="3" spans="2:105" x14ac:dyDescent="0.25">
      <c r="B3" s="170"/>
      <c r="C3" s="140" t="s">
        <v>350</v>
      </c>
      <c r="D3" s="140" t="s">
        <v>351</v>
      </c>
      <c r="E3" s="140" t="s">
        <v>352</v>
      </c>
      <c r="F3" s="140" t="s">
        <v>353</v>
      </c>
      <c r="G3" s="140"/>
      <c r="H3" s="140" t="s">
        <v>354</v>
      </c>
      <c r="I3" s="140"/>
      <c r="J3" s="140" t="s">
        <v>355</v>
      </c>
      <c r="K3" s="140" t="s">
        <v>356</v>
      </c>
      <c r="L3" s="140" t="s">
        <v>357</v>
      </c>
      <c r="M3" s="140" t="s">
        <v>358</v>
      </c>
      <c r="N3" s="140" t="s">
        <v>355</v>
      </c>
      <c r="O3" s="140" t="s">
        <v>359</v>
      </c>
      <c r="P3" s="140" t="s">
        <v>360</v>
      </c>
      <c r="Q3" s="140" t="s">
        <v>361</v>
      </c>
      <c r="R3" s="140" t="s">
        <v>362</v>
      </c>
      <c r="S3" s="140" t="s">
        <v>363</v>
      </c>
      <c r="T3" s="140" t="s">
        <v>364</v>
      </c>
      <c r="U3" s="140" t="s">
        <v>364</v>
      </c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 t="s">
        <v>355</v>
      </c>
      <c r="AL3" s="140" t="s">
        <v>365</v>
      </c>
      <c r="AM3" s="140" t="s">
        <v>355</v>
      </c>
      <c r="AN3" s="140" t="s">
        <v>366</v>
      </c>
      <c r="AO3" s="140" t="s">
        <v>364</v>
      </c>
      <c r="AP3" s="140" t="s">
        <v>367</v>
      </c>
      <c r="AQ3" s="140" t="s">
        <v>368</v>
      </c>
      <c r="AR3" s="140" t="s">
        <v>369</v>
      </c>
      <c r="AS3" s="140" t="s">
        <v>370</v>
      </c>
      <c r="AT3" s="140"/>
      <c r="AU3" s="140" t="s">
        <v>357</v>
      </c>
      <c r="AV3" s="140" t="s">
        <v>371</v>
      </c>
      <c r="AW3" s="140" t="s">
        <v>372</v>
      </c>
      <c r="AX3" s="140" t="s">
        <v>373</v>
      </c>
      <c r="AY3" s="140" t="s">
        <v>374</v>
      </c>
      <c r="AZ3" s="140" t="s">
        <v>375</v>
      </c>
      <c r="BA3" s="140" t="s">
        <v>376</v>
      </c>
      <c r="BB3" s="140" t="s">
        <v>377</v>
      </c>
      <c r="BC3" s="140" t="s">
        <v>378</v>
      </c>
      <c r="BD3" s="140" t="s">
        <v>379</v>
      </c>
      <c r="BE3" s="140" t="s">
        <v>380</v>
      </c>
      <c r="BF3" s="140" t="s">
        <v>381</v>
      </c>
      <c r="BG3" s="140" t="s">
        <v>382</v>
      </c>
      <c r="BH3" s="140" t="s">
        <v>383</v>
      </c>
      <c r="BI3" s="140" t="s">
        <v>384</v>
      </c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71"/>
    </row>
    <row r="4" spans="2:105" x14ac:dyDescent="0.25">
      <c r="B4" s="172"/>
      <c r="C4" s="141" t="s">
        <v>385</v>
      </c>
      <c r="D4" s="141" t="s">
        <v>386</v>
      </c>
      <c r="E4" s="141" t="s">
        <v>387</v>
      </c>
      <c r="F4" s="141" t="s">
        <v>388</v>
      </c>
      <c r="G4" s="141"/>
      <c r="H4" s="141" t="s">
        <v>354</v>
      </c>
      <c r="I4" s="141"/>
      <c r="J4" s="141" t="s">
        <v>355</v>
      </c>
      <c r="K4" s="141" t="s">
        <v>389</v>
      </c>
      <c r="L4" s="141" t="s">
        <v>390</v>
      </c>
      <c r="M4" s="141" t="s">
        <v>391</v>
      </c>
      <c r="N4" s="141" t="s">
        <v>355</v>
      </c>
      <c r="O4" s="141" t="s">
        <v>392</v>
      </c>
      <c r="P4" s="141" t="s">
        <v>393</v>
      </c>
      <c r="Q4" s="141" t="s">
        <v>393</v>
      </c>
      <c r="R4" s="141" t="s">
        <v>362</v>
      </c>
      <c r="S4" s="141" t="s">
        <v>363</v>
      </c>
      <c r="T4" s="141" t="s">
        <v>364</v>
      </c>
      <c r="U4" s="141" t="s">
        <v>364</v>
      </c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 t="s">
        <v>355</v>
      </c>
      <c r="AL4" s="141" t="s">
        <v>365</v>
      </c>
      <c r="AM4" s="141" t="s">
        <v>355</v>
      </c>
      <c r="AN4" s="141" t="s">
        <v>366</v>
      </c>
      <c r="AO4" s="141" t="s">
        <v>364</v>
      </c>
      <c r="AP4" s="141" t="s">
        <v>367</v>
      </c>
      <c r="AQ4" s="141" t="s">
        <v>368</v>
      </c>
      <c r="AR4" s="141" t="s">
        <v>369</v>
      </c>
      <c r="AS4" s="141" t="s">
        <v>394</v>
      </c>
      <c r="AT4" s="141"/>
      <c r="AU4" s="141" t="s">
        <v>390</v>
      </c>
      <c r="AV4" s="141" t="s">
        <v>371</v>
      </c>
      <c r="AW4" s="141" t="s">
        <v>395</v>
      </c>
      <c r="AX4" s="141" t="s">
        <v>373</v>
      </c>
      <c r="AY4" s="141" t="s">
        <v>396</v>
      </c>
      <c r="AZ4" s="141" t="s">
        <v>375</v>
      </c>
      <c r="BA4" s="141" t="s">
        <v>397</v>
      </c>
      <c r="BB4" s="141" t="s">
        <v>377</v>
      </c>
      <c r="BC4" s="141" t="s">
        <v>398</v>
      </c>
      <c r="BD4" s="141" t="s">
        <v>379</v>
      </c>
      <c r="BE4" s="141" t="s">
        <v>399</v>
      </c>
      <c r="BF4" s="141" t="s">
        <v>381</v>
      </c>
      <c r="BG4" s="141" t="s">
        <v>400</v>
      </c>
      <c r="BH4" s="141" t="s">
        <v>383</v>
      </c>
      <c r="BI4" s="141" t="s">
        <v>401</v>
      </c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73"/>
    </row>
    <row r="5" spans="2:105" x14ac:dyDescent="0.25">
      <c r="B5" s="172"/>
      <c r="C5" s="141" t="s">
        <v>402</v>
      </c>
      <c r="D5" s="141" t="s">
        <v>403</v>
      </c>
      <c r="E5" s="141" t="s">
        <v>404</v>
      </c>
      <c r="F5" s="141" t="s">
        <v>405</v>
      </c>
      <c r="G5" s="141"/>
      <c r="H5" s="141" t="s">
        <v>354</v>
      </c>
      <c r="I5" s="141"/>
      <c r="J5" s="141" t="s">
        <v>355</v>
      </c>
      <c r="K5" s="141" t="s">
        <v>406</v>
      </c>
      <c r="L5" s="141" t="s">
        <v>407</v>
      </c>
      <c r="M5" s="141" t="s">
        <v>408</v>
      </c>
      <c r="N5" s="141" t="s">
        <v>355</v>
      </c>
      <c r="O5" s="141" t="s">
        <v>409</v>
      </c>
      <c r="P5" s="141" t="s">
        <v>410</v>
      </c>
      <c r="Q5" s="141" t="s">
        <v>410</v>
      </c>
      <c r="R5" s="141" t="s">
        <v>362</v>
      </c>
      <c r="S5" s="141" t="s">
        <v>363</v>
      </c>
      <c r="T5" s="141" t="s">
        <v>364</v>
      </c>
      <c r="U5" s="141" t="s">
        <v>364</v>
      </c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 t="s">
        <v>355</v>
      </c>
      <c r="AL5" s="141" t="s">
        <v>365</v>
      </c>
      <c r="AM5" s="141" t="s">
        <v>355</v>
      </c>
      <c r="AN5" s="141" t="s">
        <v>366</v>
      </c>
      <c r="AO5" s="141" t="s">
        <v>364</v>
      </c>
      <c r="AP5" s="141" t="s">
        <v>367</v>
      </c>
      <c r="AQ5" s="141" t="s">
        <v>368</v>
      </c>
      <c r="AR5" s="141" t="s">
        <v>369</v>
      </c>
      <c r="AS5" s="141" t="s">
        <v>359</v>
      </c>
      <c r="AT5" s="141"/>
      <c r="AU5" s="141" t="s">
        <v>407</v>
      </c>
      <c r="AV5" s="141" t="s">
        <v>371</v>
      </c>
      <c r="AW5" s="141" t="s">
        <v>411</v>
      </c>
      <c r="AX5" s="141" t="s">
        <v>373</v>
      </c>
      <c r="AY5" s="141" t="s">
        <v>412</v>
      </c>
      <c r="AZ5" s="141" t="s">
        <v>375</v>
      </c>
      <c r="BA5" s="141" t="s">
        <v>413</v>
      </c>
      <c r="BB5" s="141" t="s">
        <v>377</v>
      </c>
      <c r="BC5" s="141" t="s">
        <v>414</v>
      </c>
      <c r="BD5" s="141" t="s">
        <v>379</v>
      </c>
      <c r="BE5" s="141" t="s">
        <v>415</v>
      </c>
      <c r="BF5" s="141" t="s">
        <v>381</v>
      </c>
      <c r="BG5" s="141" t="s">
        <v>416</v>
      </c>
      <c r="BH5" s="141" t="s">
        <v>383</v>
      </c>
      <c r="BI5" s="141" t="s">
        <v>417</v>
      </c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73"/>
    </row>
    <row r="6" spans="2:105" x14ac:dyDescent="0.25">
      <c r="B6" s="172"/>
      <c r="C6" s="141" t="s">
        <v>418</v>
      </c>
      <c r="D6" s="141" t="s">
        <v>419</v>
      </c>
      <c r="E6" s="141" t="s">
        <v>420</v>
      </c>
      <c r="F6" s="141" t="s">
        <v>421</v>
      </c>
      <c r="G6" s="141"/>
      <c r="H6" s="141" t="s">
        <v>354</v>
      </c>
      <c r="I6" s="141"/>
      <c r="J6" s="141" t="s">
        <v>355</v>
      </c>
      <c r="K6" s="141" t="s">
        <v>422</v>
      </c>
      <c r="L6" s="141" t="s">
        <v>423</v>
      </c>
      <c r="M6" s="141" t="s">
        <v>424</v>
      </c>
      <c r="N6" s="141" t="s">
        <v>355</v>
      </c>
      <c r="O6" s="141" t="s">
        <v>394</v>
      </c>
      <c r="P6" s="141" t="s">
        <v>425</v>
      </c>
      <c r="Q6" s="141" t="s">
        <v>426</v>
      </c>
      <c r="R6" s="141" t="s">
        <v>362</v>
      </c>
      <c r="S6" s="141" t="s">
        <v>363</v>
      </c>
      <c r="T6" s="141" t="s">
        <v>364</v>
      </c>
      <c r="U6" s="141" t="s">
        <v>364</v>
      </c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 t="s">
        <v>355</v>
      </c>
      <c r="AL6" s="141" t="s">
        <v>365</v>
      </c>
      <c r="AM6" s="141" t="s">
        <v>355</v>
      </c>
      <c r="AN6" s="141" t="s">
        <v>366</v>
      </c>
      <c r="AO6" s="141" t="s">
        <v>364</v>
      </c>
      <c r="AP6" s="141" t="s">
        <v>367</v>
      </c>
      <c r="AQ6" s="141" t="s">
        <v>368</v>
      </c>
      <c r="AR6" s="141" t="s">
        <v>369</v>
      </c>
      <c r="AS6" s="141" t="s">
        <v>427</v>
      </c>
      <c r="AT6" s="141"/>
      <c r="AU6" s="141" t="s">
        <v>423</v>
      </c>
      <c r="AV6" s="141" t="s">
        <v>371</v>
      </c>
      <c r="AW6" s="141" t="s">
        <v>428</v>
      </c>
      <c r="AX6" s="141" t="s">
        <v>373</v>
      </c>
      <c r="AY6" s="141" t="s">
        <v>429</v>
      </c>
      <c r="AZ6" s="141" t="s">
        <v>375</v>
      </c>
      <c r="BA6" s="141" t="s">
        <v>430</v>
      </c>
      <c r="BB6" s="141" t="s">
        <v>377</v>
      </c>
      <c r="BC6" s="141" t="s">
        <v>431</v>
      </c>
      <c r="BD6" s="141" t="s">
        <v>379</v>
      </c>
      <c r="BE6" s="141" t="s">
        <v>432</v>
      </c>
      <c r="BF6" s="141" t="s">
        <v>381</v>
      </c>
      <c r="BG6" s="141" t="s">
        <v>433</v>
      </c>
      <c r="BH6" s="141" t="s">
        <v>383</v>
      </c>
      <c r="BI6" s="141" t="s">
        <v>434</v>
      </c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73"/>
    </row>
    <row r="7" spans="2:105" x14ac:dyDescent="0.25">
      <c r="B7" s="172"/>
      <c r="C7" s="141" t="s">
        <v>435</v>
      </c>
      <c r="D7" s="141" t="s">
        <v>436</v>
      </c>
      <c r="E7" s="141" t="s">
        <v>437</v>
      </c>
      <c r="F7" s="141" t="s">
        <v>438</v>
      </c>
      <c r="G7" s="141"/>
      <c r="H7" s="141" t="s">
        <v>354</v>
      </c>
      <c r="I7" s="141"/>
      <c r="J7" s="141" t="s">
        <v>355</v>
      </c>
      <c r="K7" s="141" t="s">
        <v>439</v>
      </c>
      <c r="L7" s="141" t="s">
        <v>440</v>
      </c>
      <c r="M7" s="141" t="s">
        <v>441</v>
      </c>
      <c r="N7" s="141" t="s">
        <v>355</v>
      </c>
      <c r="O7" s="141" t="s">
        <v>359</v>
      </c>
      <c r="P7" s="141" t="s">
        <v>360</v>
      </c>
      <c r="Q7" s="141" t="s">
        <v>361</v>
      </c>
      <c r="R7" s="141" t="s">
        <v>362</v>
      </c>
      <c r="S7" s="141" t="s">
        <v>363</v>
      </c>
      <c r="T7" s="141" t="s">
        <v>364</v>
      </c>
      <c r="U7" s="141" t="s">
        <v>364</v>
      </c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 t="s">
        <v>355</v>
      </c>
      <c r="AL7" s="141" t="s">
        <v>365</v>
      </c>
      <c r="AM7" s="141" t="s">
        <v>355</v>
      </c>
      <c r="AN7" s="141" t="s">
        <v>366</v>
      </c>
      <c r="AO7" s="141" t="s">
        <v>364</v>
      </c>
      <c r="AP7" s="141" t="s">
        <v>367</v>
      </c>
      <c r="AQ7" s="141" t="s">
        <v>368</v>
      </c>
      <c r="AR7" s="141" t="s">
        <v>369</v>
      </c>
      <c r="AS7" s="141" t="s">
        <v>442</v>
      </c>
      <c r="AT7" s="141"/>
      <c r="AU7" s="141" t="s">
        <v>440</v>
      </c>
      <c r="AV7" s="141" t="s">
        <v>371</v>
      </c>
      <c r="AW7" s="141" t="s">
        <v>443</v>
      </c>
      <c r="AX7" s="141" t="s">
        <v>373</v>
      </c>
      <c r="AY7" s="141" t="s">
        <v>444</v>
      </c>
      <c r="AZ7" s="141" t="s">
        <v>375</v>
      </c>
      <c r="BA7" s="141" t="s">
        <v>445</v>
      </c>
      <c r="BB7" s="141" t="s">
        <v>377</v>
      </c>
      <c r="BC7" s="141" t="s">
        <v>446</v>
      </c>
      <c r="BD7" s="141" t="s">
        <v>379</v>
      </c>
      <c r="BE7" s="141" t="s">
        <v>447</v>
      </c>
      <c r="BF7" s="141" t="s">
        <v>381</v>
      </c>
      <c r="BG7" s="141" t="s">
        <v>448</v>
      </c>
      <c r="BH7" s="141" t="s">
        <v>383</v>
      </c>
      <c r="BI7" s="141" t="s">
        <v>449</v>
      </c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73"/>
    </row>
    <row r="8" spans="2:105" x14ac:dyDescent="0.25">
      <c r="B8" s="172"/>
      <c r="C8" s="141" t="s">
        <v>450</v>
      </c>
      <c r="D8" s="141" t="s">
        <v>451</v>
      </c>
      <c r="E8" s="141" t="s">
        <v>452</v>
      </c>
      <c r="F8" s="141" t="s">
        <v>453</v>
      </c>
      <c r="G8" s="141"/>
      <c r="H8" s="141" t="s">
        <v>354</v>
      </c>
      <c r="I8" s="141"/>
      <c r="J8" s="141" t="s">
        <v>355</v>
      </c>
      <c r="K8" s="141" t="s">
        <v>454</v>
      </c>
      <c r="L8" s="141"/>
      <c r="M8" s="141"/>
      <c r="N8" s="141" t="s">
        <v>394</v>
      </c>
      <c r="O8" s="141" t="s">
        <v>427</v>
      </c>
      <c r="P8" s="141" t="s">
        <v>455</v>
      </c>
      <c r="Q8" s="141" t="s">
        <v>456</v>
      </c>
      <c r="R8" s="141" t="s">
        <v>362</v>
      </c>
      <c r="S8" s="141" t="s">
        <v>363</v>
      </c>
      <c r="T8" s="141" t="s">
        <v>364</v>
      </c>
      <c r="U8" s="141" t="s">
        <v>364</v>
      </c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 t="s">
        <v>355</v>
      </c>
      <c r="AL8" s="141" t="s">
        <v>365</v>
      </c>
      <c r="AM8" s="141" t="s">
        <v>355</v>
      </c>
      <c r="AN8" s="141" t="s">
        <v>366</v>
      </c>
      <c r="AO8" s="141" t="s">
        <v>364</v>
      </c>
      <c r="AP8" s="141" t="s">
        <v>367</v>
      </c>
      <c r="AQ8" s="141" t="s">
        <v>368</v>
      </c>
      <c r="AR8" s="141" t="s">
        <v>369</v>
      </c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73"/>
    </row>
    <row r="9" spans="2:105" x14ac:dyDescent="0.25">
      <c r="B9" s="172"/>
      <c r="C9" s="141" t="s">
        <v>457</v>
      </c>
      <c r="D9" s="141" t="s">
        <v>458</v>
      </c>
      <c r="E9" s="141" t="s">
        <v>459</v>
      </c>
      <c r="F9" s="141" t="s">
        <v>353</v>
      </c>
      <c r="G9" s="141"/>
      <c r="H9" s="141" t="s">
        <v>354</v>
      </c>
      <c r="I9" s="141"/>
      <c r="J9" s="141" t="s">
        <v>355</v>
      </c>
      <c r="K9" s="141" t="s">
        <v>460</v>
      </c>
      <c r="L9" s="141"/>
      <c r="M9" s="141"/>
      <c r="N9" s="141" t="s">
        <v>370</v>
      </c>
      <c r="O9" s="141" t="s">
        <v>359</v>
      </c>
      <c r="P9" s="141" t="s">
        <v>360</v>
      </c>
      <c r="Q9" s="141" t="s">
        <v>361</v>
      </c>
      <c r="R9" s="141" t="s">
        <v>362</v>
      </c>
      <c r="S9" s="141" t="s">
        <v>363</v>
      </c>
      <c r="T9" s="141" t="s">
        <v>364</v>
      </c>
      <c r="U9" s="141" t="s">
        <v>364</v>
      </c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 t="s">
        <v>355</v>
      </c>
      <c r="AL9" s="141" t="s">
        <v>365</v>
      </c>
      <c r="AM9" s="141" t="s">
        <v>355</v>
      </c>
      <c r="AN9" s="141" t="s">
        <v>366</v>
      </c>
      <c r="AO9" s="141" t="s">
        <v>364</v>
      </c>
      <c r="AP9" s="141" t="s">
        <v>367</v>
      </c>
      <c r="AQ9" s="141" t="s">
        <v>368</v>
      </c>
      <c r="AR9" s="141" t="s">
        <v>369</v>
      </c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73"/>
    </row>
    <row r="10" spans="2:105" x14ac:dyDescent="0.25">
      <c r="B10" s="172"/>
      <c r="C10" s="141" t="s">
        <v>461</v>
      </c>
      <c r="D10" s="141" t="s">
        <v>462</v>
      </c>
      <c r="E10" s="141" t="s">
        <v>463</v>
      </c>
      <c r="F10" s="141" t="s">
        <v>464</v>
      </c>
      <c r="G10" s="141"/>
      <c r="H10" s="141" t="s">
        <v>354</v>
      </c>
      <c r="I10" s="141"/>
      <c r="J10" s="141" t="s">
        <v>355</v>
      </c>
      <c r="K10" s="141" t="s">
        <v>465</v>
      </c>
      <c r="L10" s="141"/>
      <c r="M10" s="141"/>
      <c r="N10" s="141" t="s">
        <v>370</v>
      </c>
      <c r="O10" s="141" t="s">
        <v>394</v>
      </c>
      <c r="P10" s="141" t="s">
        <v>425</v>
      </c>
      <c r="Q10" s="141" t="s">
        <v>426</v>
      </c>
      <c r="R10" s="141" t="s">
        <v>362</v>
      </c>
      <c r="S10" s="141" t="s">
        <v>363</v>
      </c>
      <c r="T10" s="141" t="s">
        <v>364</v>
      </c>
      <c r="U10" s="141" t="s">
        <v>364</v>
      </c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 t="s">
        <v>355</v>
      </c>
      <c r="AL10" s="141" t="s">
        <v>365</v>
      </c>
      <c r="AM10" s="141" t="s">
        <v>355</v>
      </c>
      <c r="AN10" s="141" t="s">
        <v>366</v>
      </c>
      <c r="AO10" s="141" t="s">
        <v>364</v>
      </c>
      <c r="AP10" s="141" t="s">
        <v>367</v>
      </c>
      <c r="AQ10" s="141" t="s">
        <v>368</v>
      </c>
      <c r="AR10" s="141" t="s">
        <v>369</v>
      </c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73"/>
    </row>
    <row r="11" spans="2:105" x14ac:dyDescent="0.25">
      <c r="B11" s="172"/>
      <c r="C11" s="141"/>
      <c r="D11" s="141" t="s">
        <v>466</v>
      </c>
      <c r="E11" s="141"/>
      <c r="F11" s="141" t="s">
        <v>467</v>
      </c>
      <c r="G11" s="141"/>
      <c r="H11" s="141" t="s">
        <v>354</v>
      </c>
      <c r="I11" s="141"/>
      <c r="J11" s="141" t="s">
        <v>355</v>
      </c>
      <c r="K11" s="141" t="s">
        <v>468</v>
      </c>
      <c r="L11" s="141"/>
      <c r="M11" s="141"/>
      <c r="N11" s="141" t="s">
        <v>355</v>
      </c>
      <c r="O11" s="141"/>
      <c r="P11" s="141"/>
      <c r="Q11" s="141"/>
      <c r="R11" s="141"/>
      <c r="S11" s="141" t="s">
        <v>363</v>
      </c>
      <c r="T11" s="141" t="s">
        <v>364</v>
      </c>
      <c r="U11" s="141" t="s">
        <v>364</v>
      </c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 t="s">
        <v>355</v>
      </c>
      <c r="AL11" s="141" t="s">
        <v>365</v>
      </c>
      <c r="AM11" s="141" t="s">
        <v>355</v>
      </c>
      <c r="AN11" s="141" t="s">
        <v>366</v>
      </c>
      <c r="AO11" s="141" t="s">
        <v>364</v>
      </c>
      <c r="AP11" s="141" t="s">
        <v>367</v>
      </c>
      <c r="AQ11" s="141" t="s">
        <v>368</v>
      </c>
      <c r="AR11" s="141" t="s">
        <v>369</v>
      </c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73"/>
    </row>
    <row r="12" spans="2:105" x14ac:dyDescent="0.25">
      <c r="B12" s="172"/>
      <c r="C12" s="141" t="s">
        <v>469</v>
      </c>
      <c r="D12" s="141" t="s">
        <v>470</v>
      </c>
      <c r="E12" s="141" t="s">
        <v>471</v>
      </c>
      <c r="F12" s="141" t="s">
        <v>472</v>
      </c>
      <c r="G12" s="141"/>
      <c r="H12" s="141" t="s">
        <v>354</v>
      </c>
      <c r="I12" s="141"/>
      <c r="J12" s="141" t="s">
        <v>355</v>
      </c>
      <c r="K12" s="141" t="s">
        <v>473</v>
      </c>
      <c r="L12" s="141"/>
      <c r="M12" s="141"/>
      <c r="N12" s="141" t="s">
        <v>394</v>
      </c>
      <c r="O12" s="141" t="s">
        <v>409</v>
      </c>
      <c r="P12" s="141" t="s">
        <v>410</v>
      </c>
      <c r="Q12" s="141" t="s">
        <v>410</v>
      </c>
      <c r="R12" s="141" t="s">
        <v>362</v>
      </c>
      <c r="S12" s="141" t="s">
        <v>363</v>
      </c>
      <c r="T12" s="141" t="s">
        <v>364</v>
      </c>
      <c r="U12" s="141" t="s">
        <v>364</v>
      </c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 t="s">
        <v>355</v>
      </c>
      <c r="AL12" s="141" t="s">
        <v>365</v>
      </c>
      <c r="AM12" s="141" t="s">
        <v>355</v>
      </c>
      <c r="AN12" s="141" t="s">
        <v>366</v>
      </c>
      <c r="AO12" s="141" t="s">
        <v>364</v>
      </c>
      <c r="AP12" s="141" t="s">
        <v>367</v>
      </c>
      <c r="AQ12" s="141" t="s">
        <v>368</v>
      </c>
      <c r="AR12" s="141" t="s">
        <v>369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73"/>
    </row>
    <row r="13" spans="2:105" x14ac:dyDescent="0.25">
      <c r="B13" s="172"/>
      <c r="C13" s="141"/>
      <c r="D13" s="141" t="s">
        <v>474</v>
      </c>
      <c r="E13" s="141" t="s">
        <v>475</v>
      </c>
      <c r="F13" s="141" t="s">
        <v>476</v>
      </c>
      <c r="G13" s="141"/>
      <c r="H13" s="141" t="s">
        <v>354</v>
      </c>
      <c r="I13" s="141"/>
      <c r="J13" s="141" t="s">
        <v>355</v>
      </c>
      <c r="K13" s="141" t="s">
        <v>477</v>
      </c>
      <c r="L13" s="141"/>
      <c r="M13" s="141"/>
      <c r="N13" s="141" t="s">
        <v>370</v>
      </c>
      <c r="O13" s="141" t="s">
        <v>442</v>
      </c>
      <c r="P13" s="141" t="s">
        <v>478</v>
      </c>
      <c r="Q13" s="141" t="s">
        <v>479</v>
      </c>
      <c r="R13" s="141" t="s">
        <v>362</v>
      </c>
      <c r="S13" s="141" t="s">
        <v>363</v>
      </c>
      <c r="T13" s="141" t="s">
        <v>364</v>
      </c>
      <c r="U13" s="141" t="s">
        <v>364</v>
      </c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 t="s">
        <v>355</v>
      </c>
      <c r="AL13" s="141" t="s">
        <v>365</v>
      </c>
      <c r="AM13" s="141" t="s">
        <v>355</v>
      </c>
      <c r="AN13" s="141" t="s">
        <v>366</v>
      </c>
      <c r="AO13" s="141" t="s">
        <v>364</v>
      </c>
      <c r="AP13" s="141" t="s">
        <v>367</v>
      </c>
      <c r="AQ13" s="141" t="s">
        <v>368</v>
      </c>
      <c r="AR13" s="141" t="s">
        <v>369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73"/>
    </row>
    <row r="14" spans="2:105" x14ac:dyDescent="0.25">
      <c r="B14" s="172"/>
      <c r="C14" s="141" t="s">
        <v>480</v>
      </c>
      <c r="D14" s="141" t="s">
        <v>481</v>
      </c>
      <c r="E14" s="141" t="s">
        <v>482</v>
      </c>
      <c r="F14" s="141" t="s">
        <v>421</v>
      </c>
      <c r="G14" s="141"/>
      <c r="H14" s="141" t="s">
        <v>354</v>
      </c>
      <c r="I14" s="141"/>
      <c r="J14" s="141" t="s">
        <v>355</v>
      </c>
      <c r="K14" s="141" t="s">
        <v>483</v>
      </c>
      <c r="L14" s="141" t="s">
        <v>484</v>
      </c>
      <c r="M14" s="141" t="s">
        <v>485</v>
      </c>
      <c r="N14" s="141" t="s">
        <v>355</v>
      </c>
      <c r="O14" s="141" t="s">
        <v>359</v>
      </c>
      <c r="P14" s="141" t="s">
        <v>360</v>
      </c>
      <c r="Q14" s="141" t="s">
        <v>361</v>
      </c>
      <c r="R14" s="141" t="s">
        <v>362</v>
      </c>
      <c r="S14" s="141" t="s">
        <v>486</v>
      </c>
      <c r="T14" s="141" t="s">
        <v>487</v>
      </c>
      <c r="U14" s="141" t="s">
        <v>487</v>
      </c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 t="s">
        <v>355</v>
      </c>
      <c r="AL14" s="141" t="s">
        <v>365</v>
      </c>
      <c r="AM14" s="141" t="s">
        <v>355</v>
      </c>
      <c r="AN14" s="141" t="s">
        <v>488</v>
      </c>
      <c r="AO14" s="141" t="s">
        <v>487</v>
      </c>
      <c r="AP14" s="141" t="s">
        <v>489</v>
      </c>
      <c r="AQ14" s="141" t="s">
        <v>490</v>
      </c>
      <c r="AR14" s="141" t="s">
        <v>491</v>
      </c>
      <c r="AS14" s="141" t="s">
        <v>370</v>
      </c>
      <c r="AT14" s="141"/>
      <c r="AU14" s="141" t="s">
        <v>484</v>
      </c>
      <c r="AV14" s="141" t="s">
        <v>490</v>
      </c>
      <c r="AW14" s="141" t="s">
        <v>492</v>
      </c>
      <c r="AX14" s="141" t="s">
        <v>373</v>
      </c>
      <c r="AY14" s="141" t="s">
        <v>493</v>
      </c>
      <c r="AZ14" s="141" t="s">
        <v>494</v>
      </c>
      <c r="BA14" s="141" t="s">
        <v>495</v>
      </c>
      <c r="BB14" s="141" t="s">
        <v>496</v>
      </c>
      <c r="BC14" s="141" t="s">
        <v>497</v>
      </c>
      <c r="BD14" s="141" t="s">
        <v>498</v>
      </c>
      <c r="BE14" s="141" t="s">
        <v>499</v>
      </c>
      <c r="BF14" s="141" t="s">
        <v>500</v>
      </c>
      <c r="BG14" s="141" t="s">
        <v>501</v>
      </c>
      <c r="BH14" s="141" t="s">
        <v>502</v>
      </c>
      <c r="BI14" s="141" t="s">
        <v>503</v>
      </c>
      <c r="BJ14" s="141" t="s">
        <v>381</v>
      </c>
      <c r="BK14" s="141" t="s">
        <v>504</v>
      </c>
      <c r="BL14" s="141" t="s">
        <v>383</v>
      </c>
      <c r="BM14" s="141" t="s">
        <v>505</v>
      </c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73"/>
    </row>
    <row r="15" spans="2:105" x14ac:dyDescent="0.25">
      <c r="B15" s="172"/>
      <c r="C15" s="141" t="s">
        <v>506</v>
      </c>
      <c r="D15" s="141" t="s">
        <v>507</v>
      </c>
      <c r="E15" s="141" t="s">
        <v>508</v>
      </c>
      <c r="F15" s="141" t="s">
        <v>509</v>
      </c>
      <c r="G15" s="141"/>
      <c r="H15" s="141" t="s">
        <v>354</v>
      </c>
      <c r="I15" s="141"/>
      <c r="J15" s="141" t="s">
        <v>355</v>
      </c>
      <c r="K15" s="141" t="s">
        <v>510</v>
      </c>
      <c r="L15" s="141" t="s">
        <v>511</v>
      </c>
      <c r="M15" s="141" t="s">
        <v>512</v>
      </c>
      <c r="N15" s="141" t="s">
        <v>355</v>
      </c>
      <c r="O15" s="141" t="s">
        <v>442</v>
      </c>
      <c r="P15" s="141" t="s">
        <v>478</v>
      </c>
      <c r="Q15" s="141" t="s">
        <v>479</v>
      </c>
      <c r="R15" s="141" t="s">
        <v>362</v>
      </c>
      <c r="S15" s="141" t="s">
        <v>486</v>
      </c>
      <c r="T15" s="141" t="s">
        <v>487</v>
      </c>
      <c r="U15" s="141" t="s">
        <v>487</v>
      </c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 t="s">
        <v>355</v>
      </c>
      <c r="AL15" s="141" t="s">
        <v>365</v>
      </c>
      <c r="AM15" s="141" t="s">
        <v>355</v>
      </c>
      <c r="AN15" s="141" t="s">
        <v>488</v>
      </c>
      <c r="AO15" s="141" t="s">
        <v>487</v>
      </c>
      <c r="AP15" s="141" t="s">
        <v>489</v>
      </c>
      <c r="AQ15" s="141" t="s">
        <v>490</v>
      </c>
      <c r="AR15" s="141" t="s">
        <v>491</v>
      </c>
      <c r="AS15" s="141" t="s">
        <v>394</v>
      </c>
      <c r="AT15" s="141"/>
      <c r="AU15" s="141" t="s">
        <v>511</v>
      </c>
      <c r="AV15" s="141" t="s">
        <v>490</v>
      </c>
      <c r="AW15" s="141" t="s">
        <v>513</v>
      </c>
      <c r="AX15" s="141" t="s">
        <v>373</v>
      </c>
      <c r="AY15" s="141" t="s">
        <v>514</v>
      </c>
      <c r="AZ15" s="141" t="s">
        <v>494</v>
      </c>
      <c r="BA15" s="141" t="s">
        <v>515</v>
      </c>
      <c r="BB15" s="141" t="s">
        <v>496</v>
      </c>
      <c r="BC15" s="141" t="s">
        <v>516</v>
      </c>
      <c r="BD15" s="141" t="s">
        <v>498</v>
      </c>
      <c r="BE15" s="141" t="s">
        <v>517</v>
      </c>
      <c r="BF15" s="141" t="s">
        <v>500</v>
      </c>
      <c r="BG15" s="141" t="s">
        <v>518</v>
      </c>
      <c r="BH15" s="141" t="s">
        <v>502</v>
      </c>
      <c r="BI15" s="141" t="s">
        <v>519</v>
      </c>
      <c r="BJ15" s="141" t="s">
        <v>381</v>
      </c>
      <c r="BK15" s="141" t="s">
        <v>520</v>
      </c>
      <c r="BL15" s="141" t="s">
        <v>383</v>
      </c>
      <c r="BM15" s="141" t="s">
        <v>521</v>
      </c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73"/>
    </row>
    <row r="16" spans="2:105" x14ac:dyDescent="0.25">
      <c r="B16" s="172"/>
      <c r="C16" s="141" t="s">
        <v>522</v>
      </c>
      <c r="D16" s="141" t="s">
        <v>523</v>
      </c>
      <c r="E16" s="141" t="s">
        <v>524</v>
      </c>
      <c r="F16" s="141" t="s">
        <v>525</v>
      </c>
      <c r="G16" s="141"/>
      <c r="H16" s="141" t="s">
        <v>354</v>
      </c>
      <c r="I16" s="141"/>
      <c r="J16" s="141" t="s">
        <v>355</v>
      </c>
      <c r="K16" s="141" t="s">
        <v>526</v>
      </c>
      <c r="L16" s="141" t="s">
        <v>527</v>
      </c>
      <c r="M16" s="141" t="s">
        <v>528</v>
      </c>
      <c r="N16" s="141" t="s">
        <v>355</v>
      </c>
      <c r="O16" s="141" t="s">
        <v>370</v>
      </c>
      <c r="P16" s="141" t="s">
        <v>529</v>
      </c>
      <c r="Q16" s="141" t="s">
        <v>530</v>
      </c>
      <c r="R16" s="141" t="s">
        <v>362</v>
      </c>
      <c r="S16" s="141" t="s">
        <v>486</v>
      </c>
      <c r="T16" s="141" t="s">
        <v>487</v>
      </c>
      <c r="U16" s="141" t="s">
        <v>487</v>
      </c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 t="s">
        <v>355</v>
      </c>
      <c r="AL16" s="141" t="s">
        <v>365</v>
      </c>
      <c r="AM16" s="141" t="s">
        <v>355</v>
      </c>
      <c r="AN16" s="141" t="s">
        <v>488</v>
      </c>
      <c r="AO16" s="141" t="s">
        <v>487</v>
      </c>
      <c r="AP16" s="141" t="s">
        <v>489</v>
      </c>
      <c r="AQ16" s="141" t="s">
        <v>490</v>
      </c>
      <c r="AR16" s="141" t="s">
        <v>491</v>
      </c>
      <c r="AS16" s="141" t="s">
        <v>359</v>
      </c>
      <c r="AT16" s="141"/>
      <c r="AU16" s="141" t="s">
        <v>527</v>
      </c>
      <c r="AV16" s="141" t="s">
        <v>490</v>
      </c>
      <c r="AW16" s="141" t="s">
        <v>531</v>
      </c>
      <c r="AX16" s="141" t="s">
        <v>373</v>
      </c>
      <c r="AY16" s="141" t="s">
        <v>532</v>
      </c>
      <c r="AZ16" s="141" t="s">
        <v>494</v>
      </c>
      <c r="BA16" s="141" t="s">
        <v>533</v>
      </c>
      <c r="BB16" s="141" t="s">
        <v>496</v>
      </c>
      <c r="BC16" s="141" t="s">
        <v>534</v>
      </c>
      <c r="BD16" s="141" t="s">
        <v>498</v>
      </c>
      <c r="BE16" s="141" t="s">
        <v>535</v>
      </c>
      <c r="BF16" s="141" t="s">
        <v>500</v>
      </c>
      <c r="BG16" s="141" t="s">
        <v>536</v>
      </c>
      <c r="BH16" s="141" t="s">
        <v>502</v>
      </c>
      <c r="BI16" s="141" t="s">
        <v>537</v>
      </c>
      <c r="BJ16" s="141" t="s">
        <v>381</v>
      </c>
      <c r="BK16" s="141" t="s">
        <v>538</v>
      </c>
      <c r="BL16" s="141" t="s">
        <v>383</v>
      </c>
      <c r="BM16" s="141" t="s">
        <v>539</v>
      </c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73"/>
    </row>
    <row r="17" spans="2:105" x14ac:dyDescent="0.25">
      <c r="B17" s="172"/>
      <c r="C17" s="141" t="s">
        <v>540</v>
      </c>
      <c r="D17" s="141" t="s">
        <v>541</v>
      </c>
      <c r="E17" s="141" t="s">
        <v>542</v>
      </c>
      <c r="F17" s="141" t="s">
        <v>543</v>
      </c>
      <c r="G17" s="141"/>
      <c r="H17" s="141" t="s">
        <v>354</v>
      </c>
      <c r="I17" s="141"/>
      <c r="J17" s="141" t="s">
        <v>355</v>
      </c>
      <c r="K17" s="141" t="s">
        <v>544</v>
      </c>
      <c r="L17" s="141" t="s">
        <v>545</v>
      </c>
      <c r="M17" s="141" t="s">
        <v>546</v>
      </c>
      <c r="N17" s="141" t="s">
        <v>355</v>
      </c>
      <c r="O17" s="141" t="s">
        <v>394</v>
      </c>
      <c r="P17" s="141" t="s">
        <v>425</v>
      </c>
      <c r="Q17" s="141" t="s">
        <v>426</v>
      </c>
      <c r="R17" s="141" t="s">
        <v>362</v>
      </c>
      <c r="S17" s="141" t="s">
        <v>486</v>
      </c>
      <c r="T17" s="141" t="s">
        <v>487</v>
      </c>
      <c r="U17" s="141" t="s">
        <v>487</v>
      </c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 t="s">
        <v>355</v>
      </c>
      <c r="AL17" s="141" t="s">
        <v>365</v>
      </c>
      <c r="AM17" s="141" t="s">
        <v>355</v>
      </c>
      <c r="AN17" s="141" t="s">
        <v>488</v>
      </c>
      <c r="AO17" s="141" t="s">
        <v>487</v>
      </c>
      <c r="AP17" s="141" t="s">
        <v>489</v>
      </c>
      <c r="AQ17" s="141" t="s">
        <v>490</v>
      </c>
      <c r="AR17" s="141" t="s">
        <v>491</v>
      </c>
      <c r="AS17" s="141" t="s">
        <v>427</v>
      </c>
      <c r="AT17" s="141"/>
      <c r="AU17" s="141" t="s">
        <v>545</v>
      </c>
      <c r="AV17" s="141" t="s">
        <v>490</v>
      </c>
      <c r="AW17" s="141" t="s">
        <v>547</v>
      </c>
      <c r="AX17" s="141" t="s">
        <v>373</v>
      </c>
      <c r="AY17" s="141" t="s">
        <v>548</v>
      </c>
      <c r="AZ17" s="141" t="s">
        <v>494</v>
      </c>
      <c r="BA17" s="141" t="s">
        <v>549</v>
      </c>
      <c r="BB17" s="141" t="s">
        <v>496</v>
      </c>
      <c r="BC17" s="141" t="s">
        <v>550</v>
      </c>
      <c r="BD17" s="141" t="s">
        <v>498</v>
      </c>
      <c r="BE17" s="141" t="s">
        <v>551</v>
      </c>
      <c r="BF17" s="141" t="s">
        <v>500</v>
      </c>
      <c r="BG17" s="141" t="s">
        <v>552</v>
      </c>
      <c r="BH17" s="141" t="s">
        <v>502</v>
      </c>
      <c r="BI17" s="141" t="s">
        <v>553</v>
      </c>
      <c r="BJ17" s="141" t="s">
        <v>381</v>
      </c>
      <c r="BK17" s="141" t="s">
        <v>554</v>
      </c>
      <c r="BL17" s="141" t="s">
        <v>383</v>
      </c>
      <c r="BM17" s="141" t="s">
        <v>555</v>
      </c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73"/>
    </row>
    <row r="18" spans="2:105" x14ac:dyDescent="0.25">
      <c r="B18" s="172"/>
      <c r="C18" s="141" t="s">
        <v>556</v>
      </c>
      <c r="D18" s="141" t="s">
        <v>557</v>
      </c>
      <c r="E18" s="141" t="s">
        <v>471</v>
      </c>
      <c r="F18" s="141" t="s">
        <v>558</v>
      </c>
      <c r="G18" s="141"/>
      <c r="H18" s="141" t="s">
        <v>354</v>
      </c>
      <c r="I18" s="141"/>
      <c r="J18" s="141" t="s">
        <v>355</v>
      </c>
      <c r="K18" s="141" t="s">
        <v>559</v>
      </c>
      <c r="L18" s="141" t="s">
        <v>560</v>
      </c>
      <c r="M18" s="141" t="s">
        <v>561</v>
      </c>
      <c r="N18" s="141" t="s">
        <v>355</v>
      </c>
      <c r="O18" s="141" t="s">
        <v>409</v>
      </c>
      <c r="P18" s="141" t="s">
        <v>410</v>
      </c>
      <c r="Q18" s="141" t="s">
        <v>410</v>
      </c>
      <c r="R18" s="141" t="s">
        <v>362</v>
      </c>
      <c r="S18" s="141" t="s">
        <v>486</v>
      </c>
      <c r="T18" s="141" t="s">
        <v>487</v>
      </c>
      <c r="U18" s="141" t="s">
        <v>487</v>
      </c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 t="s">
        <v>355</v>
      </c>
      <c r="AL18" s="141" t="s">
        <v>365</v>
      </c>
      <c r="AM18" s="141" t="s">
        <v>355</v>
      </c>
      <c r="AN18" s="141" t="s">
        <v>488</v>
      </c>
      <c r="AO18" s="141" t="s">
        <v>487</v>
      </c>
      <c r="AP18" s="141" t="s">
        <v>489</v>
      </c>
      <c r="AQ18" s="141" t="s">
        <v>490</v>
      </c>
      <c r="AR18" s="141" t="s">
        <v>491</v>
      </c>
      <c r="AS18" s="141" t="s">
        <v>442</v>
      </c>
      <c r="AT18" s="141"/>
      <c r="AU18" s="141" t="s">
        <v>560</v>
      </c>
      <c r="AV18" s="141" t="s">
        <v>490</v>
      </c>
      <c r="AW18" s="141" t="s">
        <v>562</v>
      </c>
      <c r="AX18" s="141" t="s">
        <v>373</v>
      </c>
      <c r="AY18" s="141" t="s">
        <v>563</v>
      </c>
      <c r="AZ18" s="141" t="s">
        <v>494</v>
      </c>
      <c r="BA18" s="141" t="s">
        <v>564</v>
      </c>
      <c r="BB18" s="141" t="s">
        <v>496</v>
      </c>
      <c r="BC18" s="141" t="s">
        <v>565</v>
      </c>
      <c r="BD18" s="141" t="s">
        <v>498</v>
      </c>
      <c r="BE18" s="141" t="s">
        <v>566</v>
      </c>
      <c r="BF18" s="141" t="s">
        <v>500</v>
      </c>
      <c r="BG18" s="141" t="s">
        <v>567</v>
      </c>
      <c r="BH18" s="141" t="s">
        <v>502</v>
      </c>
      <c r="BI18" s="141" t="s">
        <v>568</v>
      </c>
      <c r="BJ18" s="141" t="s">
        <v>381</v>
      </c>
      <c r="BK18" s="141" t="s">
        <v>569</v>
      </c>
      <c r="BL18" s="141" t="s">
        <v>383</v>
      </c>
      <c r="BM18" s="141" t="s">
        <v>570</v>
      </c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73"/>
    </row>
    <row r="19" spans="2:105" x14ac:dyDescent="0.25">
      <c r="B19" s="172"/>
      <c r="C19" s="141" t="s">
        <v>571</v>
      </c>
      <c r="D19" s="141" t="s">
        <v>572</v>
      </c>
      <c r="E19" s="141" t="s">
        <v>573</v>
      </c>
      <c r="F19" s="141" t="s">
        <v>574</v>
      </c>
      <c r="G19" s="141"/>
      <c r="H19" s="141" t="s">
        <v>354</v>
      </c>
      <c r="I19" s="141"/>
      <c r="J19" s="141" t="s">
        <v>355</v>
      </c>
      <c r="K19" s="141" t="s">
        <v>575</v>
      </c>
      <c r="L19" s="141" t="s">
        <v>576</v>
      </c>
      <c r="M19" s="141" t="s">
        <v>577</v>
      </c>
      <c r="N19" s="141" t="s">
        <v>355</v>
      </c>
      <c r="O19" s="141" t="s">
        <v>394</v>
      </c>
      <c r="P19" s="141" t="s">
        <v>425</v>
      </c>
      <c r="Q19" s="141" t="s">
        <v>426</v>
      </c>
      <c r="R19" s="141" t="s">
        <v>362</v>
      </c>
      <c r="S19" s="141" t="s">
        <v>486</v>
      </c>
      <c r="T19" s="141" t="s">
        <v>487</v>
      </c>
      <c r="U19" s="141" t="s">
        <v>487</v>
      </c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 t="s">
        <v>355</v>
      </c>
      <c r="AL19" s="141" t="s">
        <v>365</v>
      </c>
      <c r="AM19" s="141" t="s">
        <v>355</v>
      </c>
      <c r="AN19" s="141" t="s">
        <v>488</v>
      </c>
      <c r="AO19" s="141" t="s">
        <v>487</v>
      </c>
      <c r="AP19" s="141" t="s">
        <v>489</v>
      </c>
      <c r="AQ19" s="141" t="s">
        <v>490</v>
      </c>
      <c r="AR19" s="141" t="s">
        <v>491</v>
      </c>
      <c r="AS19" s="141" t="s">
        <v>392</v>
      </c>
      <c r="AT19" s="141"/>
      <c r="AU19" s="141" t="s">
        <v>576</v>
      </c>
      <c r="AV19" s="141" t="s">
        <v>490</v>
      </c>
      <c r="AW19" s="141" t="s">
        <v>578</v>
      </c>
      <c r="AX19" s="141" t="s">
        <v>373</v>
      </c>
      <c r="AY19" s="141" t="s">
        <v>579</v>
      </c>
      <c r="AZ19" s="141" t="s">
        <v>494</v>
      </c>
      <c r="BA19" s="141" t="s">
        <v>580</v>
      </c>
      <c r="BB19" s="141" t="s">
        <v>496</v>
      </c>
      <c r="BC19" s="141" t="s">
        <v>581</v>
      </c>
      <c r="BD19" s="141" t="s">
        <v>498</v>
      </c>
      <c r="BE19" s="141" t="s">
        <v>582</v>
      </c>
      <c r="BF19" s="141" t="s">
        <v>500</v>
      </c>
      <c r="BG19" s="141" t="s">
        <v>583</v>
      </c>
      <c r="BH19" s="141" t="s">
        <v>502</v>
      </c>
      <c r="BI19" s="141" t="s">
        <v>584</v>
      </c>
      <c r="BJ19" s="141" t="s">
        <v>381</v>
      </c>
      <c r="BK19" s="141" t="s">
        <v>585</v>
      </c>
      <c r="BL19" s="141" t="s">
        <v>383</v>
      </c>
      <c r="BM19" s="141" t="s">
        <v>586</v>
      </c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73"/>
    </row>
    <row r="20" spans="2:105" x14ac:dyDescent="0.25">
      <c r="B20" s="172"/>
      <c r="C20" s="141" t="s">
        <v>587</v>
      </c>
      <c r="D20" s="141" t="s">
        <v>588</v>
      </c>
      <c r="E20" s="141" t="s">
        <v>589</v>
      </c>
      <c r="F20" s="141" t="s">
        <v>590</v>
      </c>
      <c r="G20" s="141"/>
      <c r="H20" s="141" t="s">
        <v>354</v>
      </c>
      <c r="I20" s="141"/>
      <c r="J20" s="141" t="s">
        <v>355</v>
      </c>
      <c r="K20" s="141" t="s">
        <v>591</v>
      </c>
      <c r="L20" s="141" t="s">
        <v>592</v>
      </c>
      <c r="M20" s="141" t="s">
        <v>593</v>
      </c>
      <c r="N20" s="141" t="s">
        <v>355</v>
      </c>
      <c r="O20" s="141" t="s">
        <v>359</v>
      </c>
      <c r="P20" s="141" t="s">
        <v>360</v>
      </c>
      <c r="Q20" s="141" t="s">
        <v>361</v>
      </c>
      <c r="R20" s="141" t="s">
        <v>362</v>
      </c>
      <c r="S20" s="141" t="s">
        <v>486</v>
      </c>
      <c r="T20" s="141" t="s">
        <v>487</v>
      </c>
      <c r="U20" s="141" t="s">
        <v>487</v>
      </c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 t="s">
        <v>355</v>
      </c>
      <c r="AL20" s="141" t="s">
        <v>365</v>
      </c>
      <c r="AM20" s="141" t="s">
        <v>355</v>
      </c>
      <c r="AN20" s="141" t="s">
        <v>488</v>
      </c>
      <c r="AO20" s="141" t="s">
        <v>487</v>
      </c>
      <c r="AP20" s="141" t="s">
        <v>489</v>
      </c>
      <c r="AQ20" s="141" t="s">
        <v>490</v>
      </c>
      <c r="AR20" s="141" t="s">
        <v>491</v>
      </c>
      <c r="AS20" s="141" t="s">
        <v>369</v>
      </c>
      <c r="AT20" s="141"/>
      <c r="AU20" s="141" t="s">
        <v>592</v>
      </c>
      <c r="AV20" s="141" t="s">
        <v>490</v>
      </c>
      <c r="AW20" s="141" t="s">
        <v>594</v>
      </c>
      <c r="AX20" s="141" t="s">
        <v>373</v>
      </c>
      <c r="AY20" s="141" t="s">
        <v>595</v>
      </c>
      <c r="AZ20" s="141" t="s">
        <v>494</v>
      </c>
      <c r="BA20" s="141" t="s">
        <v>596</v>
      </c>
      <c r="BB20" s="141" t="s">
        <v>496</v>
      </c>
      <c r="BC20" s="141" t="s">
        <v>597</v>
      </c>
      <c r="BD20" s="141" t="s">
        <v>498</v>
      </c>
      <c r="BE20" s="141" t="s">
        <v>598</v>
      </c>
      <c r="BF20" s="141" t="s">
        <v>500</v>
      </c>
      <c r="BG20" s="141" t="s">
        <v>599</v>
      </c>
      <c r="BH20" s="141" t="s">
        <v>502</v>
      </c>
      <c r="BI20" s="141" t="s">
        <v>600</v>
      </c>
      <c r="BJ20" s="141" t="s">
        <v>381</v>
      </c>
      <c r="BK20" s="141" t="s">
        <v>601</v>
      </c>
      <c r="BL20" s="141" t="s">
        <v>383</v>
      </c>
      <c r="BM20" s="141" t="s">
        <v>602</v>
      </c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73"/>
    </row>
    <row r="21" spans="2:105" x14ac:dyDescent="0.25">
      <c r="B21" s="172"/>
      <c r="C21" s="141" t="s">
        <v>603</v>
      </c>
      <c r="D21" s="141" t="s">
        <v>604</v>
      </c>
      <c r="E21" s="141" t="s">
        <v>387</v>
      </c>
      <c r="F21" s="141" t="s">
        <v>605</v>
      </c>
      <c r="G21" s="141"/>
      <c r="H21" s="141" t="s">
        <v>354</v>
      </c>
      <c r="I21" s="141"/>
      <c r="J21" s="141" t="s">
        <v>355</v>
      </c>
      <c r="K21" s="141" t="s">
        <v>606</v>
      </c>
      <c r="L21" s="141" t="s">
        <v>607</v>
      </c>
      <c r="M21" s="141" t="s">
        <v>608</v>
      </c>
      <c r="N21" s="141" t="s">
        <v>355</v>
      </c>
      <c r="O21" s="141" t="s">
        <v>392</v>
      </c>
      <c r="P21" s="141" t="s">
        <v>393</v>
      </c>
      <c r="Q21" s="141" t="s">
        <v>393</v>
      </c>
      <c r="R21" s="141" t="s">
        <v>362</v>
      </c>
      <c r="S21" s="141" t="s">
        <v>486</v>
      </c>
      <c r="T21" s="141" t="s">
        <v>487</v>
      </c>
      <c r="U21" s="141" t="s">
        <v>487</v>
      </c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 t="s">
        <v>355</v>
      </c>
      <c r="AL21" s="141" t="s">
        <v>365</v>
      </c>
      <c r="AM21" s="141" t="s">
        <v>355</v>
      </c>
      <c r="AN21" s="141" t="s">
        <v>488</v>
      </c>
      <c r="AO21" s="141" t="s">
        <v>487</v>
      </c>
      <c r="AP21" s="141" t="s">
        <v>489</v>
      </c>
      <c r="AQ21" s="141" t="s">
        <v>490</v>
      </c>
      <c r="AR21" s="141" t="s">
        <v>491</v>
      </c>
      <c r="AS21" s="141" t="s">
        <v>409</v>
      </c>
      <c r="AT21" s="141"/>
      <c r="AU21" s="141" t="s">
        <v>607</v>
      </c>
      <c r="AV21" s="141" t="s">
        <v>490</v>
      </c>
      <c r="AW21" s="141" t="s">
        <v>609</v>
      </c>
      <c r="AX21" s="141" t="s">
        <v>373</v>
      </c>
      <c r="AY21" s="141" t="s">
        <v>610</v>
      </c>
      <c r="AZ21" s="141" t="s">
        <v>494</v>
      </c>
      <c r="BA21" s="141" t="s">
        <v>611</v>
      </c>
      <c r="BB21" s="141" t="s">
        <v>496</v>
      </c>
      <c r="BC21" s="141" t="s">
        <v>612</v>
      </c>
      <c r="BD21" s="141" t="s">
        <v>498</v>
      </c>
      <c r="BE21" s="141" t="s">
        <v>613</v>
      </c>
      <c r="BF21" s="141" t="s">
        <v>500</v>
      </c>
      <c r="BG21" s="141" t="s">
        <v>614</v>
      </c>
      <c r="BH21" s="141" t="s">
        <v>502</v>
      </c>
      <c r="BI21" s="141" t="s">
        <v>615</v>
      </c>
      <c r="BJ21" s="141" t="s">
        <v>381</v>
      </c>
      <c r="BK21" s="141" t="s">
        <v>616</v>
      </c>
      <c r="BL21" s="141" t="s">
        <v>383</v>
      </c>
      <c r="BM21" s="141" t="s">
        <v>617</v>
      </c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73"/>
    </row>
    <row r="22" spans="2:105" x14ac:dyDescent="0.25">
      <c r="B22" s="172"/>
      <c r="C22" s="141" t="s">
        <v>618</v>
      </c>
      <c r="D22" s="141" t="s">
        <v>619</v>
      </c>
      <c r="E22" s="141" t="s">
        <v>620</v>
      </c>
      <c r="F22" s="141" t="s">
        <v>509</v>
      </c>
      <c r="G22" s="141"/>
      <c r="H22" s="141" t="s">
        <v>354</v>
      </c>
      <c r="I22" s="141"/>
      <c r="J22" s="141" t="s">
        <v>355</v>
      </c>
      <c r="K22" s="141" t="s">
        <v>621</v>
      </c>
      <c r="L22" s="141" t="s">
        <v>622</v>
      </c>
      <c r="M22" s="141" t="s">
        <v>623</v>
      </c>
      <c r="N22" s="141" t="s">
        <v>355</v>
      </c>
      <c r="O22" s="141" t="s">
        <v>394</v>
      </c>
      <c r="P22" s="141" t="s">
        <v>425</v>
      </c>
      <c r="Q22" s="141" t="s">
        <v>426</v>
      </c>
      <c r="R22" s="141" t="s">
        <v>362</v>
      </c>
      <c r="S22" s="141" t="s">
        <v>486</v>
      </c>
      <c r="T22" s="141" t="s">
        <v>487</v>
      </c>
      <c r="U22" s="141" t="s">
        <v>487</v>
      </c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 t="s">
        <v>355</v>
      </c>
      <c r="AL22" s="141" t="s">
        <v>365</v>
      </c>
      <c r="AM22" s="141" t="s">
        <v>355</v>
      </c>
      <c r="AN22" s="141" t="s">
        <v>488</v>
      </c>
      <c r="AO22" s="141" t="s">
        <v>487</v>
      </c>
      <c r="AP22" s="141" t="s">
        <v>489</v>
      </c>
      <c r="AQ22" s="141" t="s">
        <v>490</v>
      </c>
      <c r="AR22" s="141" t="s">
        <v>491</v>
      </c>
      <c r="AS22" s="141" t="s">
        <v>491</v>
      </c>
      <c r="AT22" s="141"/>
      <c r="AU22" s="141" t="s">
        <v>622</v>
      </c>
      <c r="AV22" s="141" t="s">
        <v>490</v>
      </c>
      <c r="AW22" s="141" t="s">
        <v>624</v>
      </c>
      <c r="AX22" s="141" t="s">
        <v>373</v>
      </c>
      <c r="AY22" s="141" t="s">
        <v>625</v>
      </c>
      <c r="AZ22" s="141" t="s">
        <v>494</v>
      </c>
      <c r="BA22" s="141" t="s">
        <v>626</v>
      </c>
      <c r="BB22" s="141" t="s">
        <v>496</v>
      </c>
      <c r="BC22" s="141" t="s">
        <v>627</v>
      </c>
      <c r="BD22" s="141" t="s">
        <v>498</v>
      </c>
      <c r="BE22" s="141" t="s">
        <v>628</v>
      </c>
      <c r="BF22" s="141" t="s">
        <v>500</v>
      </c>
      <c r="BG22" s="141" t="s">
        <v>629</v>
      </c>
      <c r="BH22" s="141" t="s">
        <v>502</v>
      </c>
      <c r="BI22" s="141" t="s">
        <v>630</v>
      </c>
      <c r="BJ22" s="141" t="s">
        <v>381</v>
      </c>
      <c r="BK22" s="141" t="s">
        <v>631</v>
      </c>
      <c r="BL22" s="141" t="s">
        <v>383</v>
      </c>
      <c r="BM22" s="141" t="s">
        <v>632</v>
      </c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73"/>
    </row>
    <row r="23" spans="2:105" x14ac:dyDescent="0.25">
      <c r="B23" s="172"/>
      <c r="C23" s="141" t="s">
        <v>633</v>
      </c>
      <c r="D23" s="141" t="s">
        <v>634</v>
      </c>
      <c r="E23" s="141" t="s">
        <v>635</v>
      </c>
      <c r="F23" s="141" t="s">
        <v>636</v>
      </c>
      <c r="G23" s="141"/>
      <c r="H23" s="141" t="s">
        <v>354</v>
      </c>
      <c r="I23" s="141"/>
      <c r="J23" s="141" t="s">
        <v>355</v>
      </c>
      <c r="K23" s="141" t="s">
        <v>637</v>
      </c>
      <c r="L23" s="141"/>
      <c r="M23" s="141"/>
      <c r="N23" s="141" t="s">
        <v>370</v>
      </c>
      <c r="O23" s="141" t="s">
        <v>394</v>
      </c>
      <c r="P23" s="141" t="s">
        <v>425</v>
      </c>
      <c r="Q23" s="141" t="s">
        <v>426</v>
      </c>
      <c r="R23" s="141" t="s">
        <v>362</v>
      </c>
      <c r="S23" s="141" t="s">
        <v>486</v>
      </c>
      <c r="T23" s="141" t="s">
        <v>487</v>
      </c>
      <c r="U23" s="141" t="s">
        <v>487</v>
      </c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 t="s">
        <v>355</v>
      </c>
      <c r="AL23" s="141" t="s">
        <v>365</v>
      </c>
      <c r="AM23" s="141" t="s">
        <v>355</v>
      </c>
      <c r="AN23" s="141" t="s">
        <v>488</v>
      </c>
      <c r="AO23" s="141" t="s">
        <v>487</v>
      </c>
      <c r="AP23" s="141" t="s">
        <v>489</v>
      </c>
      <c r="AQ23" s="141" t="s">
        <v>490</v>
      </c>
      <c r="AR23" s="141" t="s">
        <v>491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73"/>
    </row>
    <row r="24" spans="2:105" x14ac:dyDescent="0.25">
      <c r="B24" s="172"/>
      <c r="C24" s="141"/>
      <c r="D24" s="141" t="s">
        <v>638</v>
      </c>
      <c r="E24" s="141"/>
      <c r="F24" s="141" t="s">
        <v>467</v>
      </c>
      <c r="G24" s="141"/>
      <c r="H24" s="141" t="s">
        <v>354</v>
      </c>
      <c r="I24" s="141"/>
      <c r="J24" s="141" t="s">
        <v>355</v>
      </c>
      <c r="K24" s="141" t="s">
        <v>639</v>
      </c>
      <c r="L24" s="141"/>
      <c r="M24" s="141"/>
      <c r="N24" s="141" t="s">
        <v>355</v>
      </c>
      <c r="O24" s="141"/>
      <c r="P24" s="141"/>
      <c r="Q24" s="141"/>
      <c r="R24" s="141"/>
      <c r="S24" s="141" t="s">
        <v>486</v>
      </c>
      <c r="T24" s="141" t="s">
        <v>487</v>
      </c>
      <c r="U24" s="141" t="s">
        <v>487</v>
      </c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 t="s">
        <v>355</v>
      </c>
      <c r="AL24" s="141" t="s">
        <v>365</v>
      </c>
      <c r="AM24" s="141" t="s">
        <v>355</v>
      </c>
      <c r="AN24" s="141" t="s">
        <v>488</v>
      </c>
      <c r="AO24" s="141" t="s">
        <v>487</v>
      </c>
      <c r="AP24" s="141" t="s">
        <v>489</v>
      </c>
      <c r="AQ24" s="141" t="s">
        <v>490</v>
      </c>
      <c r="AR24" s="141" t="s">
        <v>491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73"/>
    </row>
    <row r="25" spans="2:105" x14ac:dyDescent="0.25">
      <c r="B25" s="172"/>
      <c r="C25" s="141"/>
      <c r="D25" s="141" t="s">
        <v>640</v>
      </c>
      <c r="E25" s="141"/>
      <c r="F25" s="141" t="s">
        <v>467</v>
      </c>
      <c r="G25" s="141"/>
      <c r="H25" s="141" t="s">
        <v>354</v>
      </c>
      <c r="I25" s="141"/>
      <c r="J25" s="141" t="s">
        <v>355</v>
      </c>
      <c r="K25" s="141" t="s">
        <v>641</v>
      </c>
      <c r="L25" s="141"/>
      <c r="M25" s="141"/>
      <c r="N25" s="141" t="s">
        <v>355</v>
      </c>
      <c r="O25" s="141"/>
      <c r="P25" s="141"/>
      <c r="Q25" s="141"/>
      <c r="R25" s="141"/>
      <c r="S25" s="141" t="s">
        <v>486</v>
      </c>
      <c r="T25" s="141" t="s">
        <v>487</v>
      </c>
      <c r="U25" s="141" t="s">
        <v>487</v>
      </c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 t="s">
        <v>355</v>
      </c>
      <c r="AL25" s="141" t="s">
        <v>365</v>
      </c>
      <c r="AM25" s="141" t="s">
        <v>355</v>
      </c>
      <c r="AN25" s="141" t="s">
        <v>488</v>
      </c>
      <c r="AO25" s="141" t="s">
        <v>487</v>
      </c>
      <c r="AP25" s="141" t="s">
        <v>489</v>
      </c>
      <c r="AQ25" s="141" t="s">
        <v>490</v>
      </c>
      <c r="AR25" s="141" t="s">
        <v>491</v>
      </c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73"/>
    </row>
    <row r="26" spans="2:105" x14ac:dyDescent="0.25">
      <c r="B26" s="172"/>
      <c r="C26" s="141" t="s">
        <v>642</v>
      </c>
      <c r="D26" s="141" t="s">
        <v>643</v>
      </c>
      <c r="E26" s="141" t="s">
        <v>644</v>
      </c>
      <c r="F26" s="141" t="s">
        <v>645</v>
      </c>
      <c r="G26" s="141"/>
      <c r="H26" s="141" t="s">
        <v>354</v>
      </c>
      <c r="I26" s="141"/>
      <c r="J26" s="141" t="s">
        <v>355</v>
      </c>
      <c r="K26" s="141" t="s">
        <v>646</v>
      </c>
      <c r="L26" s="141"/>
      <c r="M26" s="141"/>
      <c r="N26" s="141" t="s">
        <v>370</v>
      </c>
      <c r="O26" s="141" t="s">
        <v>394</v>
      </c>
      <c r="P26" s="141" t="s">
        <v>425</v>
      </c>
      <c r="Q26" s="141" t="s">
        <v>426</v>
      </c>
      <c r="R26" s="141" t="s">
        <v>362</v>
      </c>
      <c r="S26" s="141" t="s">
        <v>486</v>
      </c>
      <c r="T26" s="141" t="s">
        <v>487</v>
      </c>
      <c r="U26" s="141" t="s">
        <v>487</v>
      </c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 t="s">
        <v>355</v>
      </c>
      <c r="AL26" s="141" t="s">
        <v>365</v>
      </c>
      <c r="AM26" s="141" t="s">
        <v>355</v>
      </c>
      <c r="AN26" s="141" t="s">
        <v>488</v>
      </c>
      <c r="AO26" s="141" t="s">
        <v>487</v>
      </c>
      <c r="AP26" s="141" t="s">
        <v>489</v>
      </c>
      <c r="AQ26" s="141" t="s">
        <v>490</v>
      </c>
      <c r="AR26" s="141" t="s">
        <v>491</v>
      </c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73"/>
    </row>
    <row r="27" spans="2:105" x14ac:dyDescent="0.25">
      <c r="B27" s="172"/>
      <c r="C27" s="141" t="s">
        <v>647</v>
      </c>
      <c r="D27" s="141" t="s">
        <v>648</v>
      </c>
      <c r="E27" s="141" t="s">
        <v>589</v>
      </c>
      <c r="F27" s="141" t="s">
        <v>476</v>
      </c>
      <c r="G27" s="141"/>
      <c r="H27" s="141" t="s">
        <v>354</v>
      </c>
      <c r="I27" s="141"/>
      <c r="J27" s="141" t="s">
        <v>355</v>
      </c>
      <c r="K27" s="141" t="s">
        <v>649</v>
      </c>
      <c r="L27" s="141" t="s">
        <v>650</v>
      </c>
      <c r="M27" s="141" t="s">
        <v>651</v>
      </c>
      <c r="N27" s="141" t="s">
        <v>355</v>
      </c>
      <c r="O27" s="141" t="s">
        <v>359</v>
      </c>
      <c r="P27" s="141" t="s">
        <v>360</v>
      </c>
      <c r="Q27" s="141" t="s">
        <v>361</v>
      </c>
      <c r="R27" s="141" t="s">
        <v>362</v>
      </c>
      <c r="S27" s="141" t="s">
        <v>491</v>
      </c>
      <c r="T27" s="141" t="s">
        <v>652</v>
      </c>
      <c r="U27" s="141" t="s">
        <v>652</v>
      </c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 t="s">
        <v>355</v>
      </c>
      <c r="AL27" s="141" t="s">
        <v>365</v>
      </c>
      <c r="AM27" s="141" t="s">
        <v>355</v>
      </c>
      <c r="AN27" s="141" t="s">
        <v>653</v>
      </c>
      <c r="AO27" s="141" t="s">
        <v>652</v>
      </c>
      <c r="AP27" s="141" t="s">
        <v>654</v>
      </c>
      <c r="AQ27" s="141" t="s">
        <v>655</v>
      </c>
      <c r="AR27" s="141" t="s">
        <v>409</v>
      </c>
      <c r="AS27" s="141" t="s">
        <v>370</v>
      </c>
      <c r="AT27" s="141"/>
      <c r="AU27" s="141" t="s">
        <v>650</v>
      </c>
      <c r="AV27" s="141" t="s">
        <v>656</v>
      </c>
      <c r="AW27" s="141" t="s">
        <v>657</v>
      </c>
      <c r="AX27" s="141" t="s">
        <v>658</v>
      </c>
      <c r="AY27" s="141" t="s">
        <v>659</v>
      </c>
      <c r="AZ27" s="141" t="s">
        <v>660</v>
      </c>
      <c r="BA27" s="141" t="s">
        <v>661</v>
      </c>
      <c r="BB27" s="141" t="s">
        <v>662</v>
      </c>
      <c r="BC27" s="141" t="s">
        <v>663</v>
      </c>
      <c r="BD27" s="141" t="s">
        <v>498</v>
      </c>
      <c r="BE27" s="141" t="s">
        <v>664</v>
      </c>
      <c r="BF27" s="141" t="s">
        <v>379</v>
      </c>
      <c r="BG27" s="141" t="s">
        <v>665</v>
      </c>
      <c r="BH27" s="141" t="s">
        <v>381</v>
      </c>
      <c r="BI27" s="141" t="s">
        <v>666</v>
      </c>
      <c r="BJ27" s="141" t="s">
        <v>383</v>
      </c>
      <c r="BK27" s="141" t="s">
        <v>667</v>
      </c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73"/>
    </row>
    <row r="28" spans="2:105" x14ac:dyDescent="0.25">
      <c r="B28" s="172"/>
      <c r="C28" s="141" t="s">
        <v>668</v>
      </c>
      <c r="D28" s="141" t="s">
        <v>669</v>
      </c>
      <c r="E28" s="141" t="s">
        <v>670</v>
      </c>
      <c r="F28" s="141" t="s">
        <v>671</v>
      </c>
      <c r="G28" s="141"/>
      <c r="H28" s="141" t="s">
        <v>354</v>
      </c>
      <c r="I28" s="141"/>
      <c r="J28" s="141" t="s">
        <v>355</v>
      </c>
      <c r="K28" s="141" t="s">
        <v>672</v>
      </c>
      <c r="L28" s="141" t="s">
        <v>673</v>
      </c>
      <c r="M28" s="141" t="s">
        <v>674</v>
      </c>
      <c r="N28" s="141" t="s">
        <v>355</v>
      </c>
      <c r="O28" s="141" t="s">
        <v>427</v>
      </c>
      <c r="P28" s="141" t="s">
        <v>455</v>
      </c>
      <c r="Q28" s="141" t="s">
        <v>456</v>
      </c>
      <c r="R28" s="141" t="s">
        <v>362</v>
      </c>
      <c r="S28" s="141" t="s">
        <v>491</v>
      </c>
      <c r="T28" s="141" t="s">
        <v>652</v>
      </c>
      <c r="U28" s="141" t="s">
        <v>652</v>
      </c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 t="s">
        <v>355</v>
      </c>
      <c r="AL28" s="141" t="s">
        <v>365</v>
      </c>
      <c r="AM28" s="141" t="s">
        <v>355</v>
      </c>
      <c r="AN28" s="141" t="s">
        <v>653</v>
      </c>
      <c r="AO28" s="141" t="s">
        <v>652</v>
      </c>
      <c r="AP28" s="141" t="s">
        <v>654</v>
      </c>
      <c r="AQ28" s="141" t="s">
        <v>655</v>
      </c>
      <c r="AR28" s="141" t="s">
        <v>409</v>
      </c>
      <c r="AS28" s="141" t="s">
        <v>394</v>
      </c>
      <c r="AT28" s="141"/>
      <c r="AU28" s="141" t="s">
        <v>673</v>
      </c>
      <c r="AV28" s="141" t="s">
        <v>656</v>
      </c>
      <c r="AW28" s="141" t="s">
        <v>675</v>
      </c>
      <c r="AX28" s="141" t="s">
        <v>658</v>
      </c>
      <c r="AY28" s="141" t="s">
        <v>676</v>
      </c>
      <c r="AZ28" s="141" t="s">
        <v>660</v>
      </c>
      <c r="BA28" s="141" t="s">
        <v>677</v>
      </c>
      <c r="BB28" s="141" t="s">
        <v>662</v>
      </c>
      <c r="BC28" s="141" t="s">
        <v>678</v>
      </c>
      <c r="BD28" s="141" t="s">
        <v>498</v>
      </c>
      <c r="BE28" s="141" t="s">
        <v>679</v>
      </c>
      <c r="BF28" s="141" t="s">
        <v>379</v>
      </c>
      <c r="BG28" s="141" t="s">
        <v>680</v>
      </c>
      <c r="BH28" s="141" t="s">
        <v>381</v>
      </c>
      <c r="BI28" s="141" t="s">
        <v>681</v>
      </c>
      <c r="BJ28" s="141" t="s">
        <v>383</v>
      </c>
      <c r="BK28" s="141" t="s">
        <v>682</v>
      </c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73"/>
    </row>
    <row r="29" spans="2:105" x14ac:dyDescent="0.25">
      <c r="B29" s="172"/>
      <c r="C29" s="141" t="s">
        <v>683</v>
      </c>
      <c r="D29" s="141" t="s">
        <v>684</v>
      </c>
      <c r="E29" s="141" t="s">
        <v>685</v>
      </c>
      <c r="F29" s="141" t="s">
        <v>686</v>
      </c>
      <c r="G29" s="141"/>
      <c r="H29" s="141" t="s">
        <v>354</v>
      </c>
      <c r="I29" s="141"/>
      <c r="J29" s="141" t="s">
        <v>355</v>
      </c>
      <c r="K29" s="141" t="s">
        <v>687</v>
      </c>
      <c r="L29" s="141" t="s">
        <v>688</v>
      </c>
      <c r="M29" s="141" t="s">
        <v>689</v>
      </c>
      <c r="N29" s="141" t="s">
        <v>355</v>
      </c>
      <c r="O29" s="141" t="s">
        <v>359</v>
      </c>
      <c r="P29" s="141" t="s">
        <v>360</v>
      </c>
      <c r="Q29" s="141" t="s">
        <v>361</v>
      </c>
      <c r="R29" s="141" t="s">
        <v>362</v>
      </c>
      <c r="S29" s="141" t="s">
        <v>491</v>
      </c>
      <c r="T29" s="141" t="s">
        <v>652</v>
      </c>
      <c r="U29" s="141" t="s">
        <v>652</v>
      </c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 t="s">
        <v>355</v>
      </c>
      <c r="AL29" s="141" t="s">
        <v>365</v>
      </c>
      <c r="AM29" s="141" t="s">
        <v>355</v>
      </c>
      <c r="AN29" s="141" t="s">
        <v>653</v>
      </c>
      <c r="AO29" s="141" t="s">
        <v>652</v>
      </c>
      <c r="AP29" s="141" t="s">
        <v>654</v>
      </c>
      <c r="AQ29" s="141" t="s">
        <v>655</v>
      </c>
      <c r="AR29" s="141" t="s">
        <v>409</v>
      </c>
      <c r="AS29" s="141" t="s">
        <v>359</v>
      </c>
      <c r="AT29" s="141"/>
      <c r="AU29" s="141" t="s">
        <v>688</v>
      </c>
      <c r="AV29" s="141" t="s">
        <v>656</v>
      </c>
      <c r="AW29" s="141" t="s">
        <v>690</v>
      </c>
      <c r="AX29" s="141" t="s">
        <v>658</v>
      </c>
      <c r="AY29" s="141" t="s">
        <v>691</v>
      </c>
      <c r="AZ29" s="141" t="s">
        <v>660</v>
      </c>
      <c r="BA29" s="141" t="s">
        <v>692</v>
      </c>
      <c r="BB29" s="141" t="s">
        <v>662</v>
      </c>
      <c r="BC29" s="141" t="s">
        <v>693</v>
      </c>
      <c r="BD29" s="141" t="s">
        <v>498</v>
      </c>
      <c r="BE29" s="141" t="s">
        <v>694</v>
      </c>
      <c r="BF29" s="141" t="s">
        <v>379</v>
      </c>
      <c r="BG29" s="141" t="s">
        <v>695</v>
      </c>
      <c r="BH29" s="141" t="s">
        <v>381</v>
      </c>
      <c r="BI29" s="141" t="s">
        <v>696</v>
      </c>
      <c r="BJ29" s="141" t="s">
        <v>383</v>
      </c>
      <c r="BK29" s="141" t="s">
        <v>697</v>
      </c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73"/>
    </row>
    <row r="30" spans="2:105" x14ac:dyDescent="0.25">
      <c r="B30" s="172"/>
      <c r="C30" s="141" t="s">
        <v>698</v>
      </c>
      <c r="D30" s="141" t="s">
        <v>699</v>
      </c>
      <c r="E30" s="141" t="s">
        <v>700</v>
      </c>
      <c r="F30" s="141" t="s">
        <v>453</v>
      </c>
      <c r="G30" s="141"/>
      <c r="H30" s="141" t="s">
        <v>354</v>
      </c>
      <c r="I30" s="141"/>
      <c r="J30" s="141" t="s">
        <v>355</v>
      </c>
      <c r="K30" s="141" t="s">
        <v>701</v>
      </c>
      <c r="L30" s="141" t="s">
        <v>702</v>
      </c>
      <c r="M30" s="141" t="s">
        <v>703</v>
      </c>
      <c r="N30" s="141" t="s">
        <v>355</v>
      </c>
      <c r="O30" s="141" t="s">
        <v>394</v>
      </c>
      <c r="P30" s="141" t="s">
        <v>425</v>
      </c>
      <c r="Q30" s="141" t="s">
        <v>426</v>
      </c>
      <c r="R30" s="141" t="s">
        <v>362</v>
      </c>
      <c r="S30" s="141" t="s">
        <v>491</v>
      </c>
      <c r="T30" s="141" t="s">
        <v>652</v>
      </c>
      <c r="U30" s="141" t="s">
        <v>652</v>
      </c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 t="s">
        <v>355</v>
      </c>
      <c r="AL30" s="141" t="s">
        <v>365</v>
      </c>
      <c r="AM30" s="141" t="s">
        <v>355</v>
      </c>
      <c r="AN30" s="141" t="s">
        <v>653</v>
      </c>
      <c r="AO30" s="141" t="s">
        <v>652</v>
      </c>
      <c r="AP30" s="141" t="s">
        <v>654</v>
      </c>
      <c r="AQ30" s="141" t="s">
        <v>655</v>
      </c>
      <c r="AR30" s="141" t="s">
        <v>409</v>
      </c>
      <c r="AS30" s="141" t="s">
        <v>427</v>
      </c>
      <c r="AT30" s="141"/>
      <c r="AU30" s="141" t="s">
        <v>702</v>
      </c>
      <c r="AV30" s="141" t="s">
        <v>656</v>
      </c>
      <c r="AW30" s="141" t="s">
        <v>704</v>
      </c>
      <c r="AX30" s="141" t="s">
        <v>658</v>
      </c>
      <c r="AY30" s="141" t="s">
        <v>705</v>
      </c>
      <c r="AZ30" s="141" t="s">
        <v>660</v>
      </c>
      <c r="BA30" s="141" t="s">
        <v>706</v>
      </c>
      <c r="BB30" s="141" t="s">
        <v>662</v>
      </c>
      <c r="BC30" s="141" t="s">
        <v>707</v>
      </c>
      <c r="BD30" s="141" t="s">
        <v>498</v>
      </c>
      <c r="BE30" s="141" t="s">
        <v>708</v>
      </c>
      <c r="BF30" s="141" t="s">
        <v>379</v>
      </c>
      <c r="BG30" s="141" t="s">
        <v>709</v>
      </c>
      <c r="BH30" s="141" t="s">
        <v>381</v>
      </c>
      <c r="BI30" s="141" t="s">
        <v>710</v>
      </c>
      <c r="BJ30" s="141" t="s">
        <v>383</v>
      </c>
      <c r="BK30" s="141" t="s">
        <v>711</v>
      </c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73"/>
    </row>
    <row r="31" spans="2:105" x14ac:dyDescent="0.25">
      <c r="B31" s="172"/>
      <c r="C31" s="141" t="s">
        <v>712</v>
      </c>
      <c r="D31" s="141" t="s">
        <v>713</v>
      </c>
      <c r="E31" s="141" t="s">
        <v>714</v>
      </c>
      <c r="F31" s="141" t="s">
        <v>715</v>
      </c>
      <c r="G31" s="141"/>
      <c r="H31" s="141" t="s">
        <v>354</v>
      </c>
      <c r="I31" s="141"/>
      <c r="J31" s="141" t="s">
        <v>355</v>
      </c>
      <c r="K31" s="141" t="s">
        <v>716</v>
      </c>
      <c r="L31" s="141" t="s">
        <v>717</v>
      </c>
      <c r="M31" s="141" t="s">
        <v>718</v>
      </c>
      <c r="N31" s="141" t="s">
        <v>355</v>
      </c>
      <c r="O31" s="141" t="s">
        <v>359</v>
      </c>
      <c r="P31" s="141" t="s">
        <v>360</v>
      </c>
      <c r="Q31" s="141" t="s">
        <v>361</v>
      </c>
      <c r="R31" s="141" t="s">
        <v>362</v>
      </c>
      <c r="S31" s="141" t="s">
        <v>491</v>
      </c>
      <c r="T31" s="141" t="s">
        <v>652</v>
      </c>
      <c r="U31" s="141" t="s">
        <v>652</v>
      </c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 t="s">
        <v>355</v>
      </c>
      <c r="AL31" s="141" t="s">
        <v>365</v>
      </c>
      <c r="AM31" s="141" t="s">
        <v>355</v>
      </c>
      <c r="AN31" s="141" t="s">
        <v>653</v>
      </c>
      <c r="AO31" s="141" t="s">
        <v>652</v>
      </c>
      <c r="AP31" s="141" t="s">
        <v>654</v>
      </c>
      <c r="AQ31" s="141" t="s">
        <v>655</v>
      </c>
      <c r="AR31" s="141" t="s">
        <v>409</v>
      </c>
      <c r="AS31" s="141" t="s">
        <v>442</v>
      </c>
      <c r="AT31" s="141"/>
      <c r="AU31" s="141" t="s">
        <v>717</v>
      </c>
      <c r="AV31" s="141" t="s">
        <v>656</v>
      </c>
      <c r="AW31" s="141" t="s">
        <v>719</v>
      </c>
      <c r="AX31" s="141" t="s">
        <v>658</v>
      </c>
      <c r="AY31" s="141" t="s">
        <v>720</v>
      </c>
      <c r="AZ31" s="141" t="s">
        <v>660</v>
      </c>
      <c r="BA31" s="141" t="s">
        <v>721</v>
      </c>
      <c r="BB31" s="141" t="s">
        <v>662</v>
      </c>
      <c r="BC31" s="141" t="s">
        <v>722</v>
      </c>
      <c r="BD31" s="141" t="s">
        <v>498</v>
      </c>
      <c r="BE31" s="141" t="s">
        <v>723</v>
      </c>
      <c r="BF31" s="141" t="s">
        <v>379</v>
      </c>
      <c r="BG31" s="141" t="s">
        <v>724</v>
      </c>
      <c r="BH31" s="141" t="s">
        <v>381</v>
      </c>
      <c r="BI31" s="141" t="s">
        <v>725</v>
      </c>
      <c r="BJ31" s="141" t="s">
        <v>383</v>
      </c>
      <c r="BK31" s="141" t="s">
        <v>726</v>
      </c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73"/>
    </row>
    <row r="32" spans="2:105" x14ac:dyDescent="0.25">
      <c r="B32" s="172"/>
      <c r="C32" s="141" t="s">
        <v>727</v>
      </c>
      <c r="D32" s="141" t="s">
        <v>371</v>
      </c>
      <c r="E32" s="141" t="s">
        <v>728</v>
      </c>
      <c r="F32" s="141" t="s">
        <v>729</v>
      </c>
      <c r="G32" s="141"/>
      <c r="H32" s="141" t="s">
        <v>354</v>
      </c>
      <c r="I32" s="141"/>
      <c r="J32" s="141" t="s">
        <v>355</v>
      </c>
      <c r="K32" s="141" t="s">
        <v>730</v>
      </c>
      <c r="L32" s="141"/>
      <c r="M32" s="141"/>
      <c r="N32" s="141" t="s">
        <v>370</v>
      </c>
      <c r="O32" s="141" t="s">
        <v>427</v>
      </c>
      <c r="P32" s="141" t="s">
        <v>455</v>
      </c>
      <c r="Q32" s="141" t="s">
        <v>456</v>
      </c>
      <c r="R32" s="141" t="s">
        <v>362</v>
      </c>
      <c r="S32" s="141" t="s">
        <v>491</v>
      </c>
      <c r="T32" s="141" t="s">
        <v>652</v>
      </c>
      <c r="U32" s="141" t="s">
        <v>652</v>
      </c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 t="s">
        <v>355</v>
      </c>
      <c r="AL32" s="141" t="s">
        <v>365</v>
      </c>
      <c r="AM32" s="141" t="s">
        <v>355</v>
      </c>
      <c r="AN32" s="141" t="s">
        <v>653</v>
      </c>
      <c r="AO32" s="141" t="s">
        <v>652</v>
      </c>
      <c r="AP32" s="141" t="s">
        <v>654</v>
      </c>
      <c r="AQ32" s="141" t="s">
        <v>655</v>
      </c>
      <c r="AR32" s="141" t="s">
        <v>409</v>
      </c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73"/>
    </row>
    <row r="33" spans="2:105" x14ac:dyDescent="0.25">
      <c r="B33" s="172"/>
      <c r="C33" s="141" t="s">
        <v>731</v>
      </c>
      <c r="D33" s="141" t="s">
        <v>732</v>
      </c>
      <c r="E33" s="141" t="s">
        <v>733</v>
      </c>
      <c r="F33" s="141" t="s">
        <v>734</v>
      </c>
      <c r="G33" s="141"/>
      <c r="H33" s="141" t="s">
        <v>354</v>
      </c>
      <c r="I33" s="141"/>
      <c r="J33" s="141" t="s">
        <v>355</v>
      </c>
      <c r="K33" s="141" t="s">
        <v>735</v>
      </c>
      <c r="L33" s="141"/>
      <c r="M33" s="141"/>
      <c r="N33" s="141" t="s">
        <v>370</v>
      </c>
      <c r="O33" s="141" t="s">
        <v>359</v>
      </c>
      <c r="P33" s="141" t="s">
        <v>360</v>
      </c>
      <c r="Q33" s="141" t="s">
        <v>361</v>
      </c>
      <c r="R33" s="141" t="s">
        <v>362</v>
      </c>
      <c r="S33" s="141" t="s">
        <v>491</v>
      </c>
      <c r="T33" s="141" t="s">
        <v>652</v>
      </c>
      <c r="U33" s="141" t="s">
        <v>652</v>
      </c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 t="s">
        <v>355</v>
      </c>
      <c r="AL33" s="141" t="s">
        <v>365</v>
      </c>
      <c r="AM33" s="141" t="s">
        <v>355</v>
      </c>
      <c r="AN33" s="141" t="s">
        <v>653</v>
      </c>
      <c r="AO33" s="141" t="s">
        <v>652</v>
      </c>
      <c r="AP33" s="141" t="s">
        <v>654</v>
      </c>
      <c r="AQ33" s="141" t="s">
        <v>655</v>
      </c>
      <c r="AR33" s="141" t="s">
        <v>409</v>
      </c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73"/>
    </row>
    <row r="34" spans="2:105" x14ac:dyDescent="0.25">
      <c r="B34" s="172"/>
      <c r="C34" s="141"/>
      <c r="D34" s="141" t="s">
        <v>736</v>
      </c>
      <c r="E34" s="141"/>
      <c r="F34" s="141" t="s">
        <v>467</v>
      </c>
      <c r="G34" s="141"/>
      <c r="H34" s="141" t="s">
        <v>354</v>
      </c>
      <c r="I34" s="141"/>
      <c r="J34" s="141" t="s">
        <v>355</v>
      </c>
      <c r="K34" s="141" t="s">
        <v>737</v>
      </c>
      <c r="L34" s="141"/>
      <c r="M34" s="141"/>
      <c r="N34" s="141" t="s">
        <v>355</v>
      </c>
      <c r="O34" s="141"/>
      <c r="P34" s="141"/>
      <c r="Q34" s="141"/>
      <c r="R34" s="141"/>
      <c r="S34" s="141" t="s">
        <v>491</v>
      </c>
      <c r="T34" s="141" t="s">
        <v>652</v>
      </c>
      <c r="U34" s="141" t="s">
        <v>652</v>
      </c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 t="s">
        <v>355</v>
      </c>
      <c r="AL34" s="141" t="s">
        <v>365</v>
      </c>
      <c r="AM34" s="141" t="s">
        <v>355</v>
      </c>
      <c r="AN34" s="141" t="s">
        <v>653</v>
      </c>
      <c r="AO34" s="141" t="s">
        <v>652</v>
      </c>
      <c r="AP34" s="141" t="s">
        <v>654</v>
      </c>
      <c r="AQ34" s="141" t="s">
        <v>655</v>
      </c>
      <c r="AR34" s="141" t="s">
        <v>409</v>
      </c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73"/>
    </row>
    <row r="35" spans="2:105" x14ac:dyDescent="0.25">
      <c r="B35" s="172"/>
      <c r="C35" s="141" t="s">
        <v>738</v>
      </c>
      <c r="D35" s="141" t="s">
        <v>739</v>
      </c>
      <c r="E35" s="141" t="s">
        <v>740</v>
      </c>
      <c r="F35" s="141" t="s">
        <v>741</v>
      </c>
      <c r="G35" s="141"/>
      <c r="H35" s="141" t="s">
        <v>354</v>
      </c>
      <c r="I35" s="141"/>
      <c r="J35" s="141" t="s">
        <v>355</v>
      </c>
      <c r="K35" s="141" t="s">
        <v>742</v>
      </c>
      <c r="L35" s="141" t="s">
        <v>743</v>
      </c>
      <c r="M35" s="141" t="s">
        <v>744</v>
      </c>
      <c r="N35" s="141" t="s">
        <v>359</v>
      </c>
      <c r="O35" s="141" t="s">
        <v>394</v>
      </c>
      <c r="P35" s="141" t="s">
        <v>425</v>
      </c>
      <c r="Q35" s="141" t="s">
        <v>426</v>
      </c>
      <c r="R35" s="141" t="s">
        <v>362</v>
      </c>
      <c r="S35" s="141" t="s">
        <v>491</v>
      </c>
      <c r="T35" s="141" t="s">
        <v>652</v>
      </c>
      <c r="U35" s="141" t="s">
        <v>652</v>
      </c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 t="s">
        <v>355</v>
      </c>
      <c r="AL35" s="141" t="s">
        <v>365</v>
      </c>
      <c r="AM35" s="141" t="s">
        <v>355</v>
      </c>
      <c r="AN35" s="141" t="s">
        <v>653</v>
      </c>
      <c r="AO35" s="141" t="s">
        <v>652</v>
      </c>
      <c r="AP35" s="141" t="s">
        <v>654</v>
      </c>
      <c r="AQ35" s="141" t="s">
        <v>655</v>
      </c>
      <c r="AR35" s="141" t="s">
        <v>409</v>
      </c>
      <c r="AS35" s="141"/>
      <c r="AT35" s="141"/>
      <c r="AU35" s="141" t="s">
        <v>743</v>
      </c>
      <c r="AV35" s="141" t="s">
        <v>656</v>
      </c>
      <c r="AW35" s="141" t="s">
        <v>745</v>
      </c>
      <c r="AX35" s="141" t="s">
        <v>658</v>
      </c>
      <c r="AY35" s="141" t="s">
        <v>746</v>
      </c>
      <c r="AZ35" s="141" t="s">
        <v>660</v>
      </c>
      <c r="BA35" s="141" t="s">
        <v>747</v>
      </c>
      <c r="BB35" s="141"/>
      <c r="BC35" s="141"/>
      <c r="BD35" s="141" t="s">
        <v>498</v>
      </c>
      <c r="BE35" s="141" t="s">
        <v>748</v>
      </c>
      <c r="BF35" s="141" t="s">
        <v>379</v>
      </c>
      <c r="BG35" s="141" t="s">
        <v>749</v>
      </c>
      <c r="BH35" s="141" t="s">
        <v>381</v>
      </c>
      <c r="BI35" s="141" t="s">
        <v>750</v>
      </c>
      <c r="BJ35" s="141" t="s">
        <v>383</v>
      </c>
      <c r="BK35" s="141" t="s">
        <v>751</v>
      </c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73"/>
    </row>
    <row r="36" spans="2:105" x14ac:dyDescent="0.25">
      <c r="B36" s="172"/>
      <c r="C36" s="141" t="s">
        <v>752</v>
      </c>
      <c r="D36" s="141" t="s">
        <v>656</v>
      </c>
      <c r="E36" s="141" t="s">
        <v>753</v>
      </c>
      <c r="F36" s="141" t="s">
        <v>754</v>
      </c>
      <c r="G36" s="141"/>
      <c r="H36" s="141" t="s">
        <v>354</v>
      </c>
      <c r="I36" s="141"/>
      <c r="J36" s="141" t="s">
        <v>355</v>
      </c>
      <c r="K36" s="141" t="s">
        <v>755</v>
      </c>
      <c r="L36" s="141" t="s">
        <v>756</v>
      </c>
      <c r="M36" s="141" t="s">
        <v>757</v>
      </c>
      <c r="N36" s="141" t="s">
        <v>359</v>
      </c>
      <c r="O36" s="141" t="s">
        <v>394</v>
      </c>
      <c r="P36" s="141" t="s">
        <v>425</v>
      </c>
      <c r="Q36" s="141" t="s">
        <v>426</v>
      </c>
      <c r="R36" s="141" t="s">
        <v>362</v>
      </c>
      <c r="S36" s="141" t="s">
        <v>491</v>
      </c>
      <c r="T36" s="141" t="s">
        <v>652</v>
      </c>
      <c r="U36" s="141" t="s">
        <v>652</v>
      </c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 t="s">
        <v>355</v>
      </c>
      <c r="AL36" s="141" t="s">
        <v>365</v>
      </c>
      <c r="AM36" s="141" t="s">
        <v>355</v>
      </c>
      <c r="AN36" s="141" t="s">
        <v>653</v>
      </c>
      <c r="AO36" s="141" t="s">
        <v>652</v>
      </c>
      <c r="AP36" s="141" t="s">
        <v>654</v>
      </c>
      <c r="AQ36" s="141" t="s">
        <v>655</v>
      </c>
      <c r="AR36" s="141" t="s">
        <v>409</v>
      </c>
      <c r="AS36" s="141"/>
      <c r="AT36" s="141"/>
      <c r="AU36" s="141" t="s">
        <v>756</v>
      </c>
      <c r="AV36" s="141" t="s">
        <v>656</v>
      </c>
      <c r="AW36" s="141" t="s">
        <v>758</v>
      </c>
      <c r="AX36" s="141" t="s">
        <v>658</v>
      </c>
      <c r="AY36" s="141" t="s">
        <v>759</v>
      </c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 t="s">
        <v>383</v>
      </c>
      <c r="BK36" s="141" t="s">
        <v>760</v>
      </c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73"/>
    </row>
    <row r="37" spans="2:105" x14ac:dyDescent="0.25">
      <c r="B37" s="172"/>
      <c r="C37" s="141"/>
      <c r="D37" s="141" t="s">
        <v>761</v>
      </c>
      <c r="E37" s="141"/>
      <c r="F37" s="141" t="s">
        <v>467</v>
      </c>
      <c r="G37" s="141"/>
      <c r="H37" s="141" t="s">
        <v>354</v>
      </c>
      <c r="I37" s="141"/>
      <c r="J37" s="141" t="s">
        <v>355</v>
      </c>
      <c r="K37" s="141" t="s">
        <v>762</v>
      </c>
      <c r="L37" s="141"/>
      <c r="M37" s="141"/>
      <c r="N37" s="141" t="s">
        <v>355</v>
      </c>
      <c r="O37" s="141"/>
      <c r="P37" s="141"/>
      <c r="Q37" s="141"/>
      <c r="R37" s="141"/>
      <c r="S37" s="141" t="s">
        <v>491</v>
      </c>
      <c r="T37" s="141" t="s">
        <v>652</v>
      </c>
      <c r="U37" s="141" t="s">
        <v>652</v>
      </c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 t="s">
        <v>355</v>
      </c>
      <c r="AL37" s="141" t="s">
        <v>365</v>
      </c>
      <c r="AM37" s="141" t="s">
        <v>355</v>
      </c>
      <c r="AN37" s="141" t="s">
        <v>653</v>
      </c>
      <c r="AO37" s="141" t="s">
        <v>652</v>
      </c>
      <c r="AP37" s="141" t="s">
        <v>654</v>
      </c>
      <c r="AQ37" s="141" t="s">
        <v>655</v>
      </c>
      <c r="AR37" s="141" t="s">
        <v>409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73"/>
    </row>
    <row r="38" spans="2:105" x14ac:dyDescent="0.25">
      <c r="B38" s="172"/>
      <c r="C38" s="141" t="s">
        <v>763</v>
      </c>
      <c r="D38" s="141" t="s">
        <v>764</v>
      </c>
      <c r="E38" s="141" t="s">
        <v>765</v>
      </c>
      <c r="F38" s="141" t="s">
        <v>766</v>
      </c>
      <c r="G38" s="141"/>
      <c r="H38" s="141" t="s">
        <v>354</v>
      </c>
      <c r="I38" s="141"/>
      <c r="J38" s="141" t="s">
        <v>355</v>
      </c>
      <c r="K38" s="141" t="s">
        <v>755</v>
      </c>
      <c r="L38" s="141" t="s">
        <v>767</v>
      </c>
      <c r="M38" s="141" t="s">
        <v>768</v>
      </c>
      <c r="N38" s="141" t="s">
        <v>355</v>
      </c>
      <c r="O38" s="141" t="s">
        <v>394</v>
      </c>
      <c r="P38" s="141" t="s">
        <v>425</v>
      </c>
      <c r="Q38" s="141" t="s">
        <v>426</v>
      </c>
      <c r="R38" s="141" t="s">
        <v>362</v>
      </c>
      <c r="S38" s="141" t="s">
        <v>409</v>
      </c>
      <c r="T38" s="141" t="s">
        <v>769</v>
      </c>
      <c r="U38" s="141" t="s">
        <v>769</v>
      </c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 t="s">
        <v>355</v>
      </c>
      <c r="AL38" s="141" t="s">
        <v>365</v>
      </c>
      <c r="AM38" s="141" t="s">
        <v>355</v>
      </c>
      <c r="AN38" s="141" t="s">
        <v>770</v>
      </c>
      <c r="AO38" s="141" t="s">
        <v>769</v>
      </c>
      <c r="AP38" s="141" t="s">
        <v>771</v>
      </c>
      <c r="AQ38" s="141" t="s">
        <v>772</v>
      </c>
      <c r="AR38" s="141" t="s">
        <v>486</v>
      </c>
      <c r="AS38" s="141" t="s">
        <v>370</v>
      </c>
      <c r="AT38" s="141"/>
      <c r="AU38" s="141" t="s">
        <v>767</v>
      </c>
      <c r="AV38" s="141" t="s">
        <v>773</v>
      </c>
      <c r="AW38" s="141" t="s">
        <v>774</v>
      </c>
      <c r="AX38" s="141" t="s">
        <v>775</v>
      </c>
      <c r="AY38" s="141" t="s">
        <v>776</v>
      </c>
      <c r="AZ38" s="141" t="s">
        <v>777</v>
      </c>
      <c r="BA38" s="141" t="s">
        <v>778</v>
      </c>
      <c r="BB38" s="141" t="s">
        <v>779</v>
      </c>
      <c r="BC38" s="141" t="s">
        <v>661</v>
      </c>
      <c r="BD38" s="141" t="s">
        <v>780</v>
      </c>
      <c r="BE38" s="141" t="s">
        <v>781</v>
      </c>
      <c r="BF38" s="141" t="s">
        <v>782</v>
      </c>
      <c r="BG38" s="141" t="s">
        <v>783</v>
      </c>
      <c r="BH38" s="141" t="s">
        <v>784</v>
      </c>
      <c r="BI38" s="141" t="s">
        <v>785</v>
      </c>
      <c r="BJ38" s="141" t="s">
        <v>786</v>
      </c>
      <c r="BK38" s="141" t="s">
        <v>787</v>
      </c>
      <c r="BL38" s="141" t="s">
        <v>788</v>
      </c>
      <c r="BM38" s="141" t="s">
        <v>789</v>
      </c>
      <c r="BN38" s="141" t="s">
        <v>383</v>
      </c>
      <c r="BO38" s="141" t="s">
        <v>790</v>
      </c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73"/>
    </row>
    <row r="39" spans="2:105" x14ac:dyDescent="0.25">
      <c r="B39" s="172"/>
      <c r="C39" s="141" t="s">
        <v>791</v>
      </c>
      <c r="D39" s="141" t="s">
        <v>792</v>
      </c>
      <c r="E39" s="141" t="s">
        <v>793</v>
      </c>
      <c r="F39" s="141" t="s">
        <v>794</v>
      </c>
      <c r="G39" s="141"/>
      <c r="H39" s="141" t="s">
        <v>354</v>
      </c>
      <c r="I39" s="141"/>
      <c r="J39" s="141" t="s">
        <v>355</v>
      </c>
      <c r="K39" s="141" t="s">
        <v>575</v>
      </c>
      <c r="L39" s="141" t="s">
        <v>795</v>
      </c>
      <c r="M39" s="141" t="s">
        <v>796</v>
      </c>
      <c r="N39" s="141" t="s">
        <v>355</v>
      </c>
      <c r="O39" s="141" t="s">
        <v>394</v>
      </c>
      <c r="P39" s="141" t="s">
        <v>425</v>
      </c>
      <c r="Q39" s="141" t="s">
        <v>426</v>
      </c>
      <c r="R39" s="141" t="s">
        <v>362</v>
      </c>
      <c r="S39" s="141" t="s">
        <v>409</v>
      </c>
      <c r="T39" s="141" t="s">
        <v>769</v>
      </c>
      <c r="U39" s="141" t="s">
        <v>769</v>
      </c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 t="s">
        <v>355</v>
      </c>
      <c r="AL39" s="141" t="s">
        <v>365</v>
      </c>
      <c r="AM39" s="141" t="s">
        <v>355</v>
      </c>
      <c r="AN39" s="141" t="s">
        <v>770</v>
      </c>
      <c r="AO39" s="141" t="s">
        <v>769</v>
      </c>
      <c r="AP39" s="141" t="s">
        <v>771</v>
      </c>
      <c r="AQ39" s="141" t="s">
        <v>772</v>
      </c>
      <c r="AR39" s="141" t="s">
        <v>486</v>
      </c>
      <c r="AS39" s="141" t="s">
        <v>394</v>
      </c>
      <c r="AT39" s="141"/>
      <c r="AU39" s="141" t="s">
        <v>795</v>
      </c>
      <c r="AV39" s="141" t="s">
        <v>773</v>
      </c>
      <c r="AW39" s="141" t="s">
        <v>797</v>
      </c>
      <c r="AX39" s="141" t="s">
        <v>775</v>
      </c>
      <c r="AY39" s="141" t="s">
        <v>798</v>
      </c>
      <c r="AZ39" s="141" t="s">
        <v>777</v>
      </c>
      <c r="BA39" s="141" t="s">
        <v>799</v>
      </c>
      <c r="BB39" s="141" t="s">
        <v>779</v>
      </c>
      <c r="BC39" s="141" t="s">
        <v>800</v>
      </c>
      <c r="BD39" s="141" t="s">
        <v>780</v>
      </c>
      <c r="BE39" s="141" t="s">
        <v>551</v>
      </c>
      <c r="BF39" s="141" t="s">
        <v>782</v>
      </c>
      <c r="BG39" s="141" t="s">
        <v>801</v>
      </c>
      <c r="BH39" s="141" t="s">
        <v>784</v>
      </c>
      <c r="BI39" s="141" t="s">
        <v>682</v>
      </c>
      <c r="BJ39" s="141" t="s">
        <v>786</v>
      </c>
      <c r="BK39" s="141" t="s">
        <v>802</v>
      </c>
      <c r="BL39" s="141" t="s">
        <v>788</v>
      </c>
      <c r="BM39" s="141" t="s">
        <v>803</v>
      </c>
      <c r="BN39" s="141" t="s">
        <v>383</v>
      </c>
      <c r="BO39" s="141" t="s">
        <v>804</v>
      </c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73"/>
    </row>
    <row r="40" spans="2:105" x14ac:dyDescent="0.25">
      <c r="B40" s="172"/>
      <c r="C40" s="141" t="s">
        <v>805</v>
      </c>
      <c r="D40" s="141" t="s">
        <v>806</v>
      </c>
      <c r="E40" s="141" t="s">
        <v>700</v>
      </c>
      <c r="F40" s="141" t="s">
        <v>605</v>
      </c>
      <c r="G40" s="141"/>
      <c r="H40" s="141" t="s">
        <v>354</v>
      </c>
      <c r="I40" s="141"/>
      <c r="J40" s="141" t="s">
        <v>355</v>
      </c>
      <c r="K40" s="141" t="s">
        <v>807</v>
      </c>
      <c r="L40" s="141" t="s">
        <v>808</v>
      </c>
      <c r="M40" s="141" t="s">
        <v>809</v>
      </c>
      <c r="N40" s="141" t="s">
        <v>355</v>
      </c>
      <c r="O40" s="141" t="s">
        <v>394</v>
      </c>
      <c r="P40" s="141" t="s">
        <v>425</v>
      </c>
      <c r="Q40" s="141" t="s">
        <v>426</v>
      </c>
      <c r="R40" s="141" t="s">
        <v>362</v>
      </c>
      <c r="S40" s="141" t="s">
        <v>409</v>
      </c>
      <c r="T40" s="141" t="s">
        <v>769</v>
      </c>
      <c r="U40" s="141" t="s">
        <v>769</v>
      </c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 t="s">
        <v>355</v>
      </c>
      <c r="AL40" s="141" t="s">
        <v>365</v>
      </c>
      <c r="AM40" s="141" t="s">
        <v>355</v>
      </c>
      <c r="AN40" s="141" t="s">
        <v>770</v>
      </c>
      <c r="AO40" s="141" t="s">
        <v>769</v>
      </c>
      <c r="AP40" s="141" t="s">
        <v>771</v>
      </c>
      <c r="AQ40" s="141" t="s">
        <v>772</v>
      </c>
      <c r="AR40" s="141" t="s">
        <v>486</v>
      </c>
      <c r="AS40" s="141" t="s">
        <v>359</v>
      </c>
      <c r="AT40" s="141"/>
      <c r="AU40" s="141" t="s">
        <v>808</v>
      </c>
      <c r="AV40" s="141" t="s">
        <v>773</v>
      </c>
      <c r="AW40" s="141" t="s">
        <v>810</v>
      </c>
      <c r="AX40" s="141" t="s">
        <v>775</v>
      </c>
      <c r="AY40" s="141" t="s">
        <v>811</v>
      </c>
      <c r="AZ40" s="141" t="s">
        <v>777</v>
      </c>
      <c r="BA40" s="141" t="s">
        <v>812</v>
      </c>
      <c r="BB40" s="141" t="s">
        <v>779</v>
      </c>
      <c r="BC40" s="141" t="s">
        <v>813</v>
      </c>
      <c r="BD40" s="141" t="s">
        <v>780</v>
      </c>
      <c r="BE40" s="141" t="s">
        <v>814</v>
      </c>
      <c r="BF40" s="141" t="s">
        <v>782</v>
      </c>
      <c r="BG40" s="141" t="s">
        <v>815</v>
      </c>
      <c r="BH40" s="141" t="s">
        <v>784</v>
      </c>
      <c r="BI40" s="141" t="s">
        <v>816</v>
      </c>
      <c r="BJ40" s="141" t="s">
        <v>786</v>
      </c>
      <c r="BK40" s="141" t="s">
        <v>817</v>
      </c>
      <c r="BL40" s="141" t="s">
        <v>788</v>
      </c>
      <c r="BM40" s="141" t="s">
        <v>818</v>
      </c>
      <c r="BN40" s="141" t="s">
        <v>383</v>
      </c>
      <c r="BO40" s="141" t="s">
        <v>441</v>
      </c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73"/>
    </row>
    <row r="41" spans="2:105" x14ac:dyDescent="0.25">
      <c r="B41" s="172"/>
      <c r="C41" s="141" t="s">
        <v>819</v>
      </c>
      <c r="D41" s="141" t="s">
        <v>655</v>
      </c>
      <c r="E41" s="141" t="s">
        <v>820</v>
      </c>
      <c r="F41" s="141" t="s">
        <v>821</v>
      </c>
      <c r="G41" s="141"/>
      <c r="H41" s="141" t="s">
        <v>354</v>
      </c>
      <c r="I41" s="141"/>
      <c r="J41" s="141" t="s">
        <v>355</v>
      </c>
      <c r="K41" s="141" t="s">
        <v>742</v>
      </c>
      <c r="L41" s="141" t="s">
        <v>822</v>
      </c>
      <c r="M41" s="141" t="s">
        <v>823</v>
      </c>
      <c r="N41" s="141" t="s">
        <v>355</v>
      </c>
      <c r="O41" s="141" t="s">
        <v>394</v>
      </c>
      <c r="P41" s="141" t="s">
        <v>425</v>
      </c>
      <c r="Q41" s="141" t="s">
        <v>426</v>
      </c>
      <c r="R41" s="141" t="s">
        <v>362</v>
      </c>
      <c r="S41" s="141" t="s">
        <v>409</v>
      </c>
      <c r="T41" s="141" t="s">
        <v>769</v>
      </c>
      <c r="U41" s="141" t="s">
        <v>769</v>
      </c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 t="s">
        <v>355</v>
      </c>
      <c r="AL41" s="141" t="s">
        <v>365</v>
      </c>
      <c r="AM41" s="141" t="s">
        <v>355</v>
      </c>
      <c r="AN41" s="141" t="s">
        <v>770</v>
      </c>
      <c r="AO41" s="141" t="s">
        <v>769</v>
      </c>
      <c r="AP41" s="141" t="s">
        <v>771</v>
      </c>
      <c r="AQ41" s="141" t="s">
        <v>772</v>
      </c>
      <c r="AR41" s="141" t="s">
        <v>486</v>
      </c>
      <c r="AS41" s="141" t="s">
        <v>427</v>
      </c>
      <c r="AT41" s="141"/>
      <c r="AU41" s="141" t="s">
        <v>822</v>
      </c>
      <c r="AV41" s="141" t="s">
        <v>773</v>
      </c>
      <c r="AW41" s="141" t="s">
        <v>824</v>
      </c>
      <c r="AX41" s="141" t="s">
        <v>775</v>
      </c>
      <c r="AY41" s="141" t="s">
        <v>825</v>
      </c>
      <c r="AZ41" s="141" t="s">
        <v>777</v>
      </c>
      <c r="BA41" s="141" t="s">
        <v>826</v>
      </c>
      <c r="BB41" s="141" t="s">
        <v>779</v>
      </c>
      <c r="BC41" s="141" t="s">
        <v>827</v>
      </c>
      <c r="BD41" s="141" t="s">
        <v>780</v>
      </c>
      <c r="BE41" s="141" t="s">
        <v>828</v>
      </c>
      <c r="BF41" s="141" t="s">
        <v>782</v>
      </c>
      <c r="BG41" s="141" t="s">
        <v>829</v>
      </c>
      <c r="BH41" s="141" t="s">
        <v>784</v>
      </c>
      <c r="BI41" s="141" t="s">
        <v>830</v>
      </c>
      <c r="BJ41" s="141" t="s">
        <v>786</v>
      </c>
      <c r="BK41" s="141" t="s">
        <v>831</v>
      </c>
      <c r="BL41" s="141" t="s">
        <v>788</v>
      </c>
      <c r="BM41" s="141" t="s">
        <v>832</v>
      </c>
      <c r="BN41" s="141" t="s">
        <v>383</v>
      </c>
      <c r="BO41" s="141" t="s">
        <v>833</v>
      </c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73"/>
    </row>
    <row r="42" spans="2:105" x14ac:dyDescent="0.25">
      <c r="B42" s="172"/>
      <c r="C42" s="141" t="s">
        <v>834</v>
      </c>
      <c r="D42" s="141" t="s">
        <v>835</v>
      </c>
      <c r="E42" s="141" t="s">
        <v>836</v>
      </c>
      <c r="F42" s="141" t="s">
        <v>509</v>
      </c>
      <c r="G42" s="141"/>
      <c r="H42" s="141" t="s">
        <v>354</v>
      </c>
      <c r="I42" s="141"/>
      <c r="J42" s="141" t="s">
        <v>355</v>
      </c>
      <c r="K42" s="141" t="s">
        <v>483</v>
      </c>
      <c r="L42" s="141" t="s">
        <v>837</v>
      </c>
      <c r="M42" s="141" t="s">
        <v>838</v>
      </c>
      <c r="N42" s="141" t="s">
        <v>355</v>
      </c>
      <c r="O42" s="141" t="s">
        <v>409</v>
      </c>
      <c r="P42" s="141" t="s">
        <v>410</v>
      </c>
      <c r="Q42" s="141" t="s">
        <v>410</v>
      </c>
      <c r="R42" s="141" t="s">
        <v>362</v>
      </c>
      <c r="S42" s="141" t="s">
        <v>409</v>
      </c>
      <c r="T42" s="141" t="s">
        <v>769</v>
      </c>
      <c r="U42" s="141" t="s">
        <v>769</v>
      </c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 t="s">
        <v>355</v>
      </c>
      <c r="AL42" s="141" t="s">
        <v>365</v>
      </c>
      <c r="AM42" s="141" t="s">
        <v>355</v>
      </c>
      <c r="AN42" s="141" t="s">
        <v>770</v>
      </c>
      <c r="AO42" s="141" t="s">
        <v>769</v>
      </c>
      <c r="AP42" s="141" t="s">
        <v>771</v>
      </c>
      <c r="AQ42" s="141" t="s">
        <v>772</v>
      </c>
      <c r="AR42" s="141" t="s">
        <v>486</v>
      </c>
      <c r="AS42" s="141" t="s">
        <v>442</v>
      </c>
      <c r="AT42" s="141"/>
      <c r="AU42" s="141" t="s">
        <v>837</v>
      </c>
      <c r="AV42" s="141" t="s">
        <v>773</v>
      </c>
      <c r="AW42" s="141" t="s">
        <v>839</v>
      </c>
      <c r="AX42" s="141" t="s">
        <v>775</v>
      </c>
      <c r="AY42" s="141" t="s">
        <v>512</v>
      </c>
      <c r="AZ42" s="141" t="s">
        <v>777</v>
      </c>
      <c r="BA42" s="141" t="s">
        <v>840</v>
      </c>
      <c r="BB42" s="141" t="s">
        <v>779</v>
      </c>
      <c r="BC42" s="141" t="s">
        <v>841</v>
      </c>
      <c r="BD42" s="141" t="s">
        <v>780</v>
      </c>
      <c r="BE42" s="141" t="s">
        <v>842</v>
      </c>
      <c r="BF42" s="141" t="s">
        <v>782</v>
      </c>
      <c r="BG42" s="141" t="s">
        <v>843</v>
      </c>
      <c r="BH42" s="141" t="s">
        <v>784</v>
      </c>
      <c r="BI42" s="141" t="s">
        <v>844</v>
      </c>
      <c r="BJ42" s="141" t="s">
        <v>786</v>
      </c>
      <c r="BK42" s="141" t="s">
        <v>845</v>
      </c>
      <c r="BL42" s="141" t="s">
        <v>788</v>
      </c>
      <c r="BM42" s="141" t="s">
        <v>846</v>
      </c>
      <c r="BN42" s="141" t="s">
        <v>383</v>
      </c>
      <c r="BO42" s="141" t="s">
        <v>847</v>
      </c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73"/>
    </row>
    <row r="43" spans="2:105" x14ac:dyDescent="0.25">
      <c r="B43" s="172"/>
      <c r="C43" s="141" t="s">
        <v>848</v>
      </c>
      <c r="D43" s="141" t="s">
        <v>849</v>
      </c>
      <c r="E43" s="141" t="s">
        <v>850</v>
      </c>
      <c r="F43" s="141" t="s">
        <v>851</v>
      </c>
      <c r="G43" s="141"/>
      <c r="H43" s="141" t="s">
        <v>354</v>
      </c>
      <c r="I43" s="141"/>
      <c r="J43" s="141" t="s">
        <v>355</v>
      </c>
      <c r="K43" s="141" t="s">
        <v>852</v>
      </c>
      <c r="L43" s="141" t="s">
        <v>853</v>
      </c>
      <c r="M43" s="141" t="s">
        <v>854</v>
      </c>
      <c r="N43" s="141" t="s">
        <v>355</v>
      </c>
      <c r="O43" s="141" t="s">
        <v>409</v>
      </c>
      <c r="P43" s="141" t="s">
        <v>410</v>
      </c>
      <c r="Q43" s="141" t="s">
        <v>410</v>
      </c>
      <c r="R43" s="141" t="s">
        <v>362</v>
      </c>
      <c r="S43" s="141" t="s">
        <v>409</v>
      </c>
      <c r="T43" s="141" t="s">
        <v>769</v>
      </c>
      <c r="U43" s="141" t="s">
        <v>769</v>
      </c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 t="s">
        <v>355</v>
      </c>
      <c r="AL43" s="141" t="s">
        <v>365</v>
      </c>
      <c r="AM43" s="141" t="s">
        <v>355</v>
      </c>
      <c r="AN43" s="141" t="s">
        <v>770</v>
      </c>
      <c r="AO43" s="141" t="s">
        <v>769</v>
      </c>
      <c r="AP43" s="141" t="s">
        <v>771</v>
      </c>
      <c r="AQ43" s="141" t="s">
        <v>772</v>
      </c>
      <c r="AR43" s="141" t="s">
        <v>486</v>
      </c>
      <c r="AS43" s="141" t="s">
        <v>392</v>
      </c>
      <c r="AT43" s="141"/>
      <c r="AU43" s="141" t="s">
        <v>853</v>
      </c>
      <c r="AV43" s="141" t="s">
        <v>773</v>
      </c>
      <c r="AW43" s="141" t="s">
        <v>855</v>
      </c>
      <c r="AX43" s="141" t="s">
        <v>775</v>
      </c>
      <c r="AY43" s="141" t="s">
        <v>856</v>
      </c>
      <c r="AZ43" s="141" t="s">
        <v>777</v>
      </c>
      <c r="BA43" s="141" t="s">
        <v>857</v>
      </c>
      <c r="BB43" s="141" t="s">
        <v>779</v>
      </c>
      <c r="BC43" s="141" t="s">
        <v>858</v>
      </c>
      <c r="BD43" s="141" t="s">
        <v>780</v>
      </c>
      <c r="BE43" s="141" t="s">
        <v>859</v>
      </c>
      <c r="BF43" s="141" t="s">
        <v>782</v>
      </c>
      <c r="BG43" s="141" t="s">
        <v>860</v>
      </c>
      <c r="BH43" s="141" t="s">
        <v>784</v>
      </c>
      <c r="BI43" s="141" t="s">
        <v>861</v>
      </c>
      <c r="BJ43" s="141" t="s">
        <v>786</v>
      </c>
      <c r="BK43" s="141" t="s">
        <v>862</v>
      </c>
      <c r="BL43" s="141" t="s">
        <v>788</v>
      </c>
      <c r="BM43" s="141" t="s">
        <v>863</v>
      </c>
      <c r="BN43" s="141" t="s">
        <v>383</v>
      </c>
      <c r="BO43" s="141" t="s">
        <v>864</v>
      </c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73"/>
    </row>
    <row r="44" spans="2:105" x14ac:dyDescent="0.25">
      <c r="B44" s="172"/>
      <c r="C44" s="141"/>
      <c r="D44" s="141" t="s">
        <v>865</v>
      </c>
      <c r="E44" s="141"/>
      <c r="F44" s="141" t="s">
        <v>467</v>
      </c>
      <c r="G44" s="141"/>
      <c r="H44" s="141" t="s">
        <v>354</v>
      </c>
      <c r="I44" s="141"/>
      <c r="J44" s="141" t="s">
        <v>355</v>
      </c>
      <c r="K44" s="141" t="s">
        <v>866</v>
      </c>
      <c r="L44" s="141"/>
      <c r="M44" s="141"/>
      <c r="N44" s="141" t="s">
        <v>355</v>
      </c>
      <c r="O44" s="141"/>
      <c r="P44" s="141"/>
      <c r="Q44" s="141"/>
      <c r="R44" s="141"/>
      <c r="S44" s="141" t="s">
        <v>409</v>
      </c>
      <c r="T44" s="141" t="s">
        <v>769</v>
      </c>
      <c r="U44" s="141" t="s">
        <v>769</v>
      </c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 t="s">
        <v>355</v>
      </c>
      <c r="AL44" s="141" t="s">
        <v>365</v>
      </c>
      <c r="AM44" s="141" t="s">
        <v>355</v>
      </c>
      <c r="AN44" s="141" t="s">
        <v>770</v>
      </c>
      <c r="AO44" s="141" t="s">
        <v>769</v>
      </c>
      <c r="AP44" s="141" t="s">
        <v>771</v>
      </c>
      <c r="AQ44" s="141" t="s">
        <v>772</v>
      </c>
      <c r="AR44" s="141" t="s">
        <v>486</v>
      </c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73"/>
    </row>
    <row r="45" spans="2:105" x14ac:dyDescent="0.25">
      <c r="B45" s="172"/>
      <c r="C45" s="141" t="s">
        <v>867</v>
      </c>
      <c r="D45" s="141" t="s">
        <v>868</v>
      </c>
      <c r="E45" s="141" t="s">
        <v>869</v>
      </c>
      <c r="F45" s="141" t="s">
        <v>870</v>
      </c>
      <c r="G45" s="141"/>
      <c r="H45" s="141" t="s">
        <v>354</v>
      </c>
      <c r="I45" s="141"/>
      <c r="J45" s="141" t="s">
        <v>355</v>
      </c>
      <c r="K45" s="141" t="s">
        <v>606</v>
      </c>
      <c r="L45" s="141"/>
      <c r="M45" s="141"/>
      <c r="N45" s="141" t="s">
        <v>394</v>
      </c>
      <c r="O45" s="141" t="s">
        <v>392</v>
      </c>
      <c r="P45" s="141" t="s">
        <v>393</v>
      </c>
      <c r="Q45" s="141" t="s">
        <v>393</v>
      </c>
      <c r="R45" s="141" t="s">
        <v>362</v>
      </c>
      <c r="S45" s="141" t="s">
        <v>409</v>
      </c>
      <c r="T45" s="141" t="s">
        <v>769</v>
      </c>
      <c r="U45" s="141" t="s">
        <v>769</v>
      </c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 t="s">
        <v>355</v>
      </c>
      <c r="AL45" s="141" t="s">
        <v>365</v>
      </c>
      <c r="AM45" s="141" t="s">
        <v>355</v>
      </c>
      <c r="AN45" s="141" t="s">
        <v>770</v>
      </c>
      <c r="AO45" s="141" t="s">
        <v>769</v>
      </c>
      <c r="AP45" s="141" t="s">
        <v>771</v>
      </c>
      <c r="AQ45" s="141" t="s">
        <v>772</v>
      </c>
      <c r="AR45" s="141" t="s">
        <v>486</v>
      </c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73"/>
    </row>
    <row r="46" spans="2:105" x14ac:dyDescent="0.25">
      <c r="B46" s="172"/>
      <c r="C46" s="141"/>
      <c r="D46" s="141" t="s">
        <v>871</v>
      </c>
      <c r="E46" s="141"/>
      <c r="F46" s="141" t="s">
        <v>467</v>
      </c>
      <c r="G46" s="141"/>
      <c r="H46" s="141" t="s">
        <v>354</v>
      </c>
      <c r="I46" s="141"/>
      <c r="J46" s="141" t="s">
        <v>355</v>
      </c>
      <c r="K46" s="141" t="s">
        <v>872</v>
      </c>
      <c r="L46" s="141"/>
      <c r="M46" s="141"/>
      <c r="N46" s="141" t="s">
        <v>355</v>
      </c>
      <c r="O46" s="141"/>
      <c r="P46" s="141"/>
      <c r="Q46" s="141"/>
      <c r="R46" s="141"/>
      <c r="S46" s="141" t="s">
        <v>409</v>
      </c>
      <c r="T46" s="141" t="s">
        <v>769</v>
      </c>
      <c r="U46" s="141" t="s">
        <v>769</v>
      </c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 t="s">
        <v>355</v>
      </c>
      <c r="AL46" s="141" t="s">
        <v>365</v>
      </c>
      <c r="AM46" s="141" t="s">
        <v>355</v>
      </c>
      <c r="AN46" s="141" t="s">
        <v>770</v>
      </c>
      <c r="AO46" s="141" t="s">
        <v>769</v>
      </c>
      <c r="AP46" s="141" t="s">
        <v>771</v>
      </c>
      <c r="AQ46" s="141" t="s">
        <v>772</v>
      </c>
      <c r="AR46" s="141" t="s">
        <v>486</v>
      </c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73"/>
    </row>
    <row r="47" spans="2:105" x14ac:dyDescent="0.25">
      <c r="B47" s="172"/>
      <c r="C47" s="141" t="s">
        <v>873</v>
      </c>
      <c r="D47" s="141" t="s">
        <v>874</v>
      </c>
      <c r="E47" s="141" t="s">
        <v>875</v>
      </c>
      <c r="F47" s="141" t="s">
        <v>438</v>
      </c>
      <c r="G47" s="141"/>
      <c r="H47" s="141" t="s">
        <v>354</v>
      </c>
      <c r="I47" s="141"/>
      <c r="J47" s="141" t="s">
        <v>355</v>
      </c>
      <c r="K47" s="141" t="s">
        <v>737</v>
      </c>
      <c r="L47" s="141" t="s">
        <v>876</v>
      </c>
      <c r="M47" s="141" t="s">
        <v>877</v>
      </c>
      <c r="N47" s="141" t="s">
        <v>359</v>
      </c>
      <c r="O47" s="141" t="s">
        <v>409</v>
      </c>
      <c r="P47" s="141" t="s">
        <v>410</v>
      </c>
      <c r="Q47" s="141" t="s">
        <v>410</v>
      </c>
      <c r="R47" s="141" t="s">
        <v>362</v>
      </c>
      <c r="S47" s="141" t="s">
        <v>409</v>
      </c>
      <c r="T47" s="141" t="s">
        <v>769</v>
      </c>
      <c r="U47" s="141" t="s">
        <v>769</v>
      </c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 t="s">
        <v>355</v>
      </c>
      <c r="AL47" s="141" t="s">
        <v>365</v>
      </c>
      <c r="AM47" s="141" t="s">
        <v>355</v>
      </c>
      <c r="AN47" s="141" t="s">
        <v>770</v>
      </c>
      <c r="AO47" s="141" t="s">
        <v>769</v>
      </c>
      <c r="AP47" s="141" t="s">
        <v>771</v>
      </c>
      <c r="AQ47" s="141" t="s">
        <v>772</v>
      </c>
      <c r="AR47" s="141" t="s">
        <v>486</v>
      </c>
      <c r="AS47" s="141"/>
      <c r="AT47" s="141"/>
      <c r="AU47" s="141" t="s">
        <v>876</v>
      </c>
      <c r="AV47" s="141" t="s">
        <v>773</v>
      </c>
      <c r="AW47" s="141" t="s">
        <v>878</v>
      </c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 t="s">
        <v>383</v>
      </c>
      <c r="BO47" s="141" t="s">
        <v>879</v>
      </c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73"/>
    </row>
    <row r="48" spans="2:105" x14ac:dyDescent="0.25">
      <c r="B48" s="172"/>
      <c r="C48" s="141" t="s">
        <v>880</v>
      </c>
      <c r="D48" s="141" t="s">
        <v>394</v>
      </c>
      <c r="E48" s="141" t="s">
        <v>881</v>
      </c>
      <c r="F48" s="141" t="s">
        <v>882</v>
      </c>
      <c r="G48" s="141"/>
      <c r="H48" s="141" t="s">
        <v>354</v>
      </c>
      <c r="I48" s="141"/>
      <c r="J48" s="141" t="s">
        <v>355</v>
      </c>
      <c r="K48" s="141" t="s">
        <v>883</v>
      </c>
      <c r="L48" s="141" t="s">
        <v>884</v>
      </c>
      <c r="M48" s="141" t="s">
        <v>885</v>
      </c>
      <c r="N48" s="141" t="s">
        <v>355</v>
      </c>
      <c r="O48" s="141" t="s">
        <v>370</v>
      </c>
      <c r="P48" s="141" t="s">
        <v>529</v>
      </c>
      <c r="Q48" s="141" t="s">
        <v>530</v>
      </c>
      <c r="R48" s="141" t="s">
        <v>362</v>
      </c>
      <c r="S48" s="141" t="s">
        <v>370</v>
      </c>
      <c r="T48" s="141" t="s">
        <v>886</v>
      </c>
      <c r="U48" s="141" t="s">
        <v>886</v>
      </c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 t="s">
        <v>355</v>
      </c>
      <c r="AL48" s="141" t="s">
        <v>365</v>
      </c>
      <c r="AM48" s="141" t="s">
        <v>355</v>
      </c>
      <c r="AN48" s="141" t="s">
        <v>887</v>
      </c>
      <c r="AO48" s="141" t="s">
        <v>886</v>
      </c>
      <c r="AP48" s="141" t="s">
        <v>888</v>
      </c>
      <c r="AQ48" s="141" t="s">
        <v>889</v>
      </c>
      <c r="AR48" s="141" t="s">
        <v>890</v>
      </c>
      <c r="AS48" s="141" t="s">
        <v>370</v>
      </c>
      <c r="AT48" s="141"/>
      <c r="AU48" s="141" t="s">
        <v>884</v>
      </c>
      <c r="AV48" s="141" t="s">
        <v>891</v>
      </c>
      <c r="AW48" s="141" t="s">
        <v>892</v>
      </c>
      <c r="AX48" s="141" t="s">
        <v>893</v>
      </c>
      <c r="AY48" s="141" t="s">
        <v>894</v>
      </c>
      <c r="AZ48" s="141" t="s">
        <v>775</v>
      </c>
      <c r="BA48" s="141" t="s">
        <v>895</v>
      </c>
      <c r="BB48" s="141" t="s">
        <v>779</v>
      </c>
      <c r="BC48" s="141" t="s">
        <v>896</v>
      </c>
      <c r="BD48" s="141" t="s">
        <v>780</v>
      </c>
      <c r="BE48" s="141" t="s">
        <v>897</v>
      </c>
      <c r="BF48" s="141" t="s">
        <v>782</v>
      </c>
      <c r="BG48" s="141" t="s">
        <v>898</v>
      </c>
      <c r="BH48" s="141" t="s">
        <v>572</v>
      </c>
      <c r="BI48" s="141" t="s">
        <v>899</v>
      </c>
      <c r="BJ48" s="141" t="s">
        <v>784</v>
      </c>
      <c r="BK48" s="141" t="s">
        <v>900</v>
      </c>
      <c r="BL48" s="141" t="s">
        <v>901</v>
      </c>
      <c r="BM48" s="141" t="s">
        <v>902</v>
      </c>
      <c r="BN48" s="141" t="s">
        <v>903</v>
      </c>
      <c r="BO48" s="141" t="s">
        <v>904</v>
      </c>
      <c r="BP48" s="141" t="s">
        <v>905</v>
      </c>
      <c r="BQ48" s="141" t="s">
        <v>906</v>
      </c>
      <c r="BR48" s="141" t="s">
        <v>907</v>
      </c>
      <c r="BS48" s="141" t="s">
        <v>908</v>
      </c>
      <c r="BT48" s="141" t="s">
        <v>909</v>
      </c>
      <c r="BU48" s="141" t="s">
        <v>910</v>
      </c>
      <c r="BV48" s="141" t="s">
        <v>911</v>
      </c>
      <c r="BW48" s="141" t="s">
        <v>912</v>
      </c>
      <c r="BX48" s="141" t="s">
        <v>913</v>
      </c>
      <c r="BY48" s="141" t="s">
        <v>914</v>
      </c>
      <c r="BZ48" s="141" t="s">
        <v>788</v>
      </c>
      <c r="CA48" s="141" t="s">
        <v>915</v>
      </c>
      <c r="CB48" s="141" t="s">
        <v>383</v>
      </c>
      <c r="CC48" s="141" t="s">
        <v>916</v>
      </c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73"/>
    </row>
    <row r="49" spans="2:105" x14ac:dyDescent="0.25">
      <c r="B49" s="172"/>
      <c r="C49" s="141" t="s">
        <v>917</v>
      </c>
      <c r="D49" s="141" t="s">
        <v>918</v>
      </c>
      <c r="E49" s="141" t="s">
        <v>919</v>
      </c>
      <c r="F49" s="141" t="s">
        <v>920</v>
      </c>
      <c r="G49" s="141"/>
      <c r="H49" s="141" t="s">
        <v>354</v>
      </c>
      <c r="I49" s="141"/>
      <c r="J49" s="141" t="s">
        <v>355</v>
      </c>
      <c r="K49" s="141" t="s">
        <v>921</v>
      </c>
      <c r="L49" s="141" t="s">
        <v>922</v>
      </c>
      <c r="M49" s="141" t="s">
        <v>923</v>
      </c>
      <c r="N49" s="141" t="s">
        <v>355</v>
      </c>
      <c r="O49" s="141" t="s">
        <v>359</v>
      </c>
      <c r="P49" s="141" t="s">
        <v>360</v>
      </c>
      <c r="Q49" s="141" t="s">
        <v>361</v>
      </c>
      <c r="R49" s="141" t="s">
        <v>362</v>
      </c>
      <c r="S49" s="141" t="s">
        <v>370</v>
      </c>
      <c r="T49" s="141" t="s">
        <v>886</v>
      </c>
      <c r="U49" s="141" t="s">
        <v>886</v>
      </c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 t="s">
        <v>355</v>
      </c>
      <c r="AL49" s="141" t="s">
        <v>365</v>
      </c>
      <c r="AM49" s="141" t="s">
        <v>355</v>
      </c>
      <c r="AN49" s="141" t="s">
        <v>887</v>
      </c>
      <c r="AO49" s="141" t="s">
        <v>886</v>
      </c>
      <c r="AP49" s="141" t="s">
        <v>888</v>
      </c>
      <c r="AQ49" s="141" t="s">
        <v>889</v>
      </c>
      <c r="AR49" s="141" t="s">
        <v>890</v>
      </c>
      <c r="AS49" s="141" t="s">
        <v>394</v>
      </c>
      <c r="AT49" s="141"/>
      <c r="AU49" s="141" t="s">
        <v>922</v>
      </c>
      <c r="AV49" s="141" t="s">
        <v>891</v>
      </c>
      <c r="AW49" s="141" t="s">
        <v>924</v>
      </c>
      <c r="AX49" s="141" t="s">
        <v>893</v>
      </c>
      <c r="AY49" s="141" t="s">
        <v>925</v>
      </c>
      <c r="AZ49" s="141" t="s">
        <v>775</v>
      </c>
      <c r="BA49" s="141" t="s">
        <v>926</v>
      </c>
      <c r="BB49" s="141" t="s">
        <v>779</v>
      </c>
      <c r="BC49" s="141" t="s">
        <v>927</v>
      </c>
      <c r="BD49" s="141" t="s">
        <v>780</v>
      </c>
      <c r="BE49" s="141" t="s">
        <v>928</v>
      </c>
      <c r="BF49" s="141" t="s">
        <v>782</v>
      </c>
      <c r="BG49" s="141" t="s">
        <v>929</v>
      </c>
      <c r="BH49" s="141" t="s">
        <v>572</v>
      </c>
      <c r="BI49" s="141" t="s">
        <v>678</v>
      </c>
      <c r="BJ49" s="141" t="s">
        <v>784</v>
      </c>
      <c r="BK49" s="141" t="s">
        <v>930</v>
      </c>
      <c r="BL49" s="141" t="s">
        <v>901</v>
      </c>
      <c r="BM49" s="141" t="s">
        <v>931</v>
      </c>
      <c r="BN49" s="141" t="s">
        <v>903</v>
      </c>
      <c r="BO49" s="141" t="s">
        <v>932</v>
      </c>
      <c r="BP49" s="141" t="s">
        <v>905</v>
      </c>
      <c r="BQ49" s="141" t="s">
        <v>841</v>
      </c>
      <c r="BR49" s="141" t="s">
        <v>907</v>
      </c>
      <c r="BS49" s="141" t="s">
        <v>933</v>
      </c>
      <c r="BT49" s="141" t="s">
        <v>909</v>
      </c>
      <c r="BU49" s="141" t="s">
        <v>934</v>
      </c>
      <c r="BV49" s="141" t="s">
        <v>911</v>
      </c>
      <c r="BW49" s="141" t="s">
        <v>935</v>
      </c>
      <c r="BX49" s="141" t="s">
        <v>913</v>
      </c>
      <c r="BY49" s="141" t="s">
        <v>936</v>
      </c>
      <c r="BZ49" s="141" t="s">
        <v>788</v>
      </c>
      <c r="CA49" s="141" t="s">
        <v>937</v>
      </c>
      <c r="CB49" s="141" t="s">
        <v>383</v>
      </c>
      <c r="CC49" s="141" t="s">
        <v>938</v>
      </c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73"/>
    </row>
    <row r="50" spans="2:105" x14ac:dyDescent="0.25">
      <c r="B50" s="172"/>
      <c r="C50" s="141" t="s">
        <v>939</v>
      </c>
      <c r="D50" s="141" t="s">
        <v>772</v>
      </c>
      <c r="E50" s="141" t="s">
        <v>940</v>
      </c>
      <c r="F50" s="141" t="s">
        <v>941</v>
      </c>
      <c r="G50" s="141"/>
      <c r="H50" s="141" t="s">
        <v>354</v>
      </c>
      <c r="I50" s="141"/>
      <c r="J50" s="141" t="s">
        <v>355</v>
      </c>
      <c r="K50" s="141" t="s">
        <v>701</v>
      </c>
      <c r="L50" s="141" t="s">
        <v>942</v>
      </c>
      <c r="M50" s="141" t="s">
        <v>943</v>
      </c>
      <c r="N50" s="141" t="s">
        <v>355</v>
      </c>
      <c r="O50" s="141" t="s">
        <v>427</v>
      </c>
      <c r="P50" s="141" t="s">
        <v>455</v>
      </c>
      <c r="Q50" s="141" t="s">
        <v>456</v>
      </c>
      <c r="R50" s="141" t="s">
        <v>362</v>
      </c>
      <c r="S50" s="141" t="s">
        <v>370</v>
      </c>
      <c r="T50" s="141" t="s">
        <v>886</v>
      </c>
      <c r="U50" s="141" t="s">
        <v>886</v>
      </c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 t="s">
        <v>355</v>
      </c>
      <c r="AL50" s="141" t="s">
        <v>365</v>
      </c>
      <c r="AM50" s="141" t="s">
        <v>355</v>
      </c>
      <c r="AN50" s="141" t="s">
        <v>887</v>
      </c>
      <c r="AO50" s="141" t="s">
        <v>886</v>
      </c>
      <c r="AP50" s="141" t="s">
        <v>888</v>
      </c>
      <c r="AQ50" s="141" t="s">
        <v>889</v>
      </c>
      <c r="AR50" s="141" t="s">
        <v>890</v>
      </c>
      <c r="AS50" s="141" t="s">
        <v>359</v>
      </c>
      <c r="AT50" s="141"/>
      <c r="AU50" s="141" t="s">
        <v>942</v>
      </c>
      <c r="AV50" s="141" t="s">
        <v>891</v>
      </c>
      <c r="AW50" s="141" t="s">
        <v>944</v>
      </c>
      <c r="AX50" s="141" t="s">
        <v>893</v>
      </c>
      <c r="AY50" s="141" t="s">
        <v>945</v>
      </c>
      <c r="AZ50" s="141" t="s">
        <v>775</v>
      </c>
      <c r="BA50" s="141" t="s">
        <v>946</v>
      </c>
      <c r="BB50" s="141" t="s">
        <v>779</v>
      </c>
      <c r="BC50" s="141" t="s">
        <v>947</v>
      </c>
      <c r="BD50" s="141" t="s">
        <v>780</v>
      </c>
      <c r="BE50" s="141" t="s">
        <v>948</v>
      </c>
      <c r="BF50" s="141" t="s">
        <v>782</v>
      </c>
      <c r="BG50" s="141" t="s">
        <v>949</v>
      </c>
      <c r="BH50" s="141" t="s">
        <v>572</v>
      </c>
      <c r="BI50" s="141" t="s">
        <v>950</v>
      </c>
      <c r="BJ50" s="141" t="s">
        <v>784</v>
      </c>
      <c r="BK50" s="141" t="s">
        <v>951</v>
      </c>
      <c r="BL50" s="141" t="s">
        <v>901</v>
      </c>
      <c r="BM50" s="141" t="s">
        <v>952</v>
      </c>
      <c r="BN50" s="141" t="s">
        <v>903</v>
      </c>
      <c r="BO50" s="141" t="s">
        <v>953</v>
      </c>
      <c r="BP50" s="141" t="s">
        <v>905</v>
      </c>
      <c r="BQ50" s="141" t="s">
        <v>954</v>
      </c>
      <c r="BR50" s="141" t="s">
        <v>907</v>
      </c>
      <c r="BS50" s="141" t="s">
        <v>955</v>
      </c>
      <c r="BT50" s="141" t="s">
        <v>909</v>
      </c>
      <c r="BU50" s="141" t="s">
        <v>956</v>
      </c>
      <c r="BV50" s="141" t="s">
        <v>911</v>
      </c>
      <c r="BW50" s="141" t="s">
        <v>914</v>
      </c>
      <c r="BX50" s="141" t="s">
        <v>913</v>
      </c>
      <c r="BY50" s="141" t="s">
        <v>957</v>
      </c>
      <c r="BZ50" s="141" t="s">
        <v>788</v>
      </c>
      <c r="CA50" s="141" t="s">
        <v>958</v>
      </c>
      <c r="CB50" s="141" t="s">
        <v>383</v>
      </c>
      <c r="CC50" s="141" t="s">
        <v>959</v>
      </c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73"/>
    </row>
    <row r="51" spans="2:105" x14ac:dyDescent="0.25">
      <c r="B51" s="172"/>
      <c r="C51" s="141" t="s">
        <v>960</v>
      </c>
      <c r="D51" s="141" t="s">
        <v>961</v>
      </c>
      <c r="E51" s="141" t="s">
        <v>962</v>
      </c>
      <c r="F51" s="141" t="s">
        <v>963</v>
      </c>
      <c r="G51" s="141"/>
      <c r="H51" s="141" t="s">
        <v>354</v>
      </c>
      <c r="I51" s="141"/>
      <c r="J51" s="141" t="s">
        <v>355</v>
      </c>
      <c r="K51" s="141" t="s">
        <v>964</v>
      </c>
      <c r="L51" s="141" t="s">
        <v>965</v>
      </c>
      <c r="M51" s="141" t="s">
        <v>966</v>
      </c>
      <c r="N51" s="141" t="s">
        <v>355</v>
      </c>
      <c r="O51" s="141" t="s">
        <v>370</v>
      </c>
      <c r="P51" s="141" t="s">
        <v>529</v>
      </c>
      <c r="Q51" s="141" t="s">
        <v>530</v>
      </c>
      <c r="R51" s="141" t="s">
        <v>362</v>
      </c>
      <c r="S51" s="141" t="s">
        <v>370</v>
      </c>
      <c r="T51" s="141" t="s">
        <v>886</v>
      </c>
      <c r="U51" s="141" t="s">
        <v>886</v>
      </c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 t="s">
        <v>355</v>
      </c>
      <c r="AL51" s="141" t="s">
        <v>365</v>
      </c>
      <c r="AM51" s="141" t="s">
        <v>355</v>
      </c>
      <c r="AN51" s="141" t="s">
        <v>887</v>
      </c>
      <c r="AO51" s="141" t="s">
        <v>886</v>
      </c>
      <c r="AP51" s="141" t="s">
        <v>888</v>
      </c>
      <c r="AQ51" s="141" t="s">
        <v>889</v>
      </c>
      <c r="AR51" s="141" t="s">
        <v>890</v>
      </c>
      <c r="AS51" s="141" t="s">
        <v>427</v>
      </c>
      <c r="AT51" s="141"/>
      <c r="AU51" s="141" t="s">
        <v>965</v>
      </c>
      <c r="AV51" s="141" t="s">
        <v>891</v>
      </c>
      <c r="AW51" s="141" t="s">
        <v>967</v>
      </c>
      <c r="AX51" s="141" t="s">
        <v>893</v>
      </c>
      <c r="AY51" s="141" t="s">
        <v>968</v>
      </c>
      <c r="AZ51" s="141" t="s">
        <v>775</v>
      </c>
      <c r="BA51" s="141" t="s">
        <v>691</v>
      </c>
      <c r="BB51" s="141" t="s">
        <v>779</v>
      </c>
      <c r="BC51" s="141" t="s">
        <v>969</v>
      </c>
      <c r="BD51" s="141" t="s">
        <v>780</v>
      </c>
      <c r="BE51" s="141" t="s">
        <v>970</v>
      </c>
      <c r="BF51" s="141" t="s">
        <v>782</v>
      </c>
      <c r="BG51" s="141" t="s">
        <v>971</v>
      </c>
      <c r="BH51" s="141" t="s">
        <v>572</v>
      </c>
      <c r="BI51" s="141" t="s">
        <v>972</v>
      </c>
      <c r="BJ51" s="141" t="s">
        <v>784</v>
      </c>
      <c r="BK51" s="141" t="s">
        <v>973</v>
      </c>
      <c r="BL51" s="141" t="s">
        <v>901</v>
      </c>
      <c r="BM51" s="141" t="s">
        <v>974</v>
      </c>
      <c r="BN51" s="141" t="s">
        <v>903</v>
      </c>
      <c r="BO51" s="141" t="s">
        <v>975</v>
      </c>
      <c r="BP51" s="141" t="s">
        <v>905</v>
      </c>
      <c r="BQ51" s="141" t="s">
        <v>976</v>
      </c>
      <c r="BR51" s="141" t="s">
        <v>907</v>
      </c>
      <c r="BS51" s="141" t="s">
        <v>977</v>
      </c>
      <c r="BT51" s="141" t="s">
        <v>909</v>
      </c>
      <c r="BU51" s="141" t="s">
        <v>978</v>
      </c>
      <c r="BV51" s="141" t="s">
        <v>911</v>
      </c>
      <c r="BW51" s="141" t="s">
        <v>979</v>
      </c>
      <c r="BX51" s="141" t="s">
        <v>913</v>
      </c>
      <c r="BY51" s="141" t="s">
        <v>980</v>
      </c>
      <c r="BZ51" s="141" t="s">
        <v>788</v>
      </c>
      <c r="CA51" s="141" t="s">
        <v>981</v>
      </c>
      <c r="CB51" s="141" t="s">
        <v>383</v>
      </c>
      <c r="CC51" s="141" t="s">
        <v>982</v>
      </c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73"/>
    </row>
    <row r="52" spans="2:105" x14ac:dyDescent="0.25">
      <c r="B52" s="172"/>
      <c r="C52" s="141" t="s">
        <v>983</v>
      </c>
      <c r="D52" s="141" t="s">
        <v>984</v>
      </c>
      <c r="E52" s="141" t="s">
        <v>985</v>
      </c>
      <c r="F52" s="141" t="s">
        <v>472</v>
      </c>
      <c r="G52" s="141"/>
      <c r="H52" s="141" t="s">
        <v>354</v>
      </c>
      <c r="I52" s="141"/>
      <c r="J52" s="141" t="s">
        <v>355</v>
      </c>
      <c r="K52" s="141" t="s">
        <v>639</v>
      </c>
      <c r="L52" s="141" t="s">
        <v>986</v>
      </c>
      <c r="M52" s="141" t="s">
        <v>987</v>
      </c>
      <c r="N52" s="141" t="s">
        <v>355</v>
      </c>
      <c r="O52" s="141" t="s">
        <v>359</v>
      </c>
      <c r="P52" s="141" t="s">
        <v>360</v>
      </c>
      <c r="Q52" s="141" t="s">
        <v>361</v>
      </c>
      <c r="R52" s="141" t="s">
        <v>362</v>
      </c>
      <c r="S52" s="141" t="s">
        <v>370</v>
      </c>
      <c r="T52" s="141" t="s">
        <v>886</v>
      </c>
      <c r="U52" s="141" t="s">
        <v>886</v>
      </c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 t="s">
        <v>355</v>
      </c>
      <c r="AL52" s="141" t="s">
        <v>365</v>
      </c>
      <c r="AM52" s="141" t="s">
        <v>355</v>
      </c>
      <c r="AN52" s="141" t="s">
        <v>887</v>
      </c>
      <c r="AO52" s="141" t="s">
        <v>886</v>
      </c>
      <c r="AP52" s="141" t="s">
        <v>888</v>
      </c>
      <c r="AQ52" s="141" t="s">
        <v>889</v>
      </c>
      <c r="AR52" s="141" t="s">
        <v>890</v>
      </c>
      <c r="AS52" s="141" t="s">
        <v>442</v>
      </c>
      <c r="AT52" s="141"/>
      <c r="AU52" s="141" t="s">
        <v>986</v>
      </c>
      <c r="AV52" s="141" t="s">
        <v>891</v>
      </c>
      <c r="AW52" s="141" t="s">
        <v>988</v>
      </c>
      <c r="AX52" s="141" t="s">
        <v>893</v>
      </c>
      <c r="AY52" s="141" t="s">
        <v>989</v>
      </c>
      <c r="AZ52" s="141" t="s">
        <v>775</v>
      </c>
      <c r="BA52" s="141" t="s">
        <v>990</v>
      </c>
      <c r="BB52" s="141" t="s">
        <v>779</v>
      </c>
      <c r="BC52" s="141" t="s">
        <v>971</v>
      </c>
      <c r="BD52" s="141" t="s">
        <v>780</v>
      </c>
      <c r="BE52" s="141" t="s">
        <v>991</v>
      </c>
      <c r="BF52" s="141" t="s">
        <v>782</v>
      </c>
      <c r="BG52" s="141" t="s">
        <v>992</v>
      </c>
      <c r="BH52" s="141" t="s">
        <v>572</v>
      </c>
      <c r="BI52" s="141" t="s">
        <v>993</v>
      </c>
      <c r="BJ52" s="141" t="s">
        <v>784</v>
      </c>
      <c r="BK52" s="141" t="s">
        <v>994</v>
      </c>
      <c r="BL52" s="141" t="s">
        <v>901</v>
      </c>
      <c r="BM52" s="141" t="s">
        <v>995</v>
      </c>
      <c r="BN52" s="141" t="s">
        <v>903</v>
      </c>
      <c r="BO52" s="141" t="s">
        <v>996</v>
      </c>
      <c r="BP52" s="141" t="s">
        <v>905</v>
      </c>
      <c r="BQ52" s="141" t="s">
        <v>997</v>
      </c>
      <c r="BR52" s="141" t="s">
        <v>907</v>
      </c>
      <c r="BS52" s="141" t="s">
        <v>998</v>
      </c>
      <c r="BT52" s="141" t="s">
        <v>909</v>
      </c>
      <c r="BU52" s="141" t="s">
        <v>999</v>
      </c>
      <c r="BV52" s="141" t="s">
        <v>911</v>
      </c>
      <c r="BW52" s="141" t="s">
        <v>1000</v>
      </c>
      <c r="BX52" s="141" t="s">
        <v>913</v>
      </c>
      <c r="BY52" s="141" t="s">
        <v>1001</v>
      </c>
      <c r="BZ52" s="141" t="s">
        <v>788</v>
      </c>
      <c r="CA52" s="141" t="s">
        <v>1002</v>
      </c>
      <c r="CB52" s="141" t="s">
        <v>383</v>
      </c>
      <c r="CC52" s="141" t="s">
        <v>1003</v>
      </c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73"/>
    </row>
    <row r="53" spans="2:105" x14ac:dyDescent="0.25">
      <c r="B53" s="172"/>
      <c r="C53" s="141" t="s">
        <v>1004</v>
      </c>
      <c r="D53" s="141" t="s">
        <v>1005</v>
      </c>
      <c r="E53" s="141" t="s">
        <v>985</v>
      </c>
      <c r="F53" s="141" t="s">
        <v>1006</v>
      </c>
      <c r="G53" s="141"/>
      <c r="H53" s="141" t="s">
        <v>354</v>
      </c>
      <c r="I53" s="141"/>
      <c r="J53" s="141" t="s">
        <v>355</v>
      </c>
      <c r="K53" s="141" t="s">
        <v>1007</v>
      </c>
      <c r="L53" s="141" t="s">
        <v>1008</v>
      </c>
      <c r="M53" s="141" t="s">
        <v>1009</v>
      </c>
      <c r="N53" s="141" t="s">
        <v>355</v>
      </c>
      <c r="O53" s="141" t="s">
        <v>359</v>
      </c>
      <c r="P53" s="141" t="s">
        <v>360</v>
      </c>
      <c r="Q53" s="141" t="s">
        <v>361</v>
      </c>
      <c r="R53" s="141" t="s">
        <v>362</v>
      </c>
      <c r="S53" s="141" t="s">
        <v>370</v>
      </c>
      <c r="T53" s="141" t="s">
        <v>886</v>
      </c>
      <c r="U53" s="141" t="s">
        <v>886</v>
      </c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 t="s">
        <v>355</v>
      </c>
      <c r="AL53" s="141" t="s">
        <v>365</v>
      </c>
      <c r="AM53" s="141" t="s">
        <v>355</v>
      </c>
      <c r="AN53" s="141" t="s">
        <v>887</v>
      </c>
      <c r="AO53" s="141" t="s">
        <v>886</v>
      </c>
      <c r="AP53" s="141" t="s">
        <v>888</v>
      </c>
      <c r="AQ53" s="141" t="s">
        <v>889</v>
      </c>
      <c r="AR53" s="141" t="s">
        <v>890</v>
      </c>
      <c r="AS53" s="141" t="s">
        <v>392</v>
      </c>
      <c r="AT53" s="141"/>
      <c r="AU53" s="141" t="s">
        <v>1008</v>
      </c>
      <c r="AV53" s="141" t="s">
        <v>891</v>
      </c>
      <c r="AW53" s="141" t="s">
        <v>1010</v>
      </c>
      <c r="AX53" s="141" t="s">
        <v>893</v>
      </c>
      <c r="AY53" s="141" t="s">
        <v>989</v>
      </c>
      <c r="AZ53" s="141" t="s">
        <v>775</v>
      </c>
      <c r="BA53" s="141" t="s">
        <v>1011</v>
      </c>
      <c r="BB53" s="141" t="s">
        <v>779</v>
      </c>
      <c r="BC53" s="141" t="s">
        <v>1012</v>
      </c>
      <c r="BD53" s="141" t="s">
        <v>780</v>
      </c>
      <c r="BE53" s="141" t="s">
        <v>1013</v>
      </c>
      <c r="BF53" s="141" t="s">
        <v>782</v>
      </c>
      <c r="BG53" s="141" t="s">
        <v>1014</v>
      </c>
      <c r="BH53" s="141" t="s">
        <v>572</v>
      </c>
      <c r="BI53" s="141" t="s">
        <v>1015</v>
      </c>
      <c r="BJ53" s="141" t="s">
        <v>784</v>
      </c>
      <c r="BK53" s="141" t="s">
        <v>1016</v>
      </c>
      <c r="BL53" s="141" t="s">
        <v>901</v>
      </c>
      <c r="BM53" s="141" t="s">
        <v>1017</v>
      </c>
      <c r="BN53" s="141" t="s">
        <v>903</v>
      </c>
      <c r="BO53" s="141" t="s">
        <v>1018</v>
      </c>
      <c r="BP53" s="141" t="s">
        <v>905</v>
      </c>
      <c r="BQ53" s="141" t="s">
        <v>1019</v>
      </c>
      <c r="BR53" s="141" t="s">
        <v>907</v>
      </c>
      <c r="BS53" s="141" t="s">
        <v>1020</v>
      </c>
      <c r="BT53" s="141" t="s">
        <v>909</v>
      </c>
      <c r="BU53" s="141" t="s">
        <v>1021</v>
      </c>
      <c r="BV53" s="141" t="s">
        <v>911</v>
      </c>
      <c r="BW53" s="141" t="s">
        <v>1022</v>
      </c>
      <c r="BX53" s="141" t="s">
        <v>913</v>
      </c>
      <c r="BY53" s="141" t="s">
        <v>1023</v>
      </c>
      <c r="BZ53" s="141" t="s">
        <v>788</v>
      </c>
      <c r="CA53" s="141" t="s">
        <v>1024</v>
      </c>
      <c r="CB53" s="141" t="s">
        <v>383</v>
      </c>
      <c r="CC53" s="141" t="s">
        <v>1025</v>
      </c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73"/>
    </row>
    <row r="54" spans="2:105" x14ac:dyDescent="0.25">
      <c r="B54" s="172"/>
      <c r="C54" s="141" t="s">
        <v>1026</v>
      </c>
      <c r="D54" s="141" t="s">
        <v>1027</v>
      </c>
      <c r="E54" s="141" t="s">
        <v>1028</v>
      </c>
      <c r="F54" s="141" t="s">
        <v>1029</v>
      </c>
      <c r="G54" s="141"/>
      <c r="H54" s="141" t="s">
        <v>354</v>
      </c>
      <c r="I54" s="141"/>
      <c r="J54" s="141" t="s">
        <v>355</v>
      </c>
      <c r="K54" s="141" t="s">
        <v>1030</v>
      </c>
      <c r="L54" s="141" t="s">
        <v>1031</v>
      </c>
      <c r="M54" s="141" t="s">
        <v>1032</v>
      </c>
      <c r="N54" s="141" t="s">
        <v>355</v>
      </c>
      <c r="O54" s="141" t="s">
        <v>394</v>
      </c>
      <c r="P54" s="141" t="s">
        <v>425</v>
      </c>
      <c r="Q54" s="141" t="s">
        <v>426</v>
      </c>
      <c r="R54" s="141" t="s">
        <v>362</v>
      </c>
      <c r="S54" s="141" t="s">
        <v>370</v>
      </c>
      <c r="T54" s="141" t="s">
        <v>886</v>
      </c>
      <c r="U54" s="141" t="s">
        <v>886</v>
      </c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 t="s">
        <v>355</v>
      </c>
      <c r="AL54" s="141" t="s">
        <v>365</v>
      </c>
      <c r="AM54" s="141" t="s">
        <v>355</v>
      </c>
      <c r="AN54" s="141" t="s">
        <v>887</v>
      </c>
      <c r="AO54" s="141" t="s">
        <v>886</v>
      </c>
      <c r="AP54" s="141" t="s">
        <v>888</v>
      </c>
      <c r="AQ54" s="141" t="s">
        <v>889</v>
      </c>
      <c r="AR54" s="141" t="s">
        <v>890</v>
      </c>
      <c r="AS54" s="141" t="s">
        <v>369</v>
      </c>
      <c r="AT54" s="141"/>
      <c r="AU54" s="141" t="s">
        <v>1031</v>
      </c>
      <c r="AV54" s="141" t="s">
        <v>891</v>
      </c>
      <c r="AW54" s="141" t="s">
        <v>1033</v>
      </c>
      <c r="AX54" s="141" t="s">
        <v>893</v>
      </c>
      <c r="AY54" s="141" t="s">
        <v>1034</v>
      </c>
      <c r="AZ54" s="141" t="s">
        <v>775</v>
      </c>
      <c r="BA54" s="141" t="s">
        <v>1035</v>
      </c>
      <c r="BB54" s="141" t="s">
        <v>779</v>
      </c>
      <c r="BC54" s="141" t="s">
        <v>1036</v>
      </c>
      <c r="BD54" s="141" t="s">
        <v>780</v>
      </c>
      <c r="BE54" s="141" t="s">
        <v>1037</v>
      </c>
      <c r="BF54" s="141" t="s">
        <v>782</v>
      </c>
      <c r="BG54" s="141" t="s">
        <v>1038</v>
      </c>
      <c r="BH54" s="141" t="s">
        <v>572</v>
      </c>
      <c r="BI54" s="141" t="s">
        <v>1039</v>
      </c>
      <c r="BJ54" s="141" t="s">
        <v>784</v>
      </c>
      <c r="BK54" s="141" t="s">
        <v>1040</v>
      </c>
      <c r="BL54" s="141" t="s">
        <v>901</v>
      </c>
      <c r="BM54" s="141" t="s">
        <v>1041</v>
      </c>
      <c r="BN54" s="141" t="s">
        <v>903</v>
      </c>
      <c r="BO54" s="141" t="s">
        <v>1042</v>
      </c>
      <c r="BP54" s="141" t="s">
        <v>905</v>
      </c>
      <c r="BQ54" s="141" t="s">
        <v>1043</v>
      </c>
      <c r="BR54" s="141" t="s">
        <v>907</v>
      </c>
      <c r="BS54" s="141" t="s">
        <v>1044</v>
      </c>
      <c r="BT54" s="141" t="s">
        <v>909</v>
      </c>
      <c r="BU54" s="141" t="s">
        <v>1045</v>
      </c>
      <c r="BV54" s="141" t="s">
        <v>911</v>
      </c>
      <c r="BW54" s="141" t="s">
        <v>1046</v>
      </c>
      <c r="BX54" s="141" t="s">
        <v>913</v>
      </c>
      <c r="BY54" s="141" t="s">
        <v>1047</v>
      </c>
      <c r="BZ54" s="141" t="s">
        <v>788</v>
      </c>
      <c r="CA54" s="141" t="s">
        <v>1048</v>
      </c>
      <c r="CB54" s="141" t="s">
        <v>383</v>
      </c>
      <c r="CC54" s="141" t="s">
        <v>1049</v>
      </c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73"/>
    </row>
    <row r="55" spans="2:105" x14ac:dyDescent="0.25">
      <c r="B55" s="172"/>
      <c r="C55" s="141" t="s">
        <v>1050</v>
      </c>
      <c r="D55" s="141" t="s">
        <v>1051</v>
      </c>
      <c r="E55" s="141" t="s">
        <v>1052</v>
      </c>
      <c r="F55" s="141" t="s">
        <v>1053</v>
      </c>
      <c r="G55" s="141"/>
      <c r="H55" s="141" t="s">
        <v>354</v>
      </c>
      <c r="I55" s="141"/>
      <c r="J55" s="141" t="s">
        <v>355</v>
      </c>
      <c r="K55" s="141" t="s">
        <v>672</v>
      </c>
      <c r="L55" s="141" t="s">
        <v>1054</v>
      </c>
      <c r="M55" s="141" t="s">
        <v>1055</v>
      </c>
      <c r="N55" s="141" t="s">
        <v>355</v>
      </c>
      <c r="O55" s="141" t="s">
        <v>359</v>
      </c>
      <c r="P55" s="141" t="s">
        <v>360</v>
      </c>
      <c r="Q55" s="141" t="s">
        <v>361</v>
      </c>
      <c r="R55" s="141" t="s">
        <v>362</v>
      </c>
      <c r="S55" s="141" t="s">
        <v>370</v>
      </c>
      <c r="T55" s="141" t="s">
        <v>886</v>
      </c>
      <c r="U55" s="141" t="s">
        <v>886</v>
      </c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 t="s">
        <v>355</v>
      </c>
      <c r="AL55" s="141" t="s">
        <v>365</v>
      </c>
      <c r="AM55" s="141" t="s">
        <v>355</v>
      </c>
      <c r="AN55" s="141" t="s">
        <v>887</v>
      </c>
      <c r="AO55" s="141" t="s">
        <v>886</v>
      </c>
      <c r="AP55" s="141" t="s">
        <v>888</v>
      </c>
      <c r="AQ55" s="141" t="s">
        <v>889</v>
      </c>
      <c r="AR55" s="141" t="s">
        <v>890</v>
      </c>
      <c r="AS55" s="141" t="s">
        <v>409</v>
      </c>
      <c r="AT55" s="141"/>
      <c r="AU55" s="141" t="s">
        <v>1054</v>
      </c>
      <c r="AV55" s="141" t="s">
        <v>891</v>
      </c>
      <c r="AW55" s="141" t="s">
        <v>730</v>
      </c>
      <c r="AX55" s="141" t="s">
        <v>893</v>
      </c>
      <c r="AY55" s="141" t="s">
        <v>499</v>
      </c>
      <c r="AZ55" s="141" t="s">
        <v>775</v>
      </c>
      <c r="BA55" s="141" t="s">
        <v>1056</v>
      </c>
      <c r="BB55" s="141" t="s">
        <v>779</v>
      </c>
      <c r="BC55" s="141" t="s">
        <v>1057</v>
      </c>
      <c r="BD55" s="141" t="s">
        <v>780</v>
      </c>
      <c r="BE55" s="141" t="s">
        <v>1058</v>
      </c>
      <c r="BF55" s="141" t="s">
        <v>782</v>
      </c>
      <c r="BG55" s="141" t="s">
        <v>1059</v>
      </c>
      <c r="BH55" s="141" t="s">
        <v>572</v>
      </c>
      <c r="BI55" s="141" t="s">
        <v>1060</v>
      </c>
      <c r="BJ55" s="141" t="s">
        <v>784</v>
      </c>
      <c r="BK55" s="141" t="s">
        <v>1061</v>
      </c>
      <c r="BL55" s="141" t="s">
        <v>901</v>
      </c>
      <c r="BM55" s="141" t="s">
        <v>1062</v>
      </c>
      <c r="BN55" s="141" t="s">
        <v>903</v>
      </c>
      <c r="BO55" s="141" t="s">
        <v>1063</v>
      </c>
      <c r="BP55" s="141" t="s">
        <v>905</v>
      </c>
      <c r="BQ55" s="141" t="s">
        <v>1064</v>
      </c>
      <c r="BR55" s="141" t="s">
        <v>907</v>
      </c>
      <c r="BS55" s="141" t="s">
        <v>1065</v>
      </c>
      <c r="BT55" s="141" t="s">
        <v>909</v>
      </c>
      <c r="BU55" s="141" t="s">
        <v>1066</v>
      </c>
      <c r="BV55" s="141" t="s">
        <v>911</v>
      </c>
      <c r="BW55" s="141" t="s">
        <v>1067</v>
      </c>
      <c r="BX55" s="141" t="s">
        <v>913</v>
      </c>
      <c r="BY55" s="141" t="s">
        <v>1068</v>
      </c>
      <c r="BZ55" s="141" t="s">
        <v>788</v>
      </c>
      <c r="CA55" s="141" t="s">
        <v>1069</v>
      </c>
      <c r="CB55" s="141" t="s">
        <v>383</v>
      </c>
      <c r="CC55" s="141" t="s">
        <v>1070</v>
      </c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73"/>
    </row>
    <row r="56" spans="2:105" x14ac:dyDescent="0.25">
      <c r="B56" s="172"/>
      <c r="C56" s="141" t="s">
        <v>1071</v>
      </c>
      <c r="D56" s="141" t="s">
        <v>1072</v>
      </c>
      <c r="E56" s="141" t="s">
        <v>1073</v>
      </c>
      <c r="F56" s="141" t="s">
        <v>1074</v>
      </c>
      <c r="G56" s="141"/>
      <c r="H56" s="141" t="s">
        <v>354</v>
      </c>
      <c r="I56" s="141"/>
      <c r="J56" s="141" t="s">
        <v>355</v>
      </c>
      <c r="K56" s="141" t="s">
        <v>591</v>
      </c>
      <c r="L56" s="141" t="s">
        <v>1075</v>
      </c>
      <c r="M56" s="141" t="s">
        <v>1076</v>
      </c>
      <c r="N56" s="141" t="s">
        <v>355</v>
      </c>
      <c r="O56" s="141" t="s">
        <v>370</v>
      </c>
      <c r="P56" s="141" t="s">
        <v>529</v>
      </c>
      <c r="Q56" s="141" t="s">
        <v>530</v>
      </c>
      <c r="R56" s="141" t="s">
        <v>362</v>
      </c>
      <c r="S56" s="141" t="s">
        <v>370</v>
      </c>
      <c r="T56" s="141" t="s">
        <v>886</v>
      </c>
      <c r="U56" s="141" t="s">
        <v>886</v>
      </c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 t="s">
        <v>355</v>
      </c>
      <c r="AL56" s="141" t="s">
        <v>365</v>
      </c>
      <c r="AM56" s="141" t="s">
        <v>355</v>
      </c>
      <c r="AN56" s="141" t="s">
        <v>887</v>
      </c>
      <c r="AO56" s="141" t="s">
        <v>886</v>
      </c>
      <c r="AP56" s="141" t="s">
        <v>888</v>
      </c>
      <c r="AQ56" s="141" t="s">
        <v>889</v>
      </c>
      <c r="AR56" s="141" t="s">
        <v>890</v>
      </c>
      <c r="AS56" s="141" t="s">
        <v>491</v>
      </c>
      <c r="AT56" s="141"/>
      <c r="AU56" s="141" t="s">
        <v>1075</v>
      </c>
      <c r="AV56" s="141" t="s">
        <v>891</v>
      </c>
      <c r="AW56" s="141" t="s">
        <v>1077</v>
      </c>
      <c r="AX56" s="141" t="s">
        <v>893</v>
      </c>
      <c r="AY56" s="141" t="s">
        <v>1078</v>
      </c>
      <c r="AZ56" s="141" t="s">
        <v>775</v>
      </c>
      <c r="BA56" s="141" t="s">
        <v>1079</v>
      </c>
      <c r="BB56" s="141" t="s">
        <v>779</v>
      </c>
      <c r="BC56" s="141" t="s">
        <v>1080</v>
      </c>
      <c r="BD56" s="141" t="s">
        <v>780</v>
      </c>
      <c r="BE56" s="141" t="s">
        <v>1081</v>
      </c>
      <c r="BF56" s="141" t="s">
        <v>782</v>
      </c>
      <c r="BG56" s="141" t="s">
        <v>408</v>
      </c>
      <c r="BH56" s="141" t="s">
        <v>572</v>
      </c>
      <c r="BI56" s="141" t="s">
        <v>1082</v>
      </c>
      <c r="BJ56" s="141" t="s">
        <v>784</v>
      </c>
      <c r="BK56" s="141" t="s">
        <v>1083</v>
      </c>
      <c r="BL56" s="141" t="s">
        <v>901</v>
      </c>
      <c r="BM56" s="141" t="s">
        <v>1084</v>
      </c>
      <c r="BN56" s="141" t="s">
        <v>903</v>
      </c>
      <c r="BO56" s="141" t="s">
        <v>1085</v>
      </c>
      <c r="BP56" s="141" t="s">
        <v>905</v>
      </c>
      <c r="BQ56" s="141" t="s">
        <v>1086</v>
      </c>
      <c r="BR56" s="141" t="s">
        <v>907</v>
      </c>
      <c r="BS56" s="141" t="s">
        <v>1087</v>
      </c>
      <c r="BT56" s="141" t="s">
        <v>909</v>
      </c>
      <c r="BU56" s="141" t="s">
        <v>1088</v>
      </c>
      <c r="BV56" s="141" t="s">
        <v>911</v>
      </c>
      <c r="BW56" s="141" t="s">
        <v>1089</v>
      </c>
      <c r="BX56" s="141" t="s">
        <v>913</v>
      </c>
      <c r="BY56" s="141" t="s">
        <v>1090</v>
      </c>
      <c r="BZ56" s="141" t="s">
        <v>788</v>
      </c>
      <c r="CA56" s="141" t="s">
        <v>1091</v>
      </c>
      <c r="CB56" s="141" t="s">
        <v>383</v>
      </c>
      <c r="CC56" s="141" t="s">
        <v>1092</v>
      </c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73"/>
    </row>
    <row r="57" spans="2:105" x14ac:dyDescent="0.25">
      <c r="B57" s="172"/>
      <c r="C57" s="141" t="s">
        <v>1093</v>
      </c>
      <c r="D57" s="141" t="s">
        <v>1094</v>
      </c>
      <c r="E57" s="141" t="s">
        <v>1095</v>
      </c>
      <c r="F57" s="141" t="s">
        <v>1096</v>
      </c>
      <c r="G57" s="141"/>
      <c r="H57" s="141" t="s">
        <v>354</v>
      </c>
      <c r="I57" s="141"/>
      <c r="J57" s="141" t="s">
        <v>355</v>
      </c>
      <c r="K57" s="141" t="s">
        <v>1097</v>
      </c>
      <c r="L57" s="141" t="s">
        <v>1098</v>
      </c>
      <c r="M57" s="141" t="s">
        <v>1099</v>
      </c>
      <c r="N57" s="141" t="s">
        <v>355</v>
      </c>
      <c r="O57" s="141" t="s">
        <v>392</v>
      </c>
      <c r="P57" s="141" t="s">
        <v>393</v>
      </c>
      <c r="Q57" s="141" t="s">
        <v>393</v>
      </c>
      <c r="R57" s="141" t="s">
        <v>362</v>
      </c>
      <c r="S57" s="141" t="s">
        <v>370</v>
      </c>
      <c r="T57" s="141" t="s">
        <v>886</v>
      </c>
      <c r="U57" s="141" t="s">
        <v>886</v>
      </c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 t="s">
        <v>355</v>
      </c>
      <c r="AL57" s="141" t="s">
        <v>365</v>
      </c>
      <c r="AM57" s="141" t="s">
        <v>355</v>
      </c>
      <c r="AN57" s="141" t="s">
        <v>887</v>
      </c>
      <c r="AO57" s="141" t="s">
        <v>886</v>
      </c>
      <c r="AP57" s="141" t="s">
        <v>888</v>
      </c>
      <c r="AQ57" s="141" t="s">
        <v>889</v>
      </c>
      <c r="AR57" s="141" t="s">
        <v>890</v>
      </c>
      <c r="AS57" s="141" t="s">
        <v>486</v>
      </c>
      <c r="AT57" s="141"/>
      <c r="AU57" s="141" t="s">
        <v>1098</v>
      </c>
      <c r="AV57" s="141" t="s">
        <v>891</v>
      </c>
      <c r="AW57" s="141" t="s">
        <v>1100</v>
      </c>
      <c r="AX57" s="141" t="s">
        <v>893</v>
      </c>
      <c r="AY57" s="141" t="s">
        <v>1101</v>
      </c>
      <c r="AZ57" s="141" t="s">
        <v>775</v>
      </c>
      <c r="BA57" s="141" t="s">
        <v>1102</v>
      </c>
      <c r="BB57" s="141" t="s">
        <v>779</v>
      </c>
      <c r="BC57" s="141" t="s">
        <v>1103</v>
      </c>
      <c r="BD57" s="141" t="s">
        <v>780</v>
      </c>
      <c r="BE57" s="141" t="s">
        <v>1104</v>
      </c>
      <c r="BF57" s="141" t="s">
        <v>782</v>
      </c>
      <c r="BG57" s="141" t="s">
        <v>1105</v>
      </c>
      <c r="BH57" s="141" t="s">
        <v>572</v>
      </c>
      <c r="BI57" s="141" t="s">
        <v>1106</v>
      </c>
      <c r="BJ57" s="141" t="s">
        <v>784</v>
      </c>
      <c r="BK57" s="141" t="s">
        <v>1107</v>
      </c>
      <c r="BL57" s="141" t="s">
        <v>901</v>
      </c>
      <c r="BM57" s="141" t="s">
        <v>1108</v>
      </c>
      <c r="BN57" s="141" t="s">
        <v>903</v>
      </c>
      <c r="BO57" s="141" t="s">
        <v>1109</v>
      </c>
      <c r="BP57" s="141" t="s">
        <v>905</v>
      </c>
      <c r="BQ57" s="141" t="s">
        <v>1110</v>
      </c>
      <c r="BR57" s="141" t="s">
        <v>907</v>
      </c>
      <c r="BS57" s="141" t="s">
        <v>1111</v>
      </c>
      <c r="BT57" s="141" t="s">
        <v>909</v>
      </c>
      <c r="BU57" s="141" t="s">
        <v>1112</v>
      </c>
      <c r="BV57" s="141" t="s">
        <v>911</v>
      </c>
      <c r="BW57" s="141" t="s">
        <v>1113</v>
      </c>
      <c r="BX57" s="141" t="s">
        <v>913</v>
      </c>
      <c r="BY57" s="141" t="s">
        <v>1114</v>
      </c>
      <c r="BZ57" s="141" t="s">
        <v>788</v>
      </c>
      <c r="CA57" s="141" t="s">
        <v>1115</v>
      </c>
      <c r="CB57" s="141" t="s">
        <v>383</v>
      </c>
      <c r="CC57" s="141" t="s">
        <v>1116</v>
      </c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73"/>
    </row>
    <row r="58" spans="2:105" x14ac:dyDescent="0.25">
      <c r="B58" s="172"/>
      <c r="C58" s="141"/>
      <c r="D58" s="141" t="s">
        <v>1117</v>
      </c>
      <c r="E58" s="141"/>
      <c r="F58" s="141" t="s">
        <v>467</v>
      </c>
      <c r="G58" s="141"/>
      <c r="H58" s="141" t="s">
        <v>354</v>
      </c>
      <c r="I58" s="141"/>
      <c r="J58" s="141" t="s">
        <v>355</v>
      </c>
      <c r="K58" s="141" t="s">
        <v>1118</v>
      </c>
      <c r="L58" s="141"/>
      <c r="M58" s="141"/>
      <c r="N58" s="141" t="s">
        <v>355</v>
      </c>
      <c r="O58" s="141"/>
      <c r="P58" s="141"/>
      <c r="Q58" s="141"/>
      <c r="R58" s="141"/>
      <c r="S58" s="141" t="s">
        <v>370</v>
      </c>
      <c r="T58" s="141" t="s">
        <v>886</v>
      </c>
      <c r="U58" s="141" t="s">
        <v>886</v>
      </c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 t="s">
        <v>355</v>
      </c>
      <c r="AL58" s="141" t="s">
        <v>365</v>
      </c>
      <c r="AM58" s="141" t="s">
        <v>355</v>
      </c>
      <c r="AN58" s="141" t="s">
        <v>887</v>
      </c>
      <c r="AO58" s="141" t="s">
        <v>886</v>
      </c>
      <c r="AP58" s="141" t="s">
        <v>888</v>
      </c>
      <c r="AQ58" s="141" t="s">
        <v>889</v>
      </c>
      <c r="AR58" s="141" t="s">
        <v>890</v>
      </c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73"/>
    </row>
    <row r="59" spans="2:105" x14ac:dyDescent="0.25">
      <c r="B59" s="172"/>
      <c r="C59" s="141"/>
      <c r="D59" s="141" t="s">
        <v>1119</v>
      </c>
      <c r="E59" s="141"/>
      <c r="F59" s="141" t="s">
        <v>467</v>
      </c>
      <c r="G59" s="141"/>
      <c r="H59" s="141" t="s">
        <v>354</v>
      </c>
      <c r="I59" s="141"/>
      <c r="J59" s="141" t="s">
        <v>355</v>
      </c>
      <c r="K59" s="141" t="s">
        <v>641</v>
      </c>
      <c r="L59" s="141"/>
      <c r="M59" s="141"/>
      <c r="N59" s="141" t="s">
        <v>355</v>
      </c>
      <c r="O59" s="141"/>
      <c r="P59" s="141"/>
      <c r="Q59" s="141"/>
      <c r="R59" s="141"/>
      <c r="S59" s="141" t="s">
        <v>370</v>
      </c>
      <c r="T59" s="141" t="s">
        <v>886</v>
      </c>
      <c r="U59" s="141" t="s">
        <v>886</v>
      </c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 t="s">
        <v>355</v>
      </c>
      <c r="AL59" s="141" t="s">
        <v>365</v>
      </c>
      <c r="AM59" s="141" t="s">
        <v>355</v>
      </c>
      <c r="AN59" s="141" t="s">
        <v>887</v>
      </c>
      <c r="AO59" s="141" t="s">
        <v>886</v>
      </c>
      <c r="AP59" s="141" t="s">
        <v>888</v>
      </c>
      <c r="AQ59" s="141" t="s">
        <v>889</v>
      </c>
      <c r="AR59" s="141" t="s">
        <v>890</v>
      </c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73"/>
    </row>
    <row r="60" spans="2:105" x14ac:dyDescent="0.25">
      <c r="B60" s="172"/>
      <c r="C60" s="141" t="s">
        <v>1120</v>
      </c>
      <c r="D60" s="141" t="s">
        <v>1121</v>
      </c>
      <c r="E60" s="141" t="s">
        <v>1122</v>
      </c>
      <c r="F60" s="141" t="s">
        <v>509</v>
      </c>
      <c r="G60" s="141"/>
      <c r="H60" s="141" t="s">
        <v>354</v>
      </c>
      <c r="I60" s="141"/>
      <c r="J60" s="141" t="s">
        <v>355</v>
      </c>
      <c r="K60" s="141" t="s">
        <v>730</v>
      </c>
      <c r="L60" s="141"/>
      <c r="M60" s="141"/>
      <c r="N60" s="141" t="s">
        <v>370</v>
      </c>
      <c r="O60" s="141" t="s">
        <v>370</v>
      </c>
      <c r="P60" s="141" t="s">
        <v>529</v>
      </c>
      <c r="Q60" s="141" t="s">
        <v>530</v>
      </c>
      <c r="R60" s="141" t="s">
        <v>362</v>
      </c>
      <c r="S60" s="141" t="s">
        <v>370</v>
      </c>
      <c r="T60" s="141" t="s">
        <v>886</v>
      </c>
      <c r="U60" s="141" t="s">
        <v>886</v>
      </c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 t="s">
        <v>355</v>
      </c>
      <c r="AL60" s="141" t="s">
        <v>365</v>
      </c>
      <c r="AM60" s="141" t="s">
        <v>355</v>
      </c>
      <c r="AN60" s="141" t="s">
        <v>887</v>
      </c>
      <c r="AO60" s="141" t="s">
        <v>886</v>
      </c>
      <c r="AP60" s="141" t="s">
        <v>888</v>
      </c>
      <c r="AQ60" s="141" t="s">
        <v>889</v>
      </c>
      <c r="AR60" s="141" t="s">
        <v>890</v>
      </c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73"/>
    </row>
    <row r="61" spans="2:105" x14ac:dyDescent="0.25">
      <c r="B61" s="172"/>
      <c r="C61" s="141" t="s">
        <v>1123</v>
      </c>
      <c r="D61" s="141" t="s">
        <v>1124</v>
      </c>
      <c r="E61" s="141" t="s">
        <v>1125</v>
      </c>
      <c r="F61" s="141" t="s">
        <v>1126</v>
      </c>
      <c r="G61" s="141"/>
      <c r="H61" s="141" t="s">
        <v>354</v>
      </c>
      <c r="I61" s="141"/>
      <c r="J61" s="141" t="s">
        <v>355</v>
      </c>
      <c r="K61" s="141" t="s">
        <v>1127</v>
      </c>
      <c r="L61" s="141" t="s">
        <v>1128</v>
      </c>
      <c r="M61" s="141" t="s">
        <v>1129</v>
      </c>
      <c r="N61" s="141" t="s">
        <v>355</v>
      </c>
      <c r="O61" s="141" t="s">
        <v>370</v>
      </c>
      <c r="P61" s="141" t="s">
        <v>529</v>
      </c>
      <c r="Q61" s="141" t="s">
        <v>530</v>
      </c>
      <c r="R61" s="141" t="s">
        <v>362</v>
      </c>
      <c r="S61" s="141" t="s">
        <v>369</v>
      </c>
      <c r="T61" s="141" t="s">
        <v>1130</v>
      </c>
      <c r="U61" s="141" t="s">
        <v>1130</v>
      </c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 t="s">
        <v>355</v>
      </c>
      <c r="AL61" s="141" t="s">
        <v>365</v>
      </c>
      <c r="AM61" s="141" t="s">
        <v>355</v>
      </c>
      <c r="AN61" s="141" t="s">
        <v>368</v>
      </c>
      <c r="AO61" s="141" t="s">
        <v>1130</v>
      </c>
      <c r="AP61" s="141" t="s">
        <v>654</v>
      </c>
      <c r="AQ61" s="141" t="s">
        <v>655</v>
      </c>
      <c r="AR61" s="141" t="s">
        <v>409</v>
      </c>
      <c r="AS61" s="141" t="s">
        <v>370</v>
      </c>
      <c r="AT61" s="141"/>
      <c r="AU61" s="141" t="s">
        <v>1128</v>
      </c>
      <c r="AV61" s="141" t="s">
        <v>656</v>
      </c>
      <c r="AW61" s="141" t="s">
        <v>1131</v>
      </c>
      <c r="AX61" s="141" t="s">
        <v>658</v>
      </c>
      <c r="AY61" s="141" t="s">
        <v>1132</v>
      </c>
      <c r="AZ61" s="141" t="s">
        <v>660</v>
      </c>
      <c r="BA61" s="141" t="s">
        <v>1133</v>
      </c>
      <c r="BB61" s="141" t="s">
        <v>662</v>
      </c>
      <c r="BC61" s="141" t="s">
        <v>445</v>
      </c>
      <c r="BD61" s="141" t="s">
        <v>498</v>
      </c>
      <c r="BE61" s="141" t="s">
        <v>1134</v>
      </c>
      <c r="BF61" s="141" t="s">
        <v>379</v>
      </c>
      <c r="BG61" s="141" t="s">
        <v>1135</v>
      </c>
      <c r="BH61" s="141" t="s">
        <v>381</v>
      </c>
      <c r="BI61" s="141" t="s">
        <v>1040</v>
      </c>
      <c r="BJ61" s="141" t="s">
        <v>383</v>
      </c>
      <c r="BK61" s="141" t="s">
        <v>1136</v>
      </c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73"/>
    </row>
    <row r="62" spans="2:105" x14ac:dyDescent="0.25">
      <c r="B62" s="172"/>
      <c r="C62" s="141" t="s">
        <v>1137</v>
      </c>
      <c r="D62" s="141" t="s">
        <v>1138</v>
      </c>
      <c r="E62" s="141" t="s">
        <v>1139</v>
      </c>
      <c r="F62" s="141" t="s">
        <v>1140</v>
      </c>
      <c r="G62" s="141"/>
      <c r="H62" s="141" t="s">
        <v>354</v>
      </c>
      <c r="I62" s="141"/>
      <c r="J62" s="141" t="s">
        <v>355</v>
      </c>
      <c r="K62" s="141" t="s">
        <v>1141</v>
      </c>
      <c r="L62" s="141" t="s">
        <v>1142</v>
      </c>
      <c r="M62" s="141" t="s">
        <v>1143</v>
      </c>
      <c r="N62" s="141" t="s">
        <v>355</v>
      </c>
      <c r="O62" s="141" t="s">
        <v>394</v>
      </c>
      <c r="P62" s="141" t="s">
        <v>425</v>
      </c>
      <c r="Q62" s="141" t="s">
        <v>426</v>
      </c>
      <c r="R62" s="141" t="s">
        <v>362</v>
      </c>
      <c r="S62" s="141" t="s">
        <v>369</v>
      </c>
      <c r="T62" s="141" t="s">
        <v>1130</v>
      </c>
      <c r="U62" s="141" t="s">
        <v>1130</v>
      </c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 t="s">
        <v>355</v>
      </c>
      <c r="AL62" s="141" t="s">
        <v>365</v>
      </c>
      <c r="AM62" s="141" t="s">
        <v>355</v>
      </c>
      <c r="AN62" s="141" t="s">
        <v>368</v>
      </c>
      <c r="AO62" s="141" t="s">
        <v>1130</v>
      </c>
      <c r="AP62" s="141" t="s">
        <v>654</v>
      </c>
      <c r="AQ62" s="141" t="s">
        <v>655</v>
      </c>
      <c r="AR62" s="141" t="s">
        <v>409</v>
      </c>
      <c r="AS62" s="141" t="s">
        <v>394</v>
      </c>
      <c r="AT62" s="141"/>
      <c r="AU62" s="141" t="s">
        <v>1142</v>
      </c>
      <c r="AV62" s="141" t="s">
        <v>656</v>
      </c>
      <c r="AW62" s="141" t="s">
        <v>1144</v>
      </c>
      <c r="AX62" s="141" t="s">
        <v>658</v>
      </c>
      <c r="AY62" s="141" t="s">
        <v>1145</v>
      </c>
      <c r="AZ62" s="141" t="s">
        <v>660</v>
      </c>
      <c r="BA62" s="141" t="s">
        <v>1146</v>
      </c>
      <c r="BB62" s="141" t="s">
        <v>662</v>
      </c>
      <c r="BC62" s="141" t="s">
        <v>1147</v>
      </c>
      <c r="BD62" s="141" t="s">
        <v>498</v>
      </c>
      <c r="BE62" s="141" t="s">
        <v>1148</v>
      </c>
      <c r="BF62" s="141" t="s">
        <v>379</v>
      </c>
      <c r="BG62" s="141" t="s">
        <v>674</v>
      </c>
      <c r="BH62" s="141" t="s">
        <v>381</v>
      </c>
      <c r="BI62" s="141" t="s">
        <v>1149</v>
      </c>
      <c r="BJ62" s="141" t="s">
        <v>383</v>
      </c>
      <c r="BK62" s="141" t="s">
        <v>1150</v>
      </c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73"/>
    </row>
    <row r="63" spans="2:105" x14ac:dyDescent="0.25">
      <c r="B63" s="172"/>
      <c r="C63" s="141" t="s">
        <v>1151</v>
      </c>
      <c r="D63" s="141" t="s">
        <v>1152</v>
      </c>
      <c r="E63" s="141" t="s">
        <v>765</v>
      </c>
      <c r="F63" s="141" t="s">
        <v>1153</v>
      </c>
      <c r="G63" s="141"/>
      <c r="H63" s="141" t="s">
        <v>354</v>
      </c>
      <c r="I63" s="141"/>
      <c r="J63" s="141" t="s">
        <v>355</v>
      </c>
      <c r="K63" s="141" t="s">
        <v>1154</v>
      </c>
      <c r="L63" s="141" t="s">
        <v>1155</v>
      </c>
      <c r="M63" s="141" t="s">
        <v>1156</v>
      </c>
      <c r="N63" s="141" t="s">
        <v>355</v>
      </c>
      <c r="O63" s="141" t="s">
        <v>394</v>
      </c>
      <c r="P63" s="141" t="s">
        <v>425</v>
      </c>
      <c r="Q63" s="141" t="s">
        <v>426</v>
      </c>
      <c r="R63" s="141" t="s">
        <v>362</v>
      </c>
      <c r="S63" s="141" t="s">
        <v>369</v>
      </c>
      <c r="T63" s="141" t="s">
        <v>1130</v>
      </c>
      <c r="U63" s="141" t="s">
        <v>1130</v>
      </c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 t="s">
        <v>355</v>
      </c>
      <c r="AL63" s="141" t="s">
        <v>365</v>
      </c>
      <c r="AM63" s="141" t="s">
        <v>355</v>
      </c>
      <c r="AN63" s="141" t="s">
        <v>368</v>
      </c>
      <c r="AO63" s="141" t="s">
        <v>1130</v>
      </c>
      <c r="AP63" s="141" t="s">
        <v>654</v>
      </c>
      <c r="AQ63" s="141" t="s">
        <v>655</v>
      </c>
      <c r="AR63" s="141" t="s">
        <v>409</v>
      </c>
      <c r="AS63" s="141" t="s">
        <v>359</v>
      </c>
      <c r="AT63" s="141"/>
      <c r="AU63" s="141" t="s">
        <v>1155</v>
      </c>
      <c r="AV63" s="141" t="s">
        <v>656</v>
      </c>
      <c r="AW63" s="141" t="s">
        <v>1157</v>
      </c>
      <c r="AX63" s="141" t="s">
        <v>658</v>
      </c>
      <c r="AY63" s="141" t="s">
        <v>1158</v>
      </c>
      <c r="AZ63" s="141" t="s">
        <v>660</v>
      </c>
      <c r="BA63" s="141" t="s">
        <v>1159</v>
      </c>
      <c r="BB63" s="141" t="s">
        <v>662</v>
      </c>
      <c r="BC63" s="141" t="s">
        <v>1160</v>
      </c>
      <c r="BD63" s="141" t="s">
        <v>498</v>
      </c>
      <c r="BE63" s="141" t="s">
        <v>1161</v>
      </c>
      <c r="BF63" s="141" t="s">
        <v>379</v>
      </c>
      <c r="BG63" s="141" t="s">
        <v>1105</v>
      </c>
      <c r="BH63" s="141" t="s">
        <v>381</v>
      </c>
      <c r="BI63" s="141" t="s">
        <v>1162</v>
      </c>
      <c r="BJ63" s="141" t="s">
        <v>383</v>
      </c>
      <c r="BK63" s="141" t="s">
        <v>1163</v>
      </c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73"/>
    </row>
    <row r="64" spans="2:105" x14ac:dyDescent="0.25">
      <c r="B64" s="172"/>
      <c r="C64" s="141" t="s">
        <v>1164</v>
      </c>
      <c r="D64" s="141" t="s">
        <v>1165</v>
      </c>
      <c r="E64" s="141" t="s">
        <v>1166</v>
      </c>
      <c r="F64" s="141" t="s">
        <v>920</v>
      </c>
      <c r="G64" s="141"/>
      <c r="H64" s="141" t="s">
        <v>354</v>
      </c>
      <c r="I64" s="141"/>
      <c r="J64" s="141" t="s">
        <v>355</v>
      </c>
      <c r="K64" s="141" t="s">
        <v>1167</v>
      </c>
      <c r="L64" s="141" t="s">
        <v>1168</v>
      </c>
      <c r="M64" s="141" t="s">
        <v>1169</v>
      </c>
      <c r="N64" s="141" t="s">
        <v>355</v>
      </c>
      <c r="O64" s="141" t="s">
        <v>394</v>
      </c>
      <c r="P64" s="141" t="s">
        <v>425</v>
      </c>
      <c r="Q64" s="141" t="s">
        <v>426</v>
      </c>
      <c r="R64" s="141" t="s">
        <v>362</v>
      </c>
      <c r="S64" s="141" t="s">
        <v>369</v>
      </c>
      <c r="T64" s="141" t="s">
        <v>1130</v>
      </c>
      <c r="U64" s="141" t="s">
        <v>1130</v>
      </c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 t="s">
        <v>355</v>
      </c>
      <c r="AL64" s="141" t="s">
        <v>365</v>
      </c>
      <c r="AM64" s="141" t="s">
        <v>355</v>
      </c>
      <c r="AN64" s="141" t="s">
        <v>368</v>
      </c>
      <c r="AO64" s="141" t="s">
        <v>1130</v>
      </c>
      <c r="AP64" s="141" t="s">
        <v>654</v>
      </c>
      <c r="AQ64" s="141" t="s">
        <v>655</v>
      </c>
      <c r="AR64" s="141" t="s">
        <v>409</v>
      </c>
      <c r="AS64" s="141" t="s">
        <v>427</v>
      </c>
      <c r="AT64" s="141"/>
      <c r="AU64" s="141" t="s">
        <v>1168</v>
      </c>
      <c r="AV64" s="141" t="s">
        <v>656</v>
      </c>
      <c r="AW64" s="141" t="s">
        <v>1170</v>
      </c>
      <c r="AX64" s="141" t="s">
        <v>658</v>
      </c>
      <c r="AY64" s="141" t="s">
        <v>1171</v>
      </c>
      <c r="AZ64" s="141" t="s">
        <v>660</v>
      </c>
      <c r="BA64" s="141" t="s">
        <v>1172</v>
      </c>
      <c r="BB64" s="141" t="s">
        <v>662</v>
      </c>
      <c r="BC64" s="141" t="s">
        <v>1173</v>
      </c>
      <c r="BD64" s="141" t="s">
        <v>498</v>
      </c>
      <c r="BE64" s="141" t="s">
        <v>1174</v>
      </c>
      <c r="BF64" s="141" t="s">
        <v>379</v>
      </c>
      <c r="BG64" s="141" t="s">
        <v>1040</v>
      </c>
      <c r="BH64" s="141" t="s">
        <v>381</v>
      </c>
      <c r="BI64" s="141" t="s">
        <v>1175</v>
      </c>
      <c r="BJ64" s="141" t="s">
        <v>383</v>
      </c>
      <c r="BK64" s="141" t="s">
        <v>1176</v>
      </c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73"/>
    </row>
    <row r="65" spans="2:105" x14ac:dyDescent="0.25">
      <c r="B65" s="172"/>
      <c r="C65" s="141" t="s">
        <v>1177</v>
      </c>
      <c r="D65" s="141" t="s">
        <v>1178</v>
      </c>
      <c r="E65" s="141" t="s">
        <v>1179</v>
      </c>
      <c r="F65" s="141" t="s">
        <v>1180</v>
      </c>
      <c r="G65" s="141"/>
      <c r="H65" s="141" t="s">
        <v>354</v>
      </c>
      <c r="I65" s="141"/>
      <c r="J65" s="141" t="s">
        <v>355</v>
      </c>
      <c r="K65" s="141" t="s">
        <v>1181</v>
      </c>
      <c r="L65" s="141" t="s">
        <v>1182</v>
      </c>
      <c r="M65" s="141" t="s">
        <v>1183</v>
      </c>
      <c r="N65" s="141" t="s">
        <v>355</v>
      </c>
      <c r="O65" s="141" t="s">
        <v>427</v>
      </c>
      <c r="P65" s="141" t="s">
        <v>455</v>
      </c>
      <c r="Q65" s="141" t="s">
        <v>456</v>
      </c>
      <c r="R65" s="141" t="s">
        <v>362</v>
      </c>
      <c r="S65" s="141" t="s">
        <v>369</v>
      </c>
      <c r="T65" s="141" t="s">
        <v>1130</v>
      </c>
      <c r="U65" s="141" t="s">
        <v>1130</v>
      </c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 t="s">
        <v>355</v>
      </c>
      <c r="AL65" s="141" t="s">
        <v>365</v>
      </c>
      <c r="AM65" s="141" t="s">
        <v>355</v>
      </c>
      <c r="AN65" s="141" t="s">
        <v>368</v>
      </c>
      <c r="AO65" s="141" t="s">
        <v>1130</v>
      </c>
      <c r="AP65" s="141" t="s">
        <v>654</v>
      </c>
      <c r="AQ65" s="141" t="s">
        <v>655</v>
      </c>
      <c r="AR65" s="141" t="s">
        <v>409</v>
      </c>
      <c r="AS65" s="141" t="s">
        <v>442</v>
      </c>
      <c r="AT65" s="141"/>
      <c r="AU65" s="141" t="s">
        <v>1182</v>
      </c>
      <c r="AV65" s="141" t="s">
        <v>656</v>
      </c>
      <c r="AW65" s="141" t="s">
        <v>1184</v>
      </c>
      <c r="AX65" s="141" t="s">
        <v>658</v>
      </c>
      <c r="AY65" s="141" t="s">
        <v>1185</v>
      </c>
      <c r="AZ65" s="141" t="s">
        <v>660</v>
      </c>
      <c r="BA65" s="141" t="s">
        <v>1186</v>
      </c>
      <c r="BB65" s="141" t="s">
        <v>662</v>
      </c>
      <c r="BC65" s="141" t="s">
        <v>1187</v>
      </c>
      <c r="BD65" s="141" t="s">
        <v>498</v>
      </c>
      <c r="BE65" s="141" t="s">
        <v>1188</v>
      </c>
      <c r="BF65" s="141" t="s">
        <v>379</v>
      </c>
      <c r="BG65" s="141" t="s">
        <v>1189</v>
      </c>
      <c r="BH65" s="141" t="s">
        <v>381</v>
      </c>
      <c r="BI65" s="141" t="s">
        <v>1190</v>
      </c>
      <c r="BJ65" s="141" t="s">
        <v>383</v>
      </c>
      <c r="BK65" s="141" t="s">
        <v>1191</v>
      </c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73"/>
    </row>
    <row r="66" spans="2:105" x14ac:dyDescent="0.25">
      <c r="B66" s="172"/>
      <c r="C66" s="141" t="s">
        <v>1192</v>
      </c>
      <c r="D66" s="141" t="s">
        <v>1193</v>
      </c>
      <c r="E66" s="141" t="s">
        <v>1194</v>
      </c>
      <c r="F66" s="141" t="s">
        <v>1195</v>
      </c>
      <c r="G66" s="141"/>
      <c r="H66" s="141" t="s">
        <v>354</v>
      </c>
      <c r="I66" s="141"/>
      <c r="J66" s="141" t="s">
        <v>355</v>
      </c>
      <c r="K66" s="141" t="s">
        <v>1196</v>
      </c>
      <c r="L66" s="141" t="s">
        <v>1197</v>
      </c>
      <c r="M66" s="141" t="s">
        <v>1198</v>
      </c>
      <c r="N66" s="141" t="s">
        <v>355</v>
      </c>
      <c r="O66" s="141" t="s">
        <v>409</v>
      </c>
      <c r="P66" s="141" t="s">
        <v>410</v>
      </c>
      <c r="Q66" s="141" t="s">
        <v>410</v>
      </c>
      <c r="R66" s="141" t="s">
        <v>362</v>
      </c>
      <c r="S66" s="141" t="s">
        <v>369</v>
      </c>
      <c r="T66" s="141" t="s">
        <v>1130</v>
      </c>
      <c r="U66" s="141" t="s">
        <v>1130</v>
      </c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 t="s">
        <v>355</v>
      </c>
      <c r="AL66" s="141" t="s">
        <v>365</v>
      </c>
      <c r="AM66" s="141" t="s">
        <v>355</v>
      </c>
      <c r="AN66" s="141" t="s">
        <v>368</v>
      </c>
      <c r="AO66" s="141" t="s">
        <v>1130</v>
      </c>
      <c r="AP66" s="141" t="s">
        <v>654</v>
      </c>
      <c r="AQ66" s="141" t="s">
        <v>655</v>
      </c>
      <c r="AR66" s="141" t="s">
        <v>409</v>
      </c>
      <c r="AS66" s="141" t="s">
        <v>392</v>
      </c>
      <c r="AT66" s="141"/>
      <c r="AU66" s="141" t="s">
        <v>1197</v>
      </c>
      <c r="AV66" s="141" t="s">
        <v>656</v>
      </c>
      <c r="AW66" s="141" t="s">
        <v>1199</v>
      </c>
      <c r="AX66" s="141" t="s">
        <v>658</v>
      </c>
      <c r="AY66" s="141" t="s">
        <v>1200</v>
      </c>
      <c r="AZ66" s="141" t="s">
        <v>660</v>
      </c>
      <c r="BA66" s="141" t="s">
        <v>1201</v>
      </c>
      <c r="BB66" s="141" t="s">
        <v>662</v>
      </c>
      <c r="BC66" s="141" t="s">
        <v>1202</v>
      </c>
      <c r="BD66" s="141" t="s">
        <v>498</v>
      </c>
      <c r="BE66" s="141" t="s">
        <v>581</v>
      </c>
      <c r="BF66" s="141" t="s">
        <v>379</v>
      </c>
      <c r="BG66" s="141" t="s">
        <v>1203</v>
      </c>
      <c r="BH66" s="141" t="s">
        <v>381</v>
      </c>
      <c r="BI66" s="141" t="s">
        <v>1204</v>
      </c>
      <c r="BJ66" s="141" t="s">
        <v>383</v>
      </c>
      <c r="BK66" s="141" t="s">
        <v>1205</v>
      </c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73"/>
    </row>
    <row r="67" spans="2:105" x14ac:dyDescent="0.25">
      <c r="B67" s="172"/>
      <c r="C67" s="141" t="s">
        <v>1206</v>
      </c>
      <c r="D67" s="141" t="s">
        <v>1207</v>
      </c>
      <c r="E67" s="141" t="s">
        <v>1208</v>
      </c>
      <c r="F67" s="141" t="s">
        <v>1209</v>
      </c>
      <c r="G67" s="141"/>
      <c r="H67" s="141" t="s">
        <v>354</v>
      </c>
      <c r="I67" s="141"/>
      <c r="J67" s="141" t="s">
        <v>355</v>
      </c>
      <c r="K67" s="141" t="s">
        <v>1210</v>
      </c>
      <c r="L67" s="141" t="s">
        <v>1211</v>
      </c>
      <c r="M67" s="141" t="s">
        <v>1212</v>
      </c>
      <c r="N67" s="141" t="s">
        <v>355</v>
      </c>
      <c r="O67" s="141" t="s">
        <v>370</v>
      </c>
      <c r="P67" s="141" t="s">
        <v>529</v>
      </c>
      <c r="Q67" s="141" t="s">
        <v>530</v>
      </c>
      <c r="R67" s="141" t="s">
        <v>362</v>
      </c>
      <c r="S67" s="141" t="s">
        <v>369</v>
      </c>
      <c r="T67" s="141" t="s">
        <v>1130</v>
      </c>
      <c r="U67" s="141" t="s">
        <v>1130</v>
      </c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 t="s">
        <v>355</v>
      </c>
      <c r="AL67" s="141" t="s">
        <v>365</v>
      </c>
      <c r="AM67" s="141" t="s">
        <v>355</v>
      </c>
      <c r="AN67" s="141" t="s">
        <v>368</v>
      </c>
      <c r="AO67" s="141" t="s">
        <v>1130</v>
      </c>
      <c r="AP67" s="141" t="s">
        <v>654</v>
      </c>
      <c r="AQ67" s="141" t="s">
        <v>655</v>
      </c>
      <c r="AR67" s="141" t="s">
        <v>409</v>
      </c>
      <c r="AS67" s="141" t="s">
        <v>369</v>
      </c>
      <c r="AT67" s="141"/>
      <c r="AU67" s="141" t="s">
        <v>1211</v>
      </c>
      <c r="AV67" s="141" t="s">
        <v>656</v>
      </c>
      <c r="AW67" s="141" t="s">
        <v>1213</v>
      </c>
      <c r="AX67" s="141" t="s">
        <v>658</v>
      </c>
      <c r="AY67" s="141" t="s">
        <v>1214</v>
      </c>
      <c r="AZ67" s="141" t="s">
        <v>660</v>
      </c>
      <c r="BA67" s="141" t="s">
        <v>1215</v>
      </c>
      <c r="BB67" s="141" t="s">
        <v>662</v>
      </c>
      <c r="BC67" s="141" t="s">
        <v>1216</v>
      </c>
      <c r="BD67" s="141" t="s">
        <v>498</v>
      </c>
      <c r="BE67" s="141" t="s">
        <v>1163</v>
      </c>
      <c r="BF67" s="141" t="s">
        <v>379</v>
      </c>
      <c r="BG67" s="141" t="s">
        <v>1217</v>
      </c>
      <c r="BH67" s="141" t="s">
        <v>381</v>
      </c>
      <c r="BI67" s="141" t="s">
        <v>1218</v>
      </c>
      <c r="BJ67" s="141" t="s">
        <v>383</v>
      </c>
      <c r="BK67" s="141" t="s">
        <v>751</v>
      </c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73"/>
    </row>
    <row r="68" spans="2:105" x14ac:dyDescent="0.25">
      <c r="B68" s="172"/>
      <c r="C68" s="141" t="s">
        <v>1219</v>
      </c>
      <c r="D68" s="141" t="s">
        <v>1220</v>
      </c>
      <c r="E68" s="141" t="s">
        <v>1221</v>
      </c>
      <c r="F68" s="141" t="s">
        <v>1222</v>
      </c>
      <c r="G68" s="141"/>
      <c r="H68" s="141" t="s">
        <v>354</v>
      </c>
      <c r="I68" s="141"/>
      <c r="J68" s="141" t="s">
        <v>355</v>
      </c>
      <c r="K68" s="141" t="s">
        <v>879</v>
      </c>
      <c r="L68" s="141" t="s">
        <v>1223</v>
      </c>
      <c r="M68" s="141" t="s">
        <v>1224</v>
      </c>
      <c r="N68" s="141" t="s">
        <v>355</v>
      </c>
      <c r="O68" s="141" t="s">
        <v>394</v>
      </c>
      <c r="P68" s="141" t="s">
        <v>425</v>
      </c>
      <c r="Q68" s="141" t="s">
        <v>426</v>
      </c>
      <c r="R68" s="141" t="s">
        <v>362</v>
      </c>
      <c r="S68" s="141" t="s">
        <v>369</v>
      </c>
      <c r="T68" s="141" t="s">
        <v>1130</v>
      </c>
      <c r="U68" s="141" t="s">
        <v>1130</v>
      </c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 t="s">
        <v>355</v>
      </c>
      <c r="AL68" s="141" t="s">
        <v>365</v>
      </c>
      <c r="AM68" s="141" t="s">
        <v>355</v>
      </c>
      <c r="AN68" s="141" t="s">
        <v>368</v>
      </c>
      <c r="AO68" s="141" t="s">
        <v>1130</v>
      </c>
      <c r="AP68" s="141" t="s">
        <v>654</v>
      </c>
      <c r="AQ68" s="141" t="s">
        <v>655</v>
      </c>
      <c r="AR68" s="141" t="s">
        <v>409</v>
      </c>
      <c r="AS68" s="141" t="s">
        <v>409</v>
      </c>
      <c r="AT68" s="141"/>
      <c r="AU68" s="141" t="s">
        <v>1223</v>
      </c>
      <c r="AV68" s="141" t="s">
        <v>656</v>
      </c>
      <c r="AW68" s="141" t="s">
        <v>1225</v>
      </c>
      <c r="AX68" s="141" t="s">
        <v>658</v>
      </c>
      <c r="AY68" s="141" t="s">
        <v>1226</v>
      </c>
      <c r="AZ68" s="141" t="s">
        <v>660</v>
      </c>
      <c r="BA68" s="141" t="s">
        <v>1227</v>
      </c>
      <c r="BB68" s="141" t="s">
        <v>662</v>
      </c>
      <c r="BC68" s="141" t="s">
        <v>1228</v>
      </c>
      <c r="BD68" s="141" t="s">
        <v>498</v>
      </c>
      <c r="BE68" s="141" t="s">
        <v>1229</v>
      </c>
      <c r="BF68" s="141" t="s">
        <v>379</v>
      </c>
      <c r="BG68" s="141" t="s">
        <v>1230</v>
      </c>
      <c r="BH68" s="141" t="s">
        <v>381</v>
      </c>
      <c r="BI68" s="141" t="s">
        <v>689</v>
      </c>
      <c r="BJ68" s="141" t="s">
        <v>383</v>
      </c>
      <c r="BK68" s="141" t="s">
        <v>1231</v>
      </c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73"/>
    </row>
    <row r="69" spans="2:105" x14ac:dyDescent="0.25">
      <c r="B69" s="172"/>
      <c r="C69" s="141" t="s">
        <v>1232</v>
      </c>
      <c r="D69" s="141" t="s">
        <v>1233</v>
      </c>
      <c r="E69" s="141" t="s">
        <v>1234</v>
      </c>
      <c r="F69" s="141" t="s">
        <v>438</v>
      </c>
      <c r="G69" s="141"/>
      <c r="H69" s="141" t="s">
        <v>354</v>
      </c>
      <c r="I69" s="141"/>
      <c r="J69" s="141" t="s">
        <v>355</v>
      </c>
      <c r="K69" s="141" t="s">
        <v>1235</v>
      </c>
      <c r="L69" s="141" t="s">
        <v>1236</v>
      </c>
      <c r="M69" s="141" t="s">
        <v>1237</v>
      </c>
      <c r="N69" s="141" t="s">
        <v>355</v>
      </c>
      <c r="O69" s="141" t="s">
        <v>370</v>
      </c>
      <c r="P69" s="141" t="s">
        <v>529</v>
      </c>
      <c r="Q69" s="141" t="s">
        <v>530</v>
      </c>
      <c r="R69" s="141" t="s">
        <v>362</v>
      </c>
      <c r="S69" s="141" t="s">
        <v>369</v>
      </c>
      <c r="T69" s="141" t="s">
        <v>1130</v>
      </c>
      <c r="U69" s="141" t="s">
        <v>1130</v>
      </c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 t="s">
        <v>355</v>
      </c>
      <c r="AL69" s="141" t="s">
        <v>365</v>
      </c>
      <c r="AM69" s="141" t="s">
        <v>355</v>
      </c>
      <c r="AN69" s="141" t="s">
        <v>368</v>
      </c>
      <c r="AO69" s="141" t="s">
        <v>1130</v>
      </c>
      <c r="AP69" s="141" t="s">
        <v>654</v>
      </c>
      <c r="AQ69" s="141" t="s">
        <v>655</v>
      </c>
      <c r="AR69" s="141" t="s">
        <v>409</v>
      </c>
      <c r="AS69" s="141" t="s">
        <v>491</v>
      </c>
      <c r="AT69" s="141"/>
      <c r="AU69" s="141" t="s">
        <v>1236</v>
      </c>
      <c r="AV69" s="141" t="s">
        <v>656</v>
      </c>
      <c r="AW69" s="141" t="s">
        <v>1238</v>
      </c>
      <c r="AX69" s="141" t="s">
        <v>658</v>
      </c>
      <c r="AY69" s="141" t="s">
        <v>1239</v>
      </c>
      <c r="AZ69" s="141" t="s">
        <v>660</v>
      </c>
      <c r="BA69" s="141" t="s">
        <v>1240</v>
      </c>
      <c r="BB69" s="141" t="s">
        <v>662</v>
      </c>
      <c r="BC69" s="141" t="s">
        <v>1241</v>
      </c>
      <c r="BD69" s="141" t="s">
        <v>498</v>
      </c>
      <c r="BE69" s="141" t="s">
        <v>1242</v>
      </c>
      <c r="BF69" s="141" t="s">
        <v>379</v>
      </c>
      <c r="BG69" s="141" t="s">
        <v>1243</v>
      </c>
      <c r="BH69" s="141" t="s">
        <v>381</v>
      </c>
      <c r="BI69" s="141" t="s">
        <v>1244</v>
      </c>
      <c r="BJ69" s="141" t="s">
        <v>383</v>
      </c>
      <c r="BK69" s="141" t="s">
        <v>1245</v>
      </c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73"/>
    </row>
    <row r="70" spans="2:105" x14ac:dyDescent="0.25">
      <c r="B70" s="172"/>
      <c r="C70" s="141" t="s">
        <v>1246</v>
      </c>
      <c r="D70" s="141" t="s">
        <v>1247</v>
      </c>
      <c r="E70" s="141" t="s">
        <v>1248</v>
      </c>
      <c r="F70" s="141" t="s">
        <v>1249</v>
      </c>
      <c r="G70" s="141"/>
      <c r="H70" s="141" t="s">
        <v>354</v>
      </c>
      <c r="I70" s="141"/>
      <c r="J70" s="141" t="s">
        <v>355</v>
      </c>
      <c r="K70" s="141" t="s">
        <v>1118</v>
      </c>
      <c r="L70" s="141" t="s">
        <v>1250</v>
      </c>
      <c r="M70" s="141" t="s">
        <v>1251</v>
      </c>
      <c r="N70" s="141" t="s">
        <v>355</v>
      </c>
      <c r="O70" s="141" t="s">
        <v>370</v>
      </c>
      <c r="P70" s="141" t="s">
        <v>529</v>
      </c>
      <c r="Q70" s="141" t="s">
        <v>530</v>
      </c>
      <c r="R70" s="141" t="s">
        <v>362</v>
      </c>
      <c r="S70" s="141" t="s">
        <v>369</v>
      </c>
      <c r="T70" s="141" t="s">
        <v>1130</v>
      </c>
      <c r="U70" s="141" t="s">
        <v>1130</v>
      </c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 t="s">
        <v>355</v>
      </c>
      <c r="AL70" s="141" t="s">
        <v>365</v>
      </c>
      <c r="AM70" s="141" t="s">
        <v>355</v>
      </c>
      <c r="AN70" s="141" t="s">
        <v>368</v>
      </c>
      <c r="AO70" s="141" t="s">
        <v>1130</v>
      </c>
      <c r="AP70" s="141" t="s">
        <v>654</v>
      </c>
      <c r="AQ70" s="141" t="s">
        <v>655</v>
      </c>
      <c r="AR70" s="141" t="s">
        <v>409</v>
      </c>
      <c r="AS70" s="141" t="s">
        <v>486</v>
      </c>
      <c r="AT70" s="141"/>
      <c r="AU70" s="141" t="s">
        <v>1250</v>
      </c>
      <c r="AV70" s="141" t="s">
        <v>656</v>
      </c>
      <c r="AW70" s="141" t="s">
        <v>1252</v>
      </c>
      <c r="AX70" s="141" t="s">
        <v>658</v>
      </c>
      <c r="AY70" s="141" t="s">
        <v>1253</v>
      </c>
      <c r="AZ70" s="141" t="s">
        <v>660</v>
      </c>
      <c r="BA70" s="141" t="s">
        <v>1254</v>
      </c>
      <c r="BB70" s="141" t="s">
        <v>662</v>
      </c>
      <c r="BC70" s="141" t="s">
        <v>1255</v>
      </c>
      <c r="BD70" s="141" t="s">
        <v>498</v>
      </c>
      <c r="BE70" s="141" t="s">
        <v>1256</v>
      </c>
      <c r="BF70" s="141" t="s">
        <v>379</v>
      </c>
      <c r="BG70" s="141" t="s">
        <v>1257</v>
      </c>
      <c r="BH70" s="141" t="s">
        <v>381</v>
      </c>
      <c r="BI70" s="141" t="s">
        <v>1258</v>
      </c>
      <c r="BJ70" s="141" t="s">
        <v>383</v>
      </c>
      <c r="BK70" s="141" t="s">
        <v>1259</v>
      </c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73"/>
    </row>
    <row r="71" spans="2:105" x14ac:dyDescent="0.25">
      <c r="B71" s="172"/>
      <c r="C71" s="141" t="s">
        <v>1260</v>
      </c>
      <c r="D71" s="141" t="s">
        <v>1261</v>
      </c>
      <c r="E71" s="141" t="s">
        <v>1262</v>
      </c>
      <c r="F71" s="141" t="s">
        <v>1263</v>
      </c>
      <c r="G71" s="141"/>
      <c r="H71" s="141" t="s">
        <v>354</v>
      </c>
      <c r="I71" s="141"/>
      <c r="J71" s="141" t="s">
        <v>355</v>
      </c>
      <c r="K71" s="141" t="s">
        <v>1264</v>
      </c>
      <c r="L71" s="141" t="s">
        <v>1265</v>
      </c>
      <c r="M71" s="141" t="s">
        <v>958</v>
      </c>
      <c r="N71" s="141" t="s">
        <v>355</v>
      </c>
      <c r="O71" s="141" t="s">
        <v>359</v>
      </c>
      <c r="P71" s="141" t="s">
        <v>360</v>
      </c>
      <c r="Q71" s="141" t="s">
        <v>361</v>
      </c>
      <c r="R71" s="141" t="s">
        <v>362</v>
      </c>
      <c r="S71" s="141" t="s">
        <v>369</v>
      </c>
      <c r="T71" s="141" t="s">
        <v>1130</v>
      </c>
      <c r="U71" s="141" t="s">
        <v>1130</v>
      </c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 t="s">
        <v>355</v>
      </c>
      <c r="AL71" s="141" t="s">
        <v>365</v>
      </c>
      <c r="AM71" s="141" t="s">
        <v>355</v>
      </c>
      <c r="AN71" s="141" t="s">
        <v>368</v>
      </c>
      <c r="AO71" s="141" t="s">
        <v>1130</v>
      </c>
      <c r="AP71" s="141" t="s">
        <v>654</v>
      </c>
      <c r="AQ71" s="141" t="s">
        <v>655</v>
      </c>
      <c r="AR71" s="141" t="s">
        <v>409</v>
      </c>
      <c r="AS71" s="141" t="s">
        <v>363</v>
      </c>
      <c r="AT71" s="141"/>
      <c r="AU71" s="141" t="s">
        <v>1265</v>
      </c>
      <c r="AV71" s="141" t="s">
        <v>656</v>
      </c>
      <c r="AW71" s="141" t="s">
        <v>1266</v>
      </c>
      <c r="AX71" s="141" t="s">
        <v>658</v>
      </c>
      <c r="AY71" s="141" t="s">
        <v>1267</v>
      </c>
      <c r="AZ71" s="141" t="s">
        <v>660</v>
      </c>
      <c r="BA71" s="141" t="s">
        <v>1268</v>
      </c>
      <c r="BB71" s="141" t="s">
        <v>662</v>
      </c>
      <c r="BC71" s="141" t="s">
        <v>1269</v>
      </c>
      <c r="BD71" s="141" t="s">
        <v>498</v>
      </c>
      <c r="BE71" s="141" t="s">
        <v>1270</v>
      </c>
      <c r="BF71" s="141" t="s">
        <v>379</v>
      </c>
      <c r="BG71" s="141" t="s">
        <v>1271</v>
      </c>
      <c r="BH71" s="141" t="s">
        <v>381</v>
      </c>
      <c r="BI71" s="141" t="s">
        <v>1272</v>
      </c>
      <c r="BJ71" s="141" t="s">
        <v>383</v>
      </c>
      <c r="BK71" s="141" t="s">
        <v>1273</v>
      </c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73"/>
    </row>
    <row r="72" spans="2:105" x14ac:dyDescent="0.25">
      <c r="B72" s="172"/>
      <c r="C72" s="141" t="s">
        <v>1274</v>
      </c>
      <c r="D72" s="141" t="s">
        <v>1275</v>
      </c>
      <c r="E72" s="141" t="s">
        <v>1276</v>
      </c>
      <c r="F72" s="141" t="s">
        <v>1029</v>
      </c>
      <c r="G72" s="141"/>
      <c r="H72" s="141" t="s">
        <v>354</v>
      </c>
      <c r="I72" s="141"/>
      <c r="J72" s="141" t="s">
        <v>355</v>
      </c>
      <c r="K72" s="141" t="s">
        <v>1277</v>
      </c>
      <c r="L72" s="141" t="s">
        <v>1278</v>
      </c>
      <c r="M72" s="141" t="s">
        <v>1279</v>
      </c>
      <c r="N72" s="141" t="s">
        <v>355</v>
      </c>
      <c r="O72" s="141" t="s">
        <v>394</v>
      </c>
      <c r="P72" s="141" t="s">
        <v>425</v>
      </c>
      <c r="Q72" s="141" t="s">
        <v>426</v>
      </c>
      <c r="R72" s="141" t="s">
        <v>362</v>
      </c>
      <c r="S72" s="141" t="s">
        <v>369</v>
      </c>
      <c r="T72" s="141" t="s">
        <v>1130</v>
      </c>
      <c r="U72" s="141" t="s">
        <v>1130</v>
      </c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 t="s">
        <v>355</v>
      </c>
      <c r="AL72" s="141" t="s">
        <v>365</v>
      </c>
      <c r="AM72" s="141" t="s">
        <v>355</v>
      </c>
      <c r="AN72" s="141" t="s">
        <v>368</v>
      </c>
      <c r="AO72" s="141" t="s">
        <v>1130</v>
      </c>
      <c r="AP72" s="141" t="s">
        <v>654</v>
      </c>
      <c r="AQ72" s="141" t="s">
        <v>655</v>
      </c>
      <c r="AR72" s="141" t="s">
        <v>409</v>
      </c>
      <c r="AS72" s="141" t="s">
        <v>1280</v>
      </c>
      <c r="AT72" s="141"/>
      <c r="AU72" s="141" t="s">
        <v>1278</v>
      </c>
      <c r="AV72" s="141" t="s">
        <v>656</v>
      </c>
      <c r="AW72" s="141" t="s">
        <v>1281</v>
      </c>
      <c r="AX72" s="141" t="s">
        <v>658</v>
      </c>
      <c r="AY72" s="141" t="s">
        <v>1282</v>
      </c>
      <c r="AZ72" s="141" t="s">
        <v>660</v>
      </c>
      <c r="BA72" s="141" t="s">
        <v>1283</v>
      </c>
      <c r="BB72" s="141" t="s">
        <v>662</v>
      </c>
      <c r="BC72" s="141" t="s">
        <v>1284</v>
      </c>
      <c r="BD72" s="141" t="s">
        <v>498</v>
      </c>
      <c r="BE72" s="141" t="s">
        <v>1285</v>
      </c>
      <c r="BF72" s="141" t="s">
        <v>379</v>
      </c>
      <c r="BG72" s="141" t="s">
        <v>1286</v>
      </c>
      <c r="BH72" s="141" t="s">
        <v>381</v>
      </c>
      <c r="BI72" s="141" t="s">
        <v>1287</v>
      </c>
      <c r="BJ72" s="141" t="s">
        <v>383</v>
      </c>
      <c r="BK72" s="141" t="s">
        <v>1288</v>
      </c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73"/>
    </row>
    <row r="73" spans="2:105" x14ac:dyDescent="0.25">
      <c r="B73" s="172"/>
      <c r="C73" s="141" t="s">
        <v>1289</v>
      </c>
      <c r="D73" s="141" t="s">
        <v>1290</v>
      </c>
      <c r="E73" s="141" t="s">
        <v>404</v>
      </c>
      <c r="F73" s="141" t="s">
        <v>1291</v>
      </c>
      <c r="G73" s="141"/>
      <c r="H73" s="141" t="s">
        <v>354</v>
      </c>
      <c r="I73" s="141"/>
      <c r="J73" s="141" t="s">
        <v>355</v>
      </c>
      <c r="K73" s="141" t="s">
        <v>1292</v>
      </c>
      <c r="L73" s="141" t="s">
        <v>1293</v>
      </c>
      <c r="M73" s="141" t="s">
        <v>1294</v>
      </c>
      <c r="N73" s="141" t="s">
        <v>355</v>
      </c>
      <c r="O73" s="141" t="s">
        <v>409</v>
      </c>
      <c r="P73" s="141" t="s">
        <v>410</v>
      </c>
      <c r="Q73" s="141" t="s">
        <v>410</v>
      </c>
      <c r="R73" s="141" t="s">
        <v>362</v>
      </c>
      <c r="S73" s="141" t="s">
        <v>369</v>
      </c>
      <c r="T73" s="141" t="s">
        <v>1130</v>
      </c>
      <c r="U73" s="141" t="s">
        <v>1130</v>
      </c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 t="s">
        <v>355</v>
      </c>
      <c r="AL73" s="141" t="s">
        <v>365</v>
      </c>
      <c r="AM73" s="141" t="s">
        <v>355</v>
      </c>
      <c r="AN73" s="141" t="s">
        <v>368</v>
      </c>
      <c r="AO73" s="141" t="s">
        <v>1130</v>
      </c>
      <c r="AP73" s="141" t="s">
        <v>654</v>
      </c>
      <c r="AQ73" s="141" t="s">
        <v>655</v>
      </c>
      <c r="AR73" s="141" t="s">
        <v>409</v>
      </c>
      <c r="AS73" s="141" t="s">
        <v>1295</v>
      </c>
      <c r="AT73" s="141"/>
      <c r="AU73" s="141" t="s">
        <v>1293</v>
      </c>
      <c r="AV73" s="141" t="s">
        <v>656</v>
      </c>
      <c r="AW73" s="141" t="s">
        <v>1296</v>
      </c>
      <c r="AX73" s="141" t="s">
        <v>658</v>
      </c>
      <c r="AY73" s="141" t="s">
        <v>1297</v>
      </c>
      <c r="AZ73" s="141" t="s">
        <v>660</v>
      </c>
      <c r="BA73" s="141" t="s">
        <v>1298</v>
      </c>
      <c r="BB73" s="141" t="s">
        <v>662</v>
      </c>
      <c r="BC73" s="141" t="s">
        <v>1299</v>
      </c>
      <c r="BD73" s="141" t="s">
        <v>498</v>
      </c>
      <c r="BE73" s="141" t="s">
        <v>1300</v>
      </c>
      <c r="BF73" s="141" t="s">
        <v>379</v>
      </c>
      <c r="BG73" s="141" t="s">
        <v>1301</v>
      </c>
      <c r="BH73" s="141" t="s">
        <v>381</v>
      </c>
      <c r="BI73" s="141" t="s">
        <v>1302</v>
      </c>
      <c r="BJ73" s="141" t="s">
        <v>383</v>
      </c>
      <c r="BK73" s="141" t="s">
        <v>1303</v>
      </c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73"/>
    </row>
    <row r="74" spans="2:105" x14ac:dyDescent="0.25">
      <c r="B74" s="172"/>
      <c r="C74" s="141" t="s">
        <v>1304</v>
      </c>
      <c r="D74" s="141" t="s">
        <v>502</v>
      </c>
      <c r="E74" s="141" t="s">
        <v>1305</v>
      </c>
      <c r="F74" s="141" t="s">
        <v>1306</v>
      </c>
      <c r="G74" s="141"/>
      <c r="H74" s="141" t="s">
        <v>354</v>
      </c>
      <c r="I74" s="141"/>
      <c r="J74" s="141" t="s">
        <v>355</v>
      </c>
      <c r="K74" s="141" t="s">
        <v>460</v>
      </c>
      <c r="L74" s="141" t="s">
        <v>1307</v>
      </c>
      <c r="M74" s="141" t="s">
        <v>1308</v>
      </c>
      <c r="N74" s="141" t="s">
        <v>355</v>
      </c>
      <c r="O74" s="141" t="s">
        <v>394</v>
      </c>
      <c r="P74" s="141" t="s">
        <v>425</v>
      </c>
      <c r="Q74" s="141" t="s">
        <v>426</v>
      </c>
      <c r="R74" s="141" t="s">
        <v>362</v>
      </c>
      <c r="S74" s="141" t="s">
        <v>369</v>
      </c>
      <c r="T74" s="141" t="s">
        <v>1130</v>
      </c>
      <c r="U74" s="141" t="s">
        <v>1130</v>
      </c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 t="s">
        <v>355</v>
      </c>
      <c r="AL74" s="141" t="s">
        <v>365</v>
      </c>
      <c r="AM74" s="141" t="s">
        <v>355</v>
      </c>
      <c r="AN74" s="141" t="s">
        <v>368</v>
      </c>
      <c r="AO74" s="141" t="s">
        <v>1130</v>
      </c>
      <c r="AP74" s="141" t="s">
        <v>654</v>
      </c>
      <c r="AQ74" s="141" t="s">
        <v>655</v>
      </c>
      <c r="AR74" s="141" t="s">
        <v>409</v>
      </c>
      <c r="AS74" s="141" t="s">
        <v>1309</v>
      </c>
      <c r="AT74" s="141"/>
      <c r="AU74" s="141" t="s">
        <v>1307</v>
      </c>
      <c r="AV74" s="141" t="s">
        <v>656</v>
      </c>
      <c r="AW74" s="141" t="s">
        <v>1310</v>
      </c>
      <c r="AX74" s="141" t="s">
        <v>658</v>
      </c>
      <c r="AY74" s="141" t="s">
        <v>1311</v>
      </c>
      <c r="AZ74" s="141" t="s">
        <v>660</v>
      </c>
      <c r="BA74" s="141" t="s">
        <v>1312</v>
      </c>
      <c r="BB74" s="141" t="s">
        <v>662</v>
      </c>
      <c r="BC74" s="141" t="s">
        <v>1313</v>
      </c>
      <c r="BD74" s="141" t="s">
        <v>498</v>
      </c>
      <c r="BE74" s="141" t="s">
        <v>1314</v>
      </c>
      <c r="BF74" s="141" t="s">
        <v>379</v>
      </c>
      <c r="BG74" s="141" t="s">
        <v>1315</v>
      </c>
      <c r="BH74" s="141" t="s">
        <v>381</v>
      </c>
      <c r="BI74" s="141" t="s">
        <v>1316</v>
      </c>
      <c r="BJ74" s="141" t="s">
        <v>383</v>
      </c>
      <c r="BK74" s="141" t="s">
        <v>1317</v>
      </c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73"/>
    </row>
    <row r="75" spans="2:105" x14ac:dyDescent="0.25">
      <c r="B75" s="172"/>
      <c r="C75" s="141" t="s">
        <v>1318</v>
      </c>
      <c r="D75" s="141" t="s">
        <v>1319</v>
      </c>
      <c r="E75" s="141" t="s">
        <v>1320</v>
      </c>
      <c r="F75" s="141" t="s">
        <v>1321</v>
      </c>
      <c r="G75" s="141"/>
      <c r="H75" s="141" t="s">
        <v>354</v>
      </c>
      <c r="I75" s="141"/>
      <c r="J75" s="141" t="s">
        <v>355</v>
      </c>
      <c r="K75" s="141" t="s">
        <v>1322</v>
      </c>
      <c r="L75" s="141" t="s">
        <v>1323</v>
      </c>
      <c r="M75" s="141" t="s">
        <v>1324</v>
      </c>
      <c r="N75" s="141" t="s">
        <v>355</v>
      </c>
      <c r="O75" s="141" t="s">
        <v>394</v>
      </c>
      <c r="P75" s="141" t="s">
        <v>425</v>
      </c>
      <c r="Q75" s="141" t="s">
        <v>426</v>
      </c>
      <c r="R75" s="141" t="s">
        <v>362</v>
      </c>
      <c r="S75" s="141" t="s">
        <v>369</v>
      </c>
      <c r="T75" s="141" t="s">
        <v>1130</v>
      </c>
      <c r="U75" s="141" t="s">
        <v>1130</v>
      </c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 t="s">
        <v>355</v>
      </c>
      <c r="AL75" s="141" t="s">
        <v>365</v>
      </c>
      <c r="AM75" s="141" t="s">
        <v>355</v>
      </c>
      <c r="AN75" s="141" t="s">
        <v>368</v>
      </c>
      <c r="AO75" s="141" t="s">
        <v>1130</v>
      </c>
      <c r="AP75" s="141" t="s">
        <v>654</v>
      </c>
      <c r="AQ75" s="141" t="s">
        <v>655</v>
      </c>
      <c r="AR75" s="141" t="s">
        <v>409</v>
      </c>
      <c r="AS75" s="141" t="s">
        <v>1325</v>
      </c>
      <c r="AT75" s="141"/>
      <c r="AU75" s="141" t="s">
        <v>1323</v>
      </c>
      <c r="AV75" s="141" t="s">
        <v>656</v>
      </c>
      <c r="AW75" s="141" t="s">
        <v>1326</v>
      </c>
      <c r="AX75" s="141" t="s">
        <v>658</v>
      </c>
      <c r="AY75" s="141" t="s">
        <v>1327</v>
      </c>
      <c r="AZ75" s="141" t="s">
        <v>660</v>
      </c>
      <c r="BA75" s="141" t="s">
        <v>768</v>
      </c>
      <c r="BB75" s="141" t="s">
        <v>662</v>
      </c>
      <c r="BC75" s="141" t="s">
        <v>1328</v>
      </c>
      <c r="BD75" s="141" t="s">
        <v>498</v>
      </c>
      <c r="BE75" s="141" t="s">
        <v>1329</v>
      </c>
      <c r="BF75" s="141" t="s">
        <v>379</v>
      </c>
      <c r="BG75" s="141" t="s">
        <v>1330</v>
      </c>
      <c r="BH75" s="141" t="s">
        <v>381</v>
      </c>
      <c r="BI75" s="141" t="s">
        <v>1331</v>
      </c>
      <c r="BJ75" s="141" t="s">
        <v>383</v>
      </c>
      <c r="BK75" s="141" t="s">
        <v>1332</v>
      </c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73"/>
    </row>
    <row r="76" spans="2:105" x14ac:dyDescent="0.25">
      <c r="B76" s="172"/>
      <c r="C76" s="141" t="s">
        <v>1333</v>
      </c>
      <c r="D76" s="141" t="s">
        <v>1334</v>
      </c>
      <c r="E76" s="141" t="s">
        <v>1335</v>
      </c>
      <c r="F76" s="141" t="s">
        <v>1336</v>
      </c>
      <c r="G76" s="141"/>
      <c r="H76" s="141" t="s">
        <v>354</v>
      </c>
      <c r="I76" s="141"/>
      <c r="J76" s="141" t="s">
        <v>355</v>
      </c>
      <c r="K76" s="141" t="s">
        <v>1337</v>
      </c>
      <c r="L76" s="141" t="s">
        <v>1338</v>
      </c>
      <c r="M76" s="141" t="s">
        <v>1339</v>
      </c>
      <c r="N76" s="141" t="s">
        <v>355</v>
      </c>
      <c r="O76" s="141" t="s">
        <v>370</v>
      </c>
      <c r="P76" s="141" t="s">
        <v>529</v>
      </c>
      <c r="Q76" s="141" t="s">
        <v>530</v>
      </c>
      <c r="R76" s="141" t="s">
        <v>362</v>
      </c>
      <c r="S76" s="141" t="s">
        <v>369</v>
      </c>
      <c r="T76" s="141" t="s">
        <v>1130</v>
      </c>
      <c r="U76" s="141" t="s">
        <v>1130</v>
      </c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 t="s">
        <v>355</v>
      </c>
      <c r="AL76" s="141" t="s">
        <v>365</v>
      </c>
      <c r="AM76" s="141" t="s">
        <v>355</v>
      </c>
      <c r="AN76" s="141" t="s">
        <v>368</v>
      </c>
      <c r="AO76" s="141" t="s">
        <v>1130</v>
      </c>
      <c r="AP76" s="141" t="s">
        <v>654</v>
      </c>
      <c r="AQ76" s="141" t="s">
        <v>655</v>
      </c>
      <c r="AR76" s="141" t="s">
        <v>409</v>
      </c>
      <c r="AS76" s="141" t="s">
        <v>1340</v>
      </c>
      <c r="AT76" s="141"/>
      <c r="AU76" s="141" t="s">
        <v>1338</v>
      </c>
      <c r="AV76" s="141" t="s">
        <v>656</v>
      </c>
      <c r="AW76" s="141" t="s">
        <v>1341</v>
      </c>
      <c r="AX76" s="141" t="s">
        <v>658</v>
      </c>
      <c r="AY76" s="141" t="s">
        <v>1342</v>
      </c>
      <c r="AZ76" s="141" t="s">
        <v>660</v>
      </c>
      <c r="BA76" s="141" t="s">
        <v>1343</v>
      </c>
      <c r="BB76" s="141" t="s">
        <v>662</v>
      </c>
      <c r="BC76" s="141" t="s">
        <v>1344</v>
      </c>
      <c r="BD76" s="141" t="s">
        <v>498</v>
      </c>
      <c r="BE76" s="141" t="s">
        <v>1345</v>
      </c>
      <c r="BF76" s="141" t="s">
        <v>379</v>
      </c>
      <c r="BG76" s="141" t="s">
        <v>1346</v>
      </c>
      <c r="BH76" s="141" t="s">
        <v>381</v>
      </c>
      <c r="BI76" s="141" t="s">
        <v>1347</v>
      </c>
      <c r="BJ76" s="141" t="s">
        <v>383</v>
      </c>
      <c r="BK76" s="141" t="s">
        <v>1348</v>
      </c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73"/>
    </row>
    <row r="77" spans="2:105" x14ac:dyDescent="0.25">
      <c r="B77" s="172"/>
      <c r="C77" s="141" t="s">
        <v>1349</v>
      </c>
      <c r="D77" s="141" t="s">
        <v>1350</v>
      </c>
      <c r="E77" s="141" t="s">
        <v>1351</v>
      </c>
      <c r="F77" s="141" t="s">
        <v>438</v>
      </c>
      <c r="G77" s="141"/>
      <c r="H77" s="141" t="s">
        <v>354</v>
      </c>
      <c r="I77" s="141"/>
      <c r="J77" s="141" t="s">
        <v>355</v>
      </c>
      <c r="K77" s="141" t="s">
        <v>1352</v>
      </c>
      <c r="L77" s="141" t="s">
        <v>1353</v>
      </c>
      <c r="M77" s="141" t="s">
        <v>1354</v>
      </c>
      <c r="N77" s="141" t="s">
        <v>355</v>
      </c>
      <c r="O77" s="141" t="s">
        <v>409</v>
      </c>
      <c r="P77" s="141" t="s">
        <v>410</v>
      </c>
      <c r="Q77" s="141" t="s">
        <v>410</v>
      </c>
      <c r="R77" s="141" t="s">
        <v>362</v>
      </c>
      <c r="S77" s="141" t="s">
        <v>369</v>
      </c>
      <c r="T77" s="141" t="s">
        <v>1130</v>
      </c>
      <c r="U77" s="141" t="s">
        <v>1130</v>
      </c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 t="s">
        <v>355</v>
      </c>
      <c r="AL77" s="141" t="s">
        <v>365</v>
      </c>
      <c r="AM77" s="141" t="s">
        <v>355</v>
      </c>
      <c r="AN77" s="141" t="s">
        <v>368</v>
      </c>
      <c r="AO77" s="141" t="s">
        <v>1130</v>
      </c>
      <c r="AP77" s="141" t="s">
        <v>654</v>
      </c>
      <c r="AQ77" s="141" t="s">
        <v>655</v>
      </c>
      <c r="AR77" s="141" t="s">
        <v>409</v>
      </c>
      <c r="AS77" s="141" t="s">
        <v>890</v>
      </c>
      <c r="AT77" s="141"/>
      <c r="AU77" s="141" t="s">
        <v>1353</v>
      </c>
      <c r="AV77" s="141" t="s">
        <v>656</v>
      </c>
      <c r="AW77" s="141" t="s">
        <v>1355</v>
      </c>
      <c r="AX77" s="141" t="s">
        <v>658</v>
      </c>
      <c r="AY77" s="141" t="s">
        <v>1356</v>
      </c>
      <c r="AZ77" s="141" t="s">
        <v>660</v>
      </c>
      <c r="BA77" s="141" t="s">
        <v>1357</v>
      </c>
      <c r="BB77" s="141" t="s">
        <v>662</v>
      </c>
      <c r="BC77" s="141" t="s">
        <v>1358</v>
      </c>
      <c r="BD77" s="141" t="s">
        <v>498</v>
      </c>
      <c r="BE77" s="141" t="s">
        <v>1359</v>
      </c>
      <c r="BF77" s="141" t="s">
        <v>379</v>
      </c>
      <c r="BG77" s="141" t="s">
        <v>1360</v>
      </c>
      <c r="BH77" s="141" t="s">
        <v>381</v>
      </c>
      <c r="BI77" s="141" t="s">
        <v>1361</v>
      </c>
      <c r="BJ77" s="141" t="s">
        <v>383</v>
      </c>
      <c r="BK77" s="141" t="s">
        <v>987</v>
      </c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73"/>
    </row>
    <row r="78" spans="2:105" x14ac:dyDescent="0.25">
      <c r="B78" s="172"/>
      <c r="C78" s="141" t="s">
        <v>1362</v>
      </c>
      <c r="D78" s="141" t="s">
        <v>775</v>
      </c>
      <c r="E78" s="141" t="s">
        <v>1363</v>
      </c>
      <c r="F78" s="141" t="s">
        <v>1364</v>
      </c>
      <c r="G78" s="141"/>
      <c r="H78" s="141" t="s">
        <v>354</v>
      </c>
      <c r="I78" s="141"/>
      <c r="J78" s="141" t="s">
        <v>355</v>
      </c>
      <c r="K78" s="141" t="s">
        <v>1365</v>
      </c>
      <c r="L78" s="141" t="s">
        <v>1366</v>
      </c>
      <c r="M78" s="141" t="s">
        <v>1367</v>
      </c>
      <c r="N78" s="141" t="s">
        <v>355</v>
      </c>
      <c r="O78" s="141" t="s">
        <v>394</v>
      </c>
      <c r="P78" s="141" t="s">
        <v>425</v>
      </c>
      <c r="Q78" s="141" t="s">
        <v>426</v>
      </c>
      <c r="R78" s="141" t="s">
        <v>362</v>
      </c>
      <c r="S78" s="141" t="s">
        <v>369</v>
      </c>
      <c r="T78" s="141" t="s">
        <v>1130</v>
      </c>
      <c r="U78" s="141" t="s">
        <v>1130</v>
      </c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 t="s">
        <v>355</v>
      </c>
      <c r="AL78" s="141" t="s">
        <v>365</v>
      </c>
      <c r="AM78" s="141" t="s">
        <v>355</v>
      </c>
      <c r="AN78" s="141" t="s">
        <v>368</v>
      </c>
      <c r="AO78" s="141" t="s">
        <v>1130</v>
      </c>
      <c r="AP78" s="141" t="s">
        <v>654</v>
      </c>
      <c r="AQ78" s="141" t="s">
        <v>655</v>
      </c>
      <c r="AR78" s="141" t="s">
        <v>409</v>
      </c>
      <c r="AS78" s="141" t="s">
        <v>1368</v>
      </c>
      <c r="AT78" s="141"/>
      <c r="AU78" s="141" t="s">
        <v>1366</v>
      </c>
      <c r="AV78" s="141" t="s">
        <v>656</v>
      </c>
      <c r="AW78" s="141" t="s">
        <v>1369</v>
      </c>
      <c r="AX78" s="141" t="s">
        <v>658</v>
      </c>
      <c r="AY78" s="141" t="s">
        <v>1370</v>
      </c>
      <c r="AZ78" s="141" t="s">
        <v>660</v>
      </c>
      <c r="BA78" s="141" t="s">
        <v>1371</v>
      </c>
      <c r="BB78" s="141" t="s">
        <v>662</v>
      </c>
      <c r="BC78" s="141" t="s">
        <v>1372</v>
      </c>
      <c r="BD78" s="141" t="s">
        <v>498</v>
      </c>
      <c r="BE78" s="141" t="s">
        <v>1373</v>
      </c>
      <c r="BF78" s="141" t="s">
        <v>379</v>
      </c>
      <c r="BG78" s="141" t="s">
        <v>1374</v>
      </c>
      <c r="BH78" s="141" t="s">
        <v>381</v>
      </c>
      <c r="BI78" s="141" t="s">
        <v>1375</v>
      </c>
      <c r="BJ78" s="141" t="s">
        <v>383</v>
      </c>
      <c r="BK78" s="141" t="s">
        <v>1376</v>
      </c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73"/>
    </row>
    <row r="79" spans="2:105" x14ac:dyDescent="0.25">
      <c r="B79" s="172"/>
      <c r="C79" s="141" t="s">
        <v>1377</v>
      </c>
      <c r="D79" s="141" t="s">
        <v>1378</v>
      </c>
      <c r="E79" s="141" t="s">
        <v>1379</v>
      </c>
      <c r="F79" s="141" t="s">
        <v>590</v>
      </c>
      <c r="G79" s="141"/>
      <c r="H79" s="141" t="s">
        <v>354</v>
      </c>
      <c r="I79" s="141"/>
      <c r="J79" s="141" t="s">
        <v>355</v>
      </c>
      <c r="K79" s="141" t="s">
        <v>473</v>
      </c>
      <c r="L79" s="141" t="s">
        <v>1380</v>
      </c>
      <c r="M79" s="141" t="s">
        <v>1048</v>
      </c>
      <c r="N79" s="141" t="s">
        <v>355</v>
      </c>
      <c r="O79" s="141" t="s">
        <v>394</v>
      </c>
      <c r="P79" s="141" t="s">
        <v>425</v>
      </c>
      <c r="Q79" s="141" t="s">
        <v>426</v>
      </c>
      <c r="R79" s="141" t="s">
        <v>362</v>
      </c>
      <c r="S79" s="141" t="s">
        <v>369</v>
      </c>
      <c r="T79" s="141" t="s">
        <v>1130</v>
      </c>
      <c r="U79" s="141" t="s">
        <v>1130</v>
      </c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 t="s">
        <v>355</v>
      </c>
      <c r="AL79" s="141" t="s">
        <v>365</v>
      </c>
      <c r="AM79" s="141" t="s">
        <v>355</v>
      </c>
      <c r="AN79" s="141" t="s">
        <v>368</v>
      </c>
      <c r="AO79" s="141" t="s">
        <v>1130</v>
      </c>
      <c r="AP79" s="141" t="s">
        <v>654</v>
      </c>
      <c r="AQ79" s="141" t="s">
        <v>655</v>
      </c>
      <c r="AR79" s="141" t="s">
        <v>409</v>
      </c>
      <c r="AS79" s="141" t="s">
        <v>1381</v>
      </c>
      <c r="AT79" s="141"/>
      <c r="AU79" s="141" t="s">
        <v>1380</v>
      </c>
      <c r="AV79" s="141" t="s">
        <v>656</v>
      </c>
      <c r="AW79" s="141" t="s">
        <v>1382</v>
      </c>
      <c r="AX79" s="141" t="s">
        <v>658</v>
      </c>
      <c r="AY79" s="141" t="s">
        <v>1383</v>
      </c>
      <c r="AZ79" s="141" t="s">
        <v>660</v>
      </c>
      <c r="BA79" s="141" t="s">
        <v>1384</v>
      </c>
      <c r="BB79" s="141" t="s">
        <v>662</v>
      </c>
      <c r="BC79" s="141" t="s">
        <v>1385</v>
      </c>
      <c r="BD79" s="141" t="s">
        <v>498</v>
      </c>
      <c r="BE79" s="141" t="s">
        <v>1386</v>
      </c>
      <c r="BF79" s="141" t="s">
        <v>379</v>
      </c>
      <c r="BG79" s="141" t="s">
        <v>1387</v>
      </c>
      <c r="BH79" s="141" t="s">
        <v>381</v>
      </c>
      <c r="BI79" s="141" t="s">
        <v>1388</v>
      </c>
      <c r="BJ79" s="141" t="s">
        <v>383</v>
      </c>
      <c r="BK79" s="141" t="s">
        <v>1389</v>
      </c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73"/>
    </row>
    <row r="80" spans="2:105" x14ac:dyDescent="0.25">
      <c r="B80" s="172"/>
      <c r="C80" s="141" t="s">
        <v>1390</v>
      </c>
      <c r="D80" s="141" t="s">
        <v>1391</v>
      </c>
      <c r="E80" s="141" t="s">
        <v>1392</v>
      </c>
      <c r="F80" s="141" t="s">
        <v>1393</v>
      </c>
      <c r="G80" s="141"/>
      <c r="H80" s="141" t="s">
        <v>354</v>
      </c>
      <c r="I80" s="141"/>
      <c r="J80" s="141" t="s">
        <v>355</v>
      </c>
      <c r="K80" s="141" t="s">
        <v>1394</v>
      </c>
      <c r="L80" s="141" t="s">
        <v>1395</v>
      </c>
      <c r="M80" s="141" t="s">
        <v>1396</v>
      </c>
      <c r="N80" s="141" t="s">
        <v>355</v>
      </c>
      <c r="O80" s="141" t="s">
        <v>370</v>
      </c>
      <c r="P80" s="141" t="s">
        <v>529</v>
      </c>
      <c r="Q80" s="141" t="s">
        <v>530</v>
      </c>
      <c r="R80" s="141" t="s">
        <v>362</v>
      </c>
      <c r="S80" s="141" t="s">
        <v>369</v>
      </c>
      <c r="T80" s="141" t="s">
        <v>1130</v>
      </c>
      <c r="U80" s="141" t="s">
        <v>1130</v>
      </c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 t="s">
        <v>355</v>
      </c>
      <c r="AL80" s="141" t="s">
        <v>365</v>
      </c>
      <c r="AM80" s="141" t="s">
        <v>355</v>
      </c>
      <c r="AN80" s="141" t="s">
        <v>368</v>
      </c>
      <c r="AO80" s="141" t="s">
        <v>1130</v>
      </c>
      <c r="AP80" s="141" t="s">
        <v>654</v>
      </c>
      <c r="AQ80" s="141" t="s">
        <v>655</v>
      </c>
      <c r="AR80" s="141" t="s">
        <v>409</v>
      </c>
      <c r="AS80" s="141" t="s">
        <v>1397</v>
      </c>
      <c r="AT80" s="141"/>
      <c r="AU80" s="141" t="s">
        <v>1395</v>
      </c>
      <c r="AV80" s="141" t="s">
        <v>656</v>
      </c>
      <c r="AW80" s="141" t="s">
        <v>1398</v>
      </c>
      <c r="AX80" s="141" t="s">
        <v>658</v>
      </c>
      <c r="AY80" s="141" t="s">
        <v>1399</v>
      </c>
      <c r="AZ80" s="141" t="s">
        <v>660</v>
      </c>
      <c r="BA80" s="141" t="s">
        <v>1400</v>
      </c>
      <c r="BB80" s="141" t="s">
        <v>662</v>
      </c>
      <c r="BC80" s="141" t="s">
        <v>1401</v>
      </c>
      <c r="BD80" s="141" t="s">
        <v>498</v>
      </c>
      <c r="BE80" s="141" t="s">
        <v>1402</v>
      </c>
      <c r="BF80" s="141" t="s">
        <v>379</v>
      </c>
      <c r="BG80" s="141" t="s">
        <v>1403</v>
      </c>
      <c r="BH80" s="141" t="s">
        <v>381</v>
      </c>
      <c r="BI80" s="141" t="s">
        <v>1404</v>
      </c>
      <c r="BJ80" s="141" t="s">
        <v>383</v>
      </c>
      <c r="BK80" s="141" t="s">
        <v>1405</v>
      </c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73"/>
    </row>
    <row r="81" spans="2:105" x14ac:dyDescent="0.25">
      <c r="B81" s="172"/>
      <c r="C81" s="141" t="s">
        <v>1406</v>
      </c>
      <c r="D81" s="141" t="s">
        <v>1407</v>
      </c>
      <c r="E81" s="141" t="s">
        <v>1234</v>
      </c>
      <c r="F81" s="141" t="s">
        <v>1336</v>
      </c>
      <c r="G81" s="141"/>
      <c r="H81" s="141" t="s">
        <v>354</v>
      </c>
      <c r="I81" s="141"/>
      <c r="J81" s="141" t="s">
        <v>355</v>
      </c>
      <c r="K81" s="141" t="s">
        <v>1408</v>
      </c>
      <c r="L81" s="141" t="s">
        <v>1409</v>
      </c>
      <c r="M81" s="141" t="s">
        <v>1410</v>
      </c>
      <c r="N81" s="141" t="s">
        <v>355</v>
      </c>
      <c r="O81" s="141" t="s">
        <v>394</v>
      </c>
      <c r="P81" s="141" t="s">
        <v>425</v>
      </c>
      <c r="Q81" s="141" t="s">
        <v>426</v>
      </c>
      <c r="R81" s="141" t="s">
        <v>362</v>
      </c>
      <c r="S81" s="141" t="s">
        <v>369</v>
      </c>
      <c r="T81" s="141" t="s">
        <v>1130</v>
      </c>
      <c r="U81" s="141" t="s">
        <v>1130</v>
      </c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 t="s">
        <v>355</v>
      </c>
      <c r="AL81" s="141" t="s">
        <v>365</v>
      </c>
      <c r="AM81" s="141" t="s">
        <v>355</v>
      </c>
      <c r="AN81" s="141" t="s">
        <v>368</v>
      </c>
      <c r="AO81" s="141" t="s">
        <v>1130</v>
      </c>
      <c r="AP81" s="141" t="s">
        <v>654</v>
      </c>
      <c r="AQ81" s="141" t="s">
        <v>655</v>
      </c>
      <c r="AR81" s="141" t="s">
        <v>409</v>
      </c>
      <c r="AS81" s="141" t="s">
        <v>1411</v>
      </c>
      <c r="AT81" s="141"/>
      <c r="AU81" s="141" t="s">
        <v>1409</v>
      </c>
      <c r="AV81" s="141" t="s">
        <v>656</v>
      </c>
      <c r="AW81" s="141" t="s">
        <v>1412</v>
      </c>
      <c r="AX81" s="141" t="s">
        <v>658</v>
      </c>
      <c r="AY81" s="141" t="s">
        <v>1413</v>
      </c>
      <c r="AZ81" s="141" t="s">
        <v>660</v>
      </c>
      <c r="BA81" s="141" t="s">
        <v>1414</v>
      </c>
      <c r="BB81" s="141" t="s">
        <v>662</v>
      </c>
      <c r="BC81" s="141" t="s">
        <v>1415</v>
      </c>
      <c r="BD81" s="141" t="s">
        <v>498</v>
      </c>
      <c r="BE81" s="141" t="s">
        <v>1416</v>
      </c>
      <c r="BF81" s="141" t="s">
        <v>379</v>
      </c>
      <c r="BG81" s="141" t="s">
        <v>1417</v>
      </c>
      <c r="BH81" s="141" t="s">
        <v>381</v>
      </c>
      <c r="BI81" s="141" t="s">
        <v>1418</v>
      </c>
      <c r="BJ81" s="141" t="s">
        <v>383</v>
      </c>
      <c r="BK81" s="141" t="s">
        <v>1419</v>
      </c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73"/>
    </row>
    <row r="82" spans="2:105" x14ac:dyDescent="0.25">
      <c r="B82" s="172"/>
      <c r="C82" s="141" t="s">
        <v>1420</v>
      </c>
      <c r="D82" s="141" t="s">
        <v>1421</v>
      </c>
      <c r="E82" s="141" t="s">
        <v>1422</v>
      </c>
      <c r="F82" s="141" t="s">
        <v>1423</v>
      </c>
      <c r="G82" s="141"/>
      <c r="H82" s="141" t="s">
        <v>354</v>
      </c>
      <c r="I82" s="141"/>
      <c r="J82" s="141" t="s">
        <v>355</v>
      </c>
      <c r="K82" s="141" t="s">
        <v>1424</v>
      </c>
      <c r="L82" s="141" t="s">
        <v>1425</v>
      </c>
      <c r="M82" s="141" t="s">
        <v>1426</v>
      </c>
      <c r="N82" s="141" t="s">
        <v>355</v>
      </c>
      <c r="O82" s="141" t="s">
        <v>394</v>
      </c>
      <c r="P82" s="141" t="s">
        <v>425</v>
      </c>
      <c r="Q82" s="141" t="s">
        <v>426</v>
      </c>
      <c r="R82" s="141" t="s">
        <v>362</v>
      </c>
      <c r="S82" s="141" t="s">
        <v>369</v>
      </c>
      <c r="T82" s="141" t="s">
        <v>1130</v>
      </c>
      <c r="U82" s="141" t="s">
        <v>1130</v>
      </c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 t="s">
        <v>355</v>
      </c>
      <c r="AL82" s="141" t="s">
        <v>365</v>
      </c>
      <c r="AM82" s="141" t="s">
        <v>355</v>
      </c>
      <c r="AN82" s="141" t="s">
        <v>368</v>
      </c>
      <c r="AO82" s="141" t="s">
        <v>1130</v>
      </c>
      <c r="AP82" s="141" t="s">
        <v>654</v>
      </c>
      <c r="AQ82" s="141" t="s">
        <v>655</v>
      </c>
      <c r="AR82" s="141" t="s">
        <v>409</v>
      </c>
      <c r="AS82" s="141" t="s">
        <v>1427</v>
      </c>
      <c r="AT82" s="141"/>
      <c r="AU82" s="141" t="s">
        <v>1425</v>
      </c>
      <c r="AV82" s="141" t="s">
        <v>656</v>
      </c>
      <c r="AW82" s="141" t="s">
        <v>1428</v>
      </c>
      <c r="AX82" s="141" t="s">
        <v>658</v>
      </c>
      <c r="AY82" s="141" t="s">
        <v>1429</v>
      </c>
      <c r="AZ82" s="141" t="s">
        <v>660</v>
      </c>
      <c r="BA82" s="141" t="s">
        <v>1430</v>
      </c>
      <c r="BB82" s="141" t="s">
        <v>662</v>
      </c>
      <c r="BC82" s="141" t="s">
        <v>1431</v>
      </c>
      <c r="BD82" s="141" t="s">
        <v>498</v>
      </c>
      <c r="BE82" s="141" t="s">
        <v>1432</v>
      </c>
      <c r="BF82" s="141" t="s">
        <v>379</v>
      </c>
      <c r="BG82" s="141" t="s">
        <v>1433</v>
      </c>
      <c r="BH82" s="141" t="s">
        <v>381</v>
      </c>
      <c r="BI82" s="141" t="s">
        <v>1434</v>
      </c>
      <c r="BJ82" s="141" t="s">
        <v>383</v>
      </c>
      <c r="BK82" s="141" t="s">
        <v>1435</v>
      </c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73"/>
    </row>
    <row r="83" spans="2:105" x14ac:dyDescent="0.25">
      <c r="B83" s="172"/>
      <c r="C83" s="141" t="s">
        <v>1436</v>
      </c>
      <c r="D83" s="141" t="s">
        <v>1437</v>
      </c>
      <c r="E83" s="141" t="s">
        <v>1438</v>
      </c>
      <c r="F83" s="141" t="s">
        <v>1439</v>
      </c>
      <c r="G83" s="141"/>
      <c r="H83" s="141" t="s">
        <v>354</v>
      </c>
      <c r="I83" s="141"/>
      <c r="J83" s="141" t="s">
        <v>355</v>
      </c>
      <c r="K83" s="141" t="s">
        <v>1440</v>
      </c>
      <c r="L83" s="141" t="s">
        <v>1441</v>
      </c>
      <c r="M83" s="141" t="s">
        <v>1442</v>
      </c>
      <c r="N83" s="141" t="s">
        <v>355</v>
      </c>
      <c r="O83" s="141" t="s">
        <v>394</v>
      </c>
      <c r="P83" s="141" t="s">
        <v>425</v>
      </c>
      <c r="Q83" s="141" t="s">
        <v>426</v>
      </c>
      <c r="R83" s="141" t="s">
        <v>362</v>
      </c>
      <c r="S83" s="141" t="s">
        <v>369</v>
      </c>
      <c r="T83" s="141" t="s">
        <v>1130</v>
      </c>
      <c r="U83" s="141" t="s">
        <v>1130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 t="s">
        <v>355</v>
      </c>
      <c r="AL83" s="141" t="s">
        <v>365</v>
      </c>
      <c r="AM83" s="141" t="s">
        <v>355</v>
      </c>
      <c r="AN83" s="141" t="s">
        <v>368</v>
      </c>
      <c r="AO83" s="141" t="s">
        <v>1130</v>
      </c>
      <c r="AP83" s="141" t="s">
        <v>654</v>
      </c>
      <c r="AQ83" s="141" t="s">
        <v>655</v>
      </c>
      <c r="AR83" s="141" t="s">
        <v>409</v>
      </c>
      <c r="AS83" s="141" t="s">
        <v>507</v>
      </c>
      <c r="AT83" s="141"/>
      <c r="AU83" s="141" t="s">
        <v>1441</v>
      </c>
      <c r="AV83" s="141" t="s">
        <v>656</v>
      </c>
      <c r="AW83" s="141" t="s">
        <v>1443</v>
      </c>
      <c r="AX83" s="141" t="s">
        <v>658</v>
      </c>
      <c r="AY83" s="141" t="s">
        <v>1444</v>
      </c>
      <c r="AZ83" s="141" t="s">
        <v>660</v>
      </c>
      <c r="BA83" s="141" t="s">
        <v>1445</v>
      </c>
      <c r="BB83" s="141" t="s">
        <v>662</v>
      </c>
      <c r="BC83" s="141" t="s">
        <v>1446</v>
      </c>
      <c r="BD83" s="141" t="s">
        <v>498</v>
      </c>
      <c r="BE83" s="141" t="s">
        <v>1447</v>
      </c>
      <c r="BF83" s="141" t="s">
        <v>379</v>
      </c>
      <c r="BG83" s="141" t="s">
        <v>1448</v>
      </c>
      <c r="BH83" s="141" t="s">
        <v>381</v>
      </c>
      <c r="BI83" s="141" t="s">
        <v>1449</v>
      </c>
      <c r="BJ83" s="141" t="s">
        <v>383</v>
      </c>
      <c r="BK83" s="141" t="s">
        <v>1450</v>
      </c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73"/>
    </row>
    <row r="84" spans="2:105" x14ac:dyDescent="0.25">
      <c r="B84" s="172"/>
      <c r="C84" s="141" t="s">
        <v>1451</v>
      </c>
      <c r="D84" s="141" t="s">
        <v>1452</v>
      </c>
      <c r="E84" s="141" t="s">
        <v>1453</v>
      </c>
      <c r="F84" s="141" t="s">
        <v>1454</v>
      </c>
      <c r="G84" s="141"/>
      <c r="H84" s="141" t="s">
        <v>354</v>
      </c>
      <c r="I84" s="141"/>
      <c r="J84" s="141" t="s">
        <v>355</v>
      </c>
      <c r="K84" s="141" t="s">
        <v>1455</v>
      </c>
      <c r="L84" s="141" t="s">
        <v>1456</v>
      </c>
      <c r="M84" s="141" t="s">
        <v>1457</v>
      </c>
      <c r="N84" s="141" t="s">
        <v>355</v>
      </c>
      <c r="O84" s="141" t="s">
        <v>394</v>
      </c>
      <c r="P84" s="141" t="s">
        <v>425</v>
      </c>
      <c r="Q84" s="141" t="s">
        <v>426</v>
      </c>
      <c r="R84" s="141" t="s">
        <v>362</v>
      </c>
      <c r="S84" s="141" t="s">
        <v>369</v>
      </c>
      <c r="T84" s="141" t="s">
        <v>1130</v>
      </c>
      <c r="U84" s="141" t="s">
        <v>1130</v>
      </c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 t="s">
        <v>355</v>
      </c>
      <c r="AL84" s="141" t="s">
        <v>365</v>
      </c>
      <c r="AM84" s="141" t="s">
        <v>355</v>
      </c>
      <c r="AN84" s="141" t="s">
        <v>368</v>
      </c>
      <c r="AO84" s="141" t="s">
        <v>1130</v>
      </c>
      <c r="AP84" s="141" t="s">
        <v>654</v>
      </c>
      <c r="AQ84" s="141" t="s">
        <v>655</v>
      </c>
      <c r="AR84" s="141" t="s">
        <v>409</v>
      </c>
      <c r="AS84" s="141" t="s">
        <v>887</v>
      </c>
      <c r="AT84" s="141"/>
      <c r="AU84" s="141" t="s">
        <v>1456</v>
      </c>
      <c r="AV84" s="141" t="s">
        <v>656</v>
      </c>
      <c r="AW84" s="141" t="s">
        <v>1458</v>
      </c>
      <c r="AX84" s="141" t="s">
        <v>658</v>
      </c>
      <c r="AY84" s="141" t="s">
        <v>1459</v>
      </c>
      <c r="AZ84" s="141" t="s">
        <v>660</v>
      </c>
      <c r="BA84" s="141" t="s">
        <v>1460</v>
      </c>
      <c r="BB84" s="141" t="s">
        <v>662</v>
      </c>
      <c r="BC84" s="141" t="s">
        <v>1461</v>
      </c>
      <c r="BD84" s="141" t="s">
        <v>498</v>
      </c>
      <c r="BE84" s="141" t="s">
        <v>1462</v>
      </c>
      <c r="BF84" s="141" t="s">
        <v>379</v>
      </c>
      <c r="BG84" s="141" t="s">
        <v>1463</v>
      </c>
      <c r="BH84" s="141" t="s">
        <v>381</v>
      </c>
      <c r="BI84" s="141" t="s">
        <v>1464</v>
      </c>
      <c r="BJ84" s="141" t="s">
        <v>383</v>
      </c>
      <c r="BK84" s="141" t="s">
        <v>1465</v>
      </c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73"/>
    </row>
    <row r="85" spans="2:105" x14ac:dyDescent="0.25">
      <c r="B85" s="172"/>
      <c r="C85" s="141" t="s">
        <v>1466</v>
      </c>
      <c r="D85" s="141" t="s">
        <v>377</v>
      </c>
      <c r="E85" s="141" t="s">
        <v>1467</v>
      </c>
      <c r="F85" s="141" t="s">
        <v>1468</v>
      </c>
      <c r="G85" s="141"/>
      <c r="H85" s="141" t="s">
        <v>354</v>
      </c>
      <c r="I85" s="141"/>
      <c r="J85" s="141" t="s">
        <v>355</v>
      </c>
      <c r="K85" s="141" t="s">
        <v>1469</v>
      </c>
      <c r="L85" s="141" t="s">
        <v>1470</v>
      </c>
      <c r="M85" s="141" t="s">
        <v>1471</v>
      </c>
      <c r="N85" s="141" t="s">
        <v>355</v>
      </c>
      <c r="O85" s="141" t="s">
        <v>394</v>
      </c>
      <c r="P85" s="141" t="s">
        <v>425</v>
      </c>
      <c r="Q85" s="141" t="s">
        <v>426</v>
      </c>
      <c r="R85" s="141" t="s">
        <v>362</v>
      </c>
      <c r="S85" s="141" t="s">
        <v>369</v>
      </c>
      <c r="T85" s="141" t="s">
        <v>1130</v>
      </c>
      <c r="U85" s="141" t="s">
        <v>1130</v>
      </c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 t="s">
        <v>355</v>
      </c>
      <c r="AL85" s="141" t="s">
        <v>365</v>
      </c>
      <c r="AM85" s="141" t="s">
        <v>355</v>
      </c>
      <c r="AN85" s="141" t="s">
        <v>368</v>
      </c>
      <c r="AO85" s="141" t="s">
        <v>1130</v>
      </c>
      <c r="AP85" s="141" t="s">
        <v>654</v>
      </c>
      <c r="AQ85" s="141" t="s">
        <v>655</v>
      </c>
      <c r="AR85" s="141" t="s">
        <v>409</v>
      </c>
      <c r="AS85" s="141" t="s">
        <v>1472</v>
      </c>
      <c r="AT85" s="141"/>
      <c r="AU85" s="141" t="s">
        <v>1470</v>
      </c>
      <c r="AV85" s="141" t="s">
        <v>656</v>
      </c>
      <c r="AW85" s="141" t="s">
        <v>1473</v>
      </c>
      <c r="AX85" s="141" t="s">
        <v>658</v>
      </c>
      <c r="AY85" s="141" t="s">
        <v>1474</v>
      </c>
      <c r="AZ85" s="141" t="s">
        <v>660</v>
      </c>
      <c r="BA85" s="141" t="s">
        <v>1475</v>
      </c>
      <c r="BB85" s="141" t="s">
        <v>662</v>
      </c>
      <c r="BC85" s="141" t="s">
        <v>1476</v>
      </c>
      <c r="BD85" s="141" t="s">
        <v>498</v>
      </c>
      <c r="BE85" s="141" t="s">
        <v>1477</v>
      </c>
      <c r="BF85" s="141" t="s">
        <v>379</v>
      </c>
      <c r="BG85" s="141" t="s">
        <v>1478</v>
      </c>
      <c r="BH85" s="141" t="s">
        <v>381</v>
      </c>
      <c r="BI85" s="141" t="s">
        <v>1479</v>
      </c>
      <c r="BJ85" s="141" t="s">
        <v>383</v>
      </c>
      <c r="BK85" s="141" t="s">
        <v>1480</v>
      </c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73"/>
    </row>
    <row r="86" spans="2:105" x14ac:dyDescent="0.25">
      <c r="B86" s="172"/>
      <c r="C86" s="141" t="s">
        <v>1481</v>
      </c>
      <c r="D86" s="141" t="s">
        <v>1482</v>
      </c>
      <c r="E86" s="141" t="s">
        <v>740</v>
      </c>
      <c r="F86" s="141" t="s">
        <v>1483</v>
      </c>
      <c r="G86" s="141"/>
      <c r="H86" s="141" t="s">
        <v>354</v>
      </c>
      <c r="I86" s="141"/>
      <c r="J86" s="141" t="s">
        <v>355</v>
      </c>
      <c r="K86" s="141" t="s">
        <v>1484</v>
      </c>
      <c r="L86" s="141" t="s">
        <v>1485</v>
      </c>
      <c r="M86" s="141" t="s">
        <v>1486</v>
      </c>
      <c r="N86" s="141" t="s">
        <v>355</v>
      </c>
      <c r="O86" s="141" t="s">
        <v>394</v>
      </c>
      <c r="P86" s="141" t="s">
        <v>425</v>
      </c>
      <c r="Q86" s="141" t="s">
        <v>426</v>
      </c>
      <c r="R86" s="141" t="s">
        <v>362</v>
      </c>
      <c r="S86" s="141" t="s">
        <v>369</v>
      </c>
      <c r="T86" s="141" t="s">
        <v>1130</v>
      </c>
      <c r="U86" s="141" t="s">
        <v>1130</v>
      </c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 t="s">
        <v>355</v>
      </c>
      <c r="AL86" s="141" t="s">
        <v>365</v>
      </c>
      <c r="AM86" s="141" t="s">
        <v>355</v>
      </c>
      <c r="AN86" s="141" t="s">
        <v>368</v>
      </c>
      <c r="AO86" s="141" t="s">
        <v>1130</v>
      </c>
      <c r="AP86" s="141" t="s">
        <v>654</v>
      </c>
      <c r="AQ86" s="141" t="s">
        <v>655</v>
      </c>
      <c r="AR86" s="141" t="s">
        <v>409</v>
      </c>
      <c r="AS86" s="141" t="s">
        <v>366</v>
      </c>
      <c r="AT86" s="141"/>
      <c r="AU86" s="141" t="s">
        <v>1485</v>
      </c>
      <c r="AV86" s="141" t="s">
        <v>656</v>
      </c>
      <c r="AW86" s="141" t="s">
        <v>1487</v>
      </c>
      <c r="AX86" s="141" t="s">
        <v>658</v>
      </c>
      <c r="AY86" s="141" t="s">
        <v>998</v>
      </c>
      <c r="AZ86" s="141" t="s">
        <v>660</v>
      </c>
      <c r="BA86" s="141" t="s">
        <v>1488</v>
      </c>
      <c r="BB86" s="141" t="s">
        <v>662</v>
      </c>
      <c r="BC86" s="141" t="s">
        <v>1489</v>
      </c>
      <c r="BD86" s="141" t="s">
        <v>498</v>
      </c>
      <c r="BE86" s="141" t="s">
        <v>1490</v>
      </c>
      <c r="BF86" s="141" t="s">
        <v>379</v>
      </c>
      <c r="BG86" s="141" t="s">
        <v>1491</v>
      </c>
      <c r="BH86" s="141" t="s">
        <v>381</v>
      </c>
      <c r="BI86" s="141" t="s">
        <v>1492</v>
      </c>
      <c r="BJ86" s="141" t="s">
        <v>383</v>
      </c>
      <c r="BK86" s="141" t="s">
        <v>1493</v>
      </c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73"/>
    </row>
    <row r="87" spans="2:105" x14ac:dyDescent="0.25">
      <c r="B87" s="172"/>
      <c r="C87" s="141" t="s">
        <v>1494</v>
      </c>
      <c r="D87" s="141" t="s">
        <v>1495</v>
      </c>
      <c r="E87" s="141" t="s">
        <v>1496</v>
      </c>
      <c r="F87" s="141" t="s">
        <v>1497</v>
      </c>
      <c r="G87" s="141"/>
      <c r="H87" s="141" t="s">
        <v>354</v>
      </c>
      <c r="I87" s="141"/>
      <c r="J87" s="141" t="s">
        <v>355</v>
      </c>
      <c r="K87" s="141" t="s">
        <v>389</v>
      </c>
      <c r="L87" s="141" t="s">
        <v>1498</v>
      </c>
      <c r="M87" s="141" t="s">
        <v>1499</v>
      </c>
      <c r="N87" s="141" t="s">
        <v>355</v>
      </c>
      <c r="O87" s="141" t="s">
        <v>394</v>
      </c>
      <c r="P87" s="141" t="s">
        <v>425</v>
      </c>
      <c r="Q87" s="141" t="s">
        <v>426</v>
      </c>
      <c r="R87" s="141" t="s">
        <v>362</v>
      </c>
      <c r="S87" s="141" t="s">
        <v>369</v>
      </c>
      <c r="T87" s="141" t="s">
        <v>1130</v>
      </c>
      <c r="U87" s="141" t="s">
        <v>1130</v>
      </c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 t="s">
        <v>355</v>
      </c>
      <c r="AL87" s="141" t="s">
        <v>365</v>
      </c>
      <c r="AM87" s="141" t="s">
        <v>355</v>
      </c>
      <c r="AN87" s="141" t="s">
        <v>368</v>
      </c>
      <c r="AO87" s="141" t="s">
        <v>1130</v>
      </c>
      <c r="AP87" s="141" t="s">
        <v>654</v>
      </c>
      <c r="AQ87" s="141" t="s">
        <v>655</v>
      </c>
      <c r="AR87" s="141" t="s">
        <v>409</v>
      </c>
      <c r="AS87" s="141" t="s">
        <v>488</v>
      </c>
      <c r="AT87" s="141"/>
      <c r="AU87" s="141" t="s">
        <v>1498</v>
      </c>
      <c r="AV87" s="141" t="s">
        <v>656</v>
      </c>
      <c r="AW87" s="141" t="s">
        <v>1500</v>
      </c>
      <c r="AX87" s="141" t="s">
        <v>658</v>
      </c>
      <c r="AY87" s="141" t="s">
        <v>1501</v>
      </c>
      <c r="AZ87" s="141" t="s">
        <v>660</v>
      </c>
      <c r="BA87" s="141" t="s">
        <v>1419</v>
      </c>
      <c r="BB87" s="141" t="s">
        <v>662</v>
      </c>
      <c r="BC87" s="141" t="s">
        <v>1502</v>
      </c>
      <c r="BD87" s="141" t="s">
        <v>498</v>
      </c>
      <c r="BE87" s="141" t="s">
        <v>1503</v>
      </c>
      <c r="BF87" s="141" t="s">
        <v>379</v>
      </c>
      <c r="BG87" s="141" t="s">
        <v>1504</v>
      </c>
      <c r="BH87" s="141" t="s">
        <v>381</v>
      </c>
      <c r="BI87" s="141" t="s">
        <v>1505</v>
      </c>
      <c r="BJ87" s="141" t="s">
        <v>383</v>
      </c>
      <c r="BK87" s="141" t="s">
        <v>1506</v>
      </c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73"/>
    </row>
    <row r="88" spans="2:105" x14ac:dyDescent="0.25">
      <c r="B88" s="172"/>
      <c r="C88" s="141" t="s">
        <v>1507</v>
      </c>
      <c r="D88" s="141" t="s">
        <v>1508</v>
      </c>
      <c r="E88" s="141" t="s">
        <v>1509</v>
      </c>
      <c r="F88" s="141" t="s">
        <v>1510</v>
      </c>
      <c r="G88" s="141"/>
      <c r="H88" s="141" t="s">
        <v>354</v>
      </c>
      <c r="I88" s="141"/>
      <c r="J88" s="141" t="s">
        <v>355</v>
      </c>
      <c r="K88" s="141" t="s">
        <v>1511</v>
      </c>
      <c r="L88" s="141" t="s">
        <v>1512</v>
      </c>
      <c r="M88" s="141" t="s">
        <v>1513</v>
      </c>
      <c r="N88" s="141" t="s">
        <v>355</v>
      </c>
      <c r="O88" s="141" t="s">
        <v>394</v>
      </c>
      <c r="P88" s="141" t="s">
        <v>425</v>
      </c>
      <c r="Q88" s="141" t="s">
        <v>426</v>
      </c>
      <c r="R88" s="141" t="s">
        <v>362</v>
      </c>
      <c r="S88" s="141" t="s">
        <v>369</v>
      </c>
      <c r="T88" s="141" t="s">
        <v>1130</v>
      </c>
      <c r="U88" s="141" t="s">
        <v>1130</v>
      </c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 t="s">
        <v>355</v>
      </c>
      <c r="AL88" s="141" t="s">
        <v>365</v>
      </c>
      <c r="AM88" s="141" t="s">
        <v>355</v>
      </c>
      <c r="AN88" s="141" t="s">
        <v>368</v>
      </c>
      <c r="AO88" s="141" t="s">
        <v>1130</v>
      </c>
      <c r="AP88" s="141" t="s">
        <v>654</v>
      </c>
      <c r="AQ88" s="141" t="s">
        <v>655</v>
      </c>
      <c r="AR88" s="141" t="s">
        <v>409</v>
      </c>
      <c r="AS88" s="141" t="s">
        <v>653</v>
      </c>
      <c r="AT88" s="141"/>
      <c r="AU88" s="141" t="s">
        <v>1512</v>
      </c>
      <c r="AV88" s="141" t="s">
        <v>656</v>
      </c>
      <c r="AW88" s="141" t="s">
        <v>1514</v>
      </c>
      <c r="AX88" s="141" t="s">
        <v>658</v>
      </c>
      <c r="AY88" s="141" t="s">
        <v>1515</v>
      </c>
      <c r="AZ88" s="141" t="s">
        <v>660</v>
      </c>
      <c r="BA88" s="141" t="s">
        <v>1516</v>
      </c>
      <c r="BB88" s="141" t="s">
        <v>662</v>
      </c>
      <c r="BC88" s="141" t="s">
        <v>1517</v>
      </c>
      <c r="BD88" s="141" t="s">
        <v>498</v>
      </c>
      <c r="BE88" s="141" t="s">
        <v>1518</v>
      </c>
      <c r="BF88" s="141" t="s">
        <v>379</v>
      </c>
      <c r="BG88" s="141" t="s">
        <v>1519</v>
      </c>
      <c r="BH88" s="141" t="s">
        <v>381</v>
      </c>
      <c r="BI88" s="141" t="s">
        <v>1520</v>
      </c>
      <c r="BJ88" s="141" t="s">
        <v>383</v>
      </c>
      <c r="BK88" s="141" t="s">
        <v>1521</v>
      </c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73"/>
    </row>
    <row r="89" spans="2:105" x14ac:dyDescent="0.25">
      <c r="B89" s="172"/>
      <c r="C89" s="141" t="s">
        <v>1522</v>
      </c>
      <c r="D89" s="141" t="s">
        <v>498</v>
      </c>
      <c r="E89" s="141" t="s">
        <v>1523</v>
      </c>
      <c r="F89" s="141" t="s">
        <v>1524</v>
      </c>
      <c r="G89" s="141"/>
      <c r="H89" s="141" t="s">
        <v>354</v>
      </c>
      <c r="I89" s="141"/>
      <c r="J89" s="141" t="s">
        <v>355</v>
      </c>
      <c r="K89" s="141" t="s">
        <v>439</v>
      </c>
      <c r="L89" s="141" t="s">
        <v>1525</v>
      </c>
      <c r="M89" s="141" t="s">
        <v>1526</v>
      </c>
      <c r="N89" s="141" t="s">
        <v>355</v>
      </c>
      <c r="O89" s="141" t="s">
        <v>394</v>
      </c>
      <c r="P89" s="141" t="s">
        <v>425</v>
      </c>
      <c r="Q89" s="141" t="s">
        <v>426</v>
      </c>
      <c r="R89" s="141" t="s">
        <v>362</v>
      </c>
      <c r="S89" s="141" t="s">
        <v>369</v>
      </c>
      <c r="T89" s="141" t="s">
        <v>1130</v>
      </c>
      <c r="U89" s="141" t="s">
        <v>1130</v>
      </c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 t="s">
        <v>355</v>
      </c>
      <c r="AL89" s="141" t="s">
        <v>365</v>
      </c>
      <c r="AM89" s="141" t="s">
        <v>355</v>
      </c>
      <c r="AN89" s="141" t="s">
        <v>368</v>
      </c>
      <c r="AO89" s="141" t="s">
        <v>1130</v>
      </c>
      <c r="AP89" s="141" t="s">
        <v>654</v>
      </c>
      <c r="AQ89" s="141" t="s">
        <v>655</v>
      </c>
      <c r="AR89" s="141" t="s">
        <v>409</v>
      </c>
      <c r="AS89" s="141" t="s">
        <v>770</v>
      </c>
      <c r="AT89" s="141"/>
      <c r="AU89" s="141" t="s">
        <v>1525</v>
      </c>
      <c r="AV89" s="141" t="s">
        <v>656</v>
      </c>
      <c r="AW89" s="141" t="s">
        <v>1527</v>
      </c>
      <c r="AX89" s="141" t="s">
        <v>658</v>
      </c>
      <c r="AY89" s="141" t="s">
        <v>1528</v>
      </c>
      <c r="AZ89" s="141" t="s">
        <v>660</v>
      </c>
      <c r="BA89" s="141" t="s">
        <v>1529</v>
      </c>
      <c r="BB89" s="141" t="s">
        <v>662</v>
      </c>
      <c r="BC89" s="141" t="s">
        <v>1530</v>
      </c>
      <c r="BD89" s="141" t="s">
        <v>498</v>
      </c>
      <c r="BE89" s="141" t="s">
        <v>1531</v>
      </c>
      <c r="BF89" s="141" t="s">
        <v>379</v>
      </c>
      <c r="BG89" s="141" t="s">
        <v>1532</v>
      </c>
      <c r="BH89" s="141" t="s">
        <v>381</v>
      </c>
      <c r="BI89" s="141" t="s">
        <v>1533</v>
      </c>
      <c r="BJ89" s="141" t="s">
        <v>383</v>
      </c>
      <c r="BK89" s="141" t="s">
        <v>1534</v>
      </c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73"/>
    </row>
    <row r="90" spans="2:105" x14ac:dyDescent="0.25">
      <c r="B90" s="172"/>
      <c r="C90" s="141" t="s">
        <v>1535</v>
      </c>
      <c r="D90" s="141" t="s">
        <v>1536</v>
      </c>
      <c r="E90" s="141" t="s">
        <v>1537</v>
      </c>
      <c r="F90" s="141" t="s">
        <v>1263</v>
      </c>
      <c r="G90" s="141"/>
      <c r="H90" s="141" t="s">
        <v>354</v>
      </c>
      <c r="I90" s="141"/>
      <c r="J90" s="141" t="s">
        <v>355</v>
      </c>
      <c r="K90" s="141" t="s">
        <v>1538</v>
      </c>
      <c r="L90" s="141"/>
      <c r="M90" s="141"/>
      <c r="N90" s="141" t="s">
        <v>370</v>
      </c>
      <c r="O90" s="141" t="s">
        <v>394</v>
      </c>
      <c r="P90" s="141" t="s">
        <v>425</v>
      </c>
      <c r="Q90" s="141" t="s">
        <v>426</v>
      </c>
      <c r="R90" s="141" t="s">
        <v>362</v>
      </c>
      <c r="S90" s="141" t="s">
        <v>369</v>
      </c>
      <c r="T90" s="141" t="s">
        <v>1130</v>
      </c>
      <c r="U90" s="141" t="s">
        <v>1130</v>
      </c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 t="s">
        <v>355</v>
      </c>
      <c r="AL90" s="141" t="s">
        <v>365</v>
      </c>
      <c r="AM90" s="141" t="s">
        <v>355</v>
      </c>
      <c r="AN90" s="141" t="s">
        <v>368</v>
      </c>
      <c r="AO90" s="141" t="s">
        <v>1130</v>
      </c>
      <c r="AP90" s="141" t="s">
        <v>654</v>
      </c>
      <c r="AQ90" s="141" t="s">
        <v>655</v>
      </c>
      <c r="AR90" s="141" t="s">
        <v>409</v>
      </c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73"/>
    </row>
    <row r="91" spans="2:105" x14ac:dyDescent="0.25">
      <c r="B91" s="172"/>
      <c r="C91" s="141"/>
      <c r="D91" s="141" t="s">
        <v>1539</v>
      </c>
      <c r="E91" s="141"/>
      <c r="F91" s="141" t="s">
        <v>467</v>
      </c>
      <c r="G91" s="141"/>
      <c r="H91" s="141" t="s">
        <v>354</v>
      </c>
      <c r="I91" s="141"/>
      <c r="J91" s="141" t="s">
        <v>355</v>
      </c>
      <c r="K91" s="141" t="s">
        <v>1540</v>
      </c>
      <c r="L91" s="141"/>
      <c r="M91" s="141"/>
      <c r="N91" s="141" t="s">
        <v>355</v>
      </c>
      <c r="O91" s="141"/>
      <c r="P91" s="141"/>
      <c r="Q91" s="141"/>
      <c r="R91" s="141"/>
      <c r="S91" s="141" t="s">
        <v>369</v>
      </c>
      <c r="T91" s="141" t="s">
        <v>1130</v>
      </c>
      <c r="U91" s="141" t="s">
        <v>1130</v>
      </c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 t="s">
        <v>355</v>
      </c>
      <c r="AL91" s="141" t="s">
        <v>365</v>
      </c>
      <c r="AM91" s="141" t="s">
        <v>355</v>
      </c>
      <c r="AN91" s="141" t="s">
        <v>368</v>
      </c>
      <c r="AO91" s="141" t="s">
        <v>1130</v>
      </c>
      <c r="AP91" s="141" t="s">
        <v>654</v>
      </c>
      <c r="AQ91" s="141" t="s">
        <v>655</v>
      </c>
      <c r="AR91" s="141" t="s">
        <v>409</v>
      </c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73"/>
    </row>
    <row r="92" spans="2:105" x14ac:dyDescent="0.25">
      <c r="B92" s="172"/>
      <c r="C92" s="141" t="s">
        <v>1541</v>
      </c>
      <c r="D92" s="141" t="s">
        <v>1542</v>
      </c>
      <c r="E92" s="141" t="s">
        <v>1543</v>
      </c>
      <c r="F92" s="141" t="s">
        <v>741</v>
      </c>
      <c r="G92" s="141"/>
      <c r="H92" s="141" t="s">
        <v>354</v>
      </c>
      <c r="I92" s="141"/>
      <c r="J92" s="141" t="s">
        <v>355</v>
      </c>
      <c r="K92" s="141" t="s">
        <v>1544</v>
      </c>
      <c r="L92" s="141"/>
      <c r="M92" s="141"/>
      <c r="N92" s="141" t="s">
        <v>370</v>
      </c>
      <c r="O92" s="141" t="s">
        <v>394</v>
      </c>
      <c r="P92" s="141" t="s">
        <v>425</v>
      </c>
      <c r="Q92" s="141" t="s">
        <v>426</v>
      </c>
      <c r="R92" s="141" t="s">
        <v>362</v>
      </c>
      <c r="S92" s="141" t="s">
        <v>369</v>
      </c>
      <c r="T92" s="141" t="s">
        <v>1130</v>
      </c>
      <c r="U92" s="141" t="s">
        <v>1130</v>
      </c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 t="s">
        <v>355</v>
      </c>
      <c r="AL92" s="141" t="s">
        <v>365</v>
      </c>
      <c r="AM92" s="141" t="s">
        <v>355</v>
      </c>
      <c r="AN92" s="141" t="s">
        <v>368</v>
      </c>
      <c r="AO92" s="141" t="s">
        <v>1130</v>
      </c>
      <c r="AP92" s="141" t="s">
        <v>654</v>
      </c>
      <c r="AQ92" s="141" t="s">
        <v>655</v>
      </c>
      <c r="AR92" s="141" t="s">
        <v>409</v>
      </c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73"/>
    </row>
    <row r="93" spans="2:105" x14ac:dyDescent="0.25">
      <c r="B93" s="172"/>
      <c r="C93" s="141" t="s">
        <v>1545</v>
      </c>
      <c r="D93" s="141" t="s">
        <v>770</v>
      </c>
      <c r="E93" s="141" t="s">
        <v>1546</v>
      </c>
      <c r="F93" s="141" t="s">
        <v>1547</v>
      </c>
      <c r="G93" s="141"/>
      <c r="H93" s="141" t="s">
        <v>354</v>
      </c>
      <c r="I93" s="141"/>
      <c r="J93" s="141" t="s">
        <v>355</v>
      </c>
      <c r="K93" s="141" t="s">
        <v>1548</v>
      </c>
      <c r="L93" s="141"/>
      <c r="M93" s="141"/>
      <c r="N93" s="141" t="s">
        <v>394</v>
      </c>
      <c r="O93" s="141" t="s">
        <v>370</v>
      </c>
      <c r="P93" s="141" t="s">
        <v>529</v>
      </c>
      <c r="Q93" s="141" t="s">
        <v>530</v>
      </c>
      <c r="R93" s="141" t="s">
        <v>362</v>
      </c>
      <c r="S93" s="141" t="s">
        <v>369</v>
      </c>
      <c r="T93" s="141" t="s">
        <v>1130</v>
      </c>
      <c r="U93" s="141" t="s">
        <v>1130</v>
      </c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 t="s">
        <v>355</v>
      </c>
      <c r="AL93" s="141" t="s">
        <v>365</v>
      </c>
      <c r="AM93" s="141" t="s">
        <v>355</v>
      </c>
      <c r="AN93" s="141" t="s">
        <v>368</v>
      </c>
      <c r="AO93" s="141" t="s">
        <v>1130</v>
      </c>
      <c r="AP93" s="141" t="s">
        <v>654</v>
      </c>
      <c r="AQ93" s="141" t="s">
        <v>655</v>
      </c>
      <c r="AR93" s="141" t="s">
        <v>409</v>
      </c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73"/>
    </row>
    <row r="94" spans="2:105" x14ac:dyDescent="0.25">
      <c r="B94" s="172"/>
      <c r="C94" s="141" t="s">
        <v>1549</v>
      </c>
      <c r="D94" s="141" t="s">
        <v>1550</v>
      </c>
      <c r="E94" s="141" t="s">
        <v>620</v>
      </c>
      <c r="F94" s="141" t="s">
        <v>1551</v>
      </c>
      <c r="G94" s="141"/>
      <c r="H94" s="141" t="s">
        <v>354</v>
      </c>
      <c r="I94" s="141"/>
      <c r="J94" s="141" t="s">
        <v>355</v>
      </c>
      <c r="K94" s="141" t="s">
        <v>1552</v>
      </c>
      <c r="L94" s="141"/>
      <c r="M94" s="141"/>
      <c r="N94" s="141" t="s">
        <v>427</v>
      </c>
      <c r="O94" s="141" t="s">
        <v>394</v>
      </c>
      <c r="P94" s="141" t="s">
        <v>425</v>
      </c>
      <c r="Q94" s="141" t="s">
        <v>426</v>
      </c>
      <c r="R94" s="141" t="s">
        <v>362</v>
      </c>
      <c r="S94" s="141" t="s">
        <v>369</v>
      </c>
      <c r="T94" s="141" t="s">
        <v>1130</v>
      </c>
      <c r="U94" s="141" t="s">
        <v>1130</v>
      </c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 t="s">
        <v>355</v>
      </c>
      <c r="AL94" s="141" t="s">
        <v>365</v>
      </c>
      <c r="AM94" s="141" t="s">
        <v>355</v>
      </c>
      <c r="AN94" s="141" t="s">
        <v>368</v>
      </c>
      <c r="AO94" s="141" t="s">
        <v>1130</v>
      </c>
      <c r="AP94" s="141" t="s">
        <v>654</v>
      </c>
      <c r="AQ94" s="141" t="s">
        <v>655</v>
      </c>
      <c r="AR94" s="141" t="s">
        <v>409</v>
      </c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73"/>
    </row>
    <row r="95" spans="2:105" x14ac:dyDescent="0.25">
      <c r="B95" s="172"/>
      <c r="C95" s="141" t="s">
        <v>1553</v>
      </c>
      <c r="D95" s="141" t="s">
        <v>1554</v>
      </c>
      <c r="E95" s="141" t="s">
        <v>1555</v>
      </c>
      <c r="F95" s="141" t="s">
        <v>1556</v>
      </c>
      <c r="G95" s="141"/>
      <c r="H95" s="141" t="s">
        <v>354</v>
      </c>
      <c r="I95" s="141"/>
      <c r="J95" s="141" t="s">
        <v>355</v>
      </c>
      <c r="K95" s="141" t="s">
        <v>1557</v>
      </c>
      <c r="L95" s="141"/>
      <c r="M95" s="141"/>
      <c r="N95" s="141" t="s">
        <v>427</v>
      </c>
      <c r="O95" s="141" t="s">
        <v>363</v>
      </c>
      <c r="P95" s="141" t="s">
        <v>1558</v>
      </c>
      <c r="Q95" s="141" t="s">
        <v>1559</v>
      </c>
      <c r="R95" s="141" t="s">
        <v>362</v>
      </c>
      <c r="S95" s="141" t="s">
        <v>369</v>
      </c>
      <c r="T95" s="141" t="s">
        <v>1130</v>
      </c>
      <c r="U95" s="141" t="s">
        <v>1130</v>
      </c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 t="s">
        <v>355</v>
      </c>
      <c r="AL95" s="141" t="s">
        <v>365</v>
      </c>
      <c r="AM95" s="141" t="s">
        <v>355</v>
      </c>
      <c r="AN95" s="141" t="s">
        <v>368</v>
      </c>
      <c r="AO95" s="141" t="s">
        <v>1130</v>
      </c>
      <c r="AP95" s="141" t="s">
        <v>654</v>
      </c>
      <c r="AQ95" s="141" t="s">
        <v>655</v>
      </c>
      <c r="AR95" s="141" t="s">
        <v>409</v>
      </c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73"/>
    </row>
    <row r="96" spans="2:105" x14ac:dyDescent="0.25">
      <c r="B96" s="172"/>
      <c r="C96" s="141"/>
      <c r="D96" s="141" t="s">
        <v>1560</v>
      </c>
      <c r="E96" s="141"/>
      <c r="F96" s="141" t="s">
        <v>467</v>
      </c>
      <c r="G96" s="141"/>
      <c r="H96" s="141" t="s">
        <v>354</v>
      </c>
      <c r="I96" s="141"/>
      <c r="J96" s="141" t="s">
        <v>355</v>
      </c>
      <c r="K96" s="141" t="s">
        <v>1561</v>
      </c>
      <c r="L96" s="141"/>
      <c r="M96" s="141"/>
      <c r="N96" s="141" t="s">
        <v>355</v>
      </c>
      <c r="O96" s="141"/>
      <c r="P96" s="141"/>
      <c r="Q96" s="141"/>
      <c r="R96" s="141"/>
      <c r="S96" s="141" t="s">
        <v>369</v>
      </c>
      <c r="T96" s="141" t="s">
        <v>1130</v>
      </c>
      <c r="U96" s="141" t="s">
        <v>1130</v>
      </c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 t="s">
        <v>355</v>
      </c>
      <c r="AL96" s="141" t="s">
        <v>365</v>
      </c>
      <c r="AM96" s="141" t="s">
        <v>355</v>
      </c>
      <c r="AN96" s="141" t="s">
        <v>368</v>
      </c>
      <c r="AO96" s="141" t="s">
        <v>1130</v>
      </c>
      <c r="AP96" s="141" t="s">
        <v>654</v>
      </c>
      <c r="AQ96" s="141" t="s">
        <v>655</v>
      </c>
      <c r="AR96" s="141" t="s">
        <v>409</v>
      </c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73"/>
    </row>
    <row r="97" spans="2:105" x14ac:dyDescent="0.25">
      <c r="B97" s="172"/>
      <c r="C97" s="141" t="s">
        <v>1562</v>
      </c>
      <c r="D97" s="141" t="s">
        <v>1563</v>
      </c>
      <c r="E97" s="141" t="s">
        <v>700</v>
      </c>
      <c r="F97" s="141" t="s">
        <v>1029</v>
      </c>
      <c r="G97" s="141"/>
      <c r="H97" s="141" t="s">
        <v>354</v>
      </c>
      <c r="I97" s="141"/>
      <c r="J97" s="141" t="s">
        <v>355</v>
      </c>
      <c r="K97" s="141" t="s">
        <v>1564</v>
      </c>
      <c r="L97" s="141"/>
      <c r="M97" s="141"/>
      <c r="N97" s="141" t="s">
        <v>370</v>
      </c>
      <c r="O97" s="141" t="s">
        <v>394</v>
      </c>
      <c r="P97" s="141" t="s">
        <v>425</v>
      </c>
      <c r="Q97" s="141" t="s">
        <v>426</v>
      </c>
      <c r="R97" s="141" t="s">
        <v>362</v>
      </c>
      <c r="S97" s="141" t="s">
        <v>369</v>
      </c>
      <c r="T97" s="141" t="s">
        <v>1130</v>
      </c>
      <c r="U97" s="141" t="s">
        <v>1130</v>
      </c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 t="s">
        <v>355</v>
      </c>
      <c r="AL97" s="141" t="s">
        <v>365</v>
      </c>
      <c r="AM97" s="141" t="s">
        <v>355</v>
      </c>
      <c r="AN97" s="141" t="s">
        <v>368</v>
      </c>
      <c r="AO97" s="141" t="s">
        <v>1130</v>
      </c>
      <c r="AP97" s="141" t="s">
        <v>654</v>
      </c>
      <c r="AQ97" s="141" t="s">
        <v>655</v>
      </c>
      <c r="AR97" s="141" t="s">
        <v>409</v>
      </c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73"/>
    </row>
    <row r="98" spans="2:105" x14ac:dyDescent="0.25">
      <c r="B98" s="172"/>
      <c r="C98" s="141" t="s">
        <v>1565</v>
      </c>
      <c r="D98" s="141" t="s">
        <v>1566</v>
      </c>
      <c r="E98" s="141" t="s">
        <v>1567</v>
      </c>
      <c r="F98" s="141" t="s">
        <v>1006</v>
      </c>
      <c r="G98" s="141"/>
      <c r="H98" s="141" t="s">
        <v>354</v>
      </c>
      <c r="I98" s="141"/>
      <c r="J98" s="141" t="s">
        <v>355</v>
      </c>
      <c r="K98" s="141" t="s">
        <v>1568</v>
      </c>
      <c r="L98" s="141"/>
      <c r="M98" s="141"/>
      <c r="N98" s="141" t="s">
        <v>394</v>
      </c>
      <c r="O98" s="141" t="s">
        <v>394</v>
      </c>
      <c r="P98" s="141" t="s">
        <v>425</v>
      </c>
      <c r="Q98" s="141" t="s">
        <v>426</v>
      </c>
      <c r="R98" s="141" t="s">
        <v>362</v>
      </c>
      <c r="S98" s="141" t="s">
        <v>369</v>
      </c>
      <c r="T98" s="141" t="s">
        <v>1130</v>
      </c>
      <c r="U98" s="141" t="s">
        <v>1130</v>
      </c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 t="s">
        <v>355</v>
      </c>
      <c r="AL98" s="141" t="s">
        <v>365</v>
      </c>
      <c r="AM98" s="141" t="s">
        <v>355</v>
      </c>
      <c r="AN98" s="141" t="s">
        <v>368</v>
      </c>
      <c r="AO98" s="141" t="s">
        <v>1130</v>
      </c>
      <c r="AP98" s="141" t="s">
        <v>654</v>
      </c>
      <c r="AQ98" s="141" t="s">
        <v>655</v>
      </c>
      <c r="AR98" s="141" t="s">
        <v>409</v>
      </c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73"/>
    </row>
    <row r="99" spans="2:105" x14ac:dyDescent="0.25">
      <c r="B99" s="172"/>
      <c r="C99" s="141" t="s">
        <v>1569</v>
      </c>
      <c r="D99" s="141" t="s">
        <v>1570</v>
      </c>
      <c r="E99" s="141" t="s">
        <v>1571</v>
      </c>
      <c r="F99" s="141" t="s">
        <v>1572</v>
      </c>
      <c r="G99" s="141"/>
      <c r="H99" s="141" t="s">
        <v>354</v>
      </c>
      <c r="I99" s="141"/>
      <c r="J99" s="141" t="s">
        <v>355</v>
      </c>
      <c r="K99" s="141" t="s">
        <v>465</v>
      </c>
      <c r="L99" s="141" t="s">
        <v>1573</v>
      </c>
      <c r="M99" s="141" t="s">
        <v>1574</v>
      </c>
      <c r="N99" s="141" t="s">
        <v>355</v>
      </c>
      <c r="O99" s="141" t="s">
        <v>359</v>
      </c>
      <c r="P99" s="141" t="s">
        <v>360</v>
      </c>
      <c r="Q99" s="141" t="s">
        <v>361</v>
      </c>
      <c r="R99" s="141" t="s">
        <v>362</v>
      </c>
      <c r="S99" s="141" t="s">
        <v>392</v>
      </c>
      <c r="T99" s="141" t="s">
        <v>1575</v>
      </c>
      <c r="U99" s="141" t="s">
        <v>1575</v>
      </c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 t="s">
        <v>355</v>
      </c>
      <c r="AL99" s="141" t="s">
        <v>365</v>
      </c>
      <c r="AM99" s="141" t="s">
        <v>355</v>
      </c>
      <c r="AN99" s="141" t="s">
        <v>901</v>
      </c>
      <c r="AO99" s="141" t="s">
        <v>1575</v>
      </c>
      <c r="AP99" s="141" t="s">
        <v>1576</v>
      </c>
      <c r="AQ99" s="141" t="s">
        <v>736</v>
      </c>
      <c r="AR99" s="141" t="s">
        <v>1295</v>
      </c>
      <c r="AS99" s="141" t="s">
        <v>370</v>
      </c>
      <c r="AT99" s="141"/>
      <c r="AU99" s="141" t="s">
        <v>1573</v>
      </c>
      <c r="AV99" s="141" t="s">
        <v>660</v>
      </c>
      <c r="AW99" s="141" t="s">
        <v>1577</v>
      </c>
      <c r="AX99" s="141" t="s">
        <v>1578</v>
      </c>
      <c r="AY99" s="141" t="s">
        <v>1579</v>
      </c>
      <c r="AZ99" s="141" t="s">
        <v>891</v>
      </c>
      <c r="BA99" s="141" t="s">
        <v>1580</v>
      </c>
      <c r="BB99" s="141" t="s">
        <v>893</v>
      </c>
      <c r="BC99" s="141" t="s">
        <v>1581</v>
      </c>
      <c r="BD99" s="141" t="s">
        <v>777</v>
      </c>
      <c r="BE99" s="141" t="s">
        <v>1582</v>
      </c>
      <c r="BF99" s="141" t="s">
        <v>779</v>
      </c>
      <c r="BG99" s="141" t="s">
        <v>1583</v>
      </c>
      <c r="BH99" s="141" t="s">
        <v>780</v>
      </c>
      <c r="BI99" s="141" t="s">
        <v>1584</v>
      </c>
      <c r="BJ99" s="141" t="s">
        <v>572</v>
      </c>
      <c r="BK99" s="141" t="s">
        <v>1585</v>
      </c>
      <c r="BL99" s="141" t="s">
        <v>784</v>
      </c>
      <c r="BM99" s="141" t="s">
        <v>1586</v>
      </c>
      <c r="BN99" s="141" t="s">
        <v>1587</v>
      </c>
      <c r="BO99" s="141" t="s">
        <v>1588</v>
      </c>
      <c r="BP99" s="141" t="s">
        <v>913</v>
      </c>
      <c r="BQ99" s="141" t="s">
        <v>1589</v>
      </c>
      <c r="BR99" s="141" t="s">
        <v>788</v>
      </c>
      <c r="BS99" s="141" t="s">
        <v>1590</v>
      </c>
      <c r="BT99" s="141" t="s">
        <v>383</v>
      </c>
      <c r="BU99" s="141" t="s">
        <v>722</v>
      </c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73"/>
    </row>
    <row r="100" spans="2:105" x14ac:dyDescent="0.25">
      <c r="B100" s="172"/>
      <c r="C100" s="141" t="s">
        <v>1591</v>
      </c>
      <c r="D100" s="141" t="s">
        <v>1280</v>
      </c>
      <c r="E100" s="141" t="s">
        <v>1592</v>
      </c>
      <c r="F100" s="141" t="s">
        <v>453</v>
      </c>
      <c r="G100" s="141"/>
      <c r="H100" s="141" t="s">
        <v>354</v>
      </c>
      <c r="I100" s="141"/>
      <c r="J100" s="141" t="s">
        <v>355</v>
      </c>
      <c r="K100" s="141" t="s">
        <v>1593</v>
      </c>
      <c r="L100" s="141" t="s">
        <v>1594</v>
      </c>
      <c r="M100" s="141" t="s">
        <v>1595</v>
      </c>
      <c r="N100" s="141" t="s">
        <v>355</v>
      </c>
      <c r="O100" s="141" t="s">
        <v>427</v>
      </c>
      <c r="P100" s="141" t="s">
        <v>455</v>
      </c>
      <c r="Q100" s="141" t="s">
        <v>456</v>
      </c>
      <c r="R100" s="141" t="s">
        <v>362</v>
      </c>
      <c r="S100" s="141" t="s">
        <v>392</v>
      </c>
      <c r="T100" s="141" t="s">
        <v>1575</v>
      </c>
      <c r="U100" s="141" t="s">
        <v>1575</v>
      </c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 t="s">
        <v>355</v>
      </c>
      <c r="AL100" s="141" t="s">
        <v>365</v>
      </c>
      <c r="AM100" s="141" t="s">
        <v>355</v>
      </c>
      <c r="AN100" s="141" t="s">
        <v>901</v>
      </c>
      <c r="AO100" s="141" t="s">
        <v>1575</v>
      </c>
      <c r="AP100" s="141" t="s">
        <v>1576</v>
      </c>
      <c r="AQ100" s="141" t="s">
        <v>736</v>
      </c>
      <c r="AR100" s="141" t="s">
        <v>1295</v>
      </c>
      <c r="AS100" s="141" t="s">
        <v>394</v>
      </c>
      <c r="AT100" s="141"/>
      <c r="AU100" s="141" t="s">
        <v>1594</v>
      </c>
      <c r="AV100" s="141" t="s">
        <v>660</v>
      </c>
      <c r="AW100" s="141" t="s">
        <v>1596</v>
      </c>
      <c r="AX100" s="141" t="s">
        <v>1578</v>
      </c>
      <c r="AY100" s="141" t="s">
        <v>1597</v>
      </c>
      <c r="AZ100" s="141" t="s">
        <v>891</v>
      </c>
      <c r="BA100" s="141" t="s">
        <v>1598</v>
      </c>
      <c r="BB100" s="141" t="s">
        <v>893</v>
      </c>
      <c r="BC100" s="141" t="s">
        <v>1599</v>
      </c>
      <c r="BD100" s="141" t="s">
        <v>777</v>
      </c>
      <c r="BE100" s="141" t="s">
        <v>1600</v>
      </c>
      <c r="BF100" s="141" t="s">
        <v>779</v>
      </c>
      <c r="BG100" s="141" t="s">
        <v>1601</v>
      </c>
      <c r="BH100" s="141" t="s">
        <v>780</v>
      </c>
      <c r="BI100" s="141" t="s">
        <v>1602</v>
      </c>
      <c r="BJ100" s="141" t="s">
        <v>572</v>
      </c>
      <c r="BK100" s="141" t="s">
        <v>1603</v>
      </c>
      <c r="BL100" s="141" t="s">
        <v>784</v>
      </c>
      <c r="BM100" s="141" t="s">
        <v>1604</v>
      </c>
      <c r="BN100" s="141" t="s">
        <v>1587</v>
      </c>
      <c r="BO100" s="141" t="s">
        <v>1605</v>
      </c>
      <c r="BP100" s="141" t="s">
        <v>913</v>
      </c>
      <c r="BQ100" s="141" t="s">
        <v>1606</v>
      </c>
      <c r="BR100" s="141" t="s">
        <v>788</v>
      </c>
      <c r="BS100" s="141" t="s">
        <v>1607</v>
      </c>
      <c r="BT100" s="141" t="s">
        <v>383</v>
      </c>
      <c r="BU100" s="141" t="s">
        <v>995</v>
      </c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73"/>
    </row>
    <row r="101" spans="2:105" x14ac:dyDescent="0.25">
      <c r="B101" s="172"/>
      <c r="C101" s="141" t="s">
        <v>1608</v>
      </c>
      <c r="D101" s="141" t="s">
        <v>1609</v>
      </c>
      <c r="E101" s="141" t="s">
        <v>1610</v>
      </c>
      <c r="F101" s="141" t="s">
        <v>1209</v>
      </c>
      <c r="G101" s="141"/>
      <c r="H101" s="141" t="s">
        <v>354</v>
      </c>
      <c r="I101" s="141"/>
      <c r="J101" s="141" t="s">
        <v>355</v>
      </c>
      <c r="K101" s="141" t="s">
        <v>1611</v>
      </c>
      <c r="L101" s="141" t="s">
        <v>1612</v>
      </c>
      <c r="M101" s="141" t="s">
        <v>1613</v>
      </c>
      <c r="N101" s="141" t="s">
        <v>355</v>
      </c>
      <c r="O101" s="141" t="s">
        <v>359</v>
      </c>
      <c r="P101" s="141" t="s">
        <v>360</v>
      </c>
      <c r="Q101" s="141" t="s">
        <v>361</v>
      </c>
      <c r="R101" s="141" t="s">
        <v>362</v>
      </c>
      <c r="S101" s="141" t="s">
        <v>392</v>
      </c>
      <c r="T101" s="141" t="s">
        <v>1575</v>
      </c>
      <c r="U101" s="141" t="s">
        <v>1575</v>
      </c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 t="s">
        <v>355</v>
      </c>
      <c r="AL101" s="141" t="s">
        <v>365</v>
      </c>
      <c r="AM101" s="141" t="s">
        <v>355</v>
      </c>
      <c r="AN101" s="141" t="s">
        <v>901</v>
      </c>
      <c r="AO101" s="141" t="s">
        <v>1575</v>
      </c>
      <c r="AP101" s="141" t="s">
        <v>1576</v>
      </c>
      <c r="AQ101" s="141" t="s">
        <v>736</v>
      </c>
      <c r="AR101" s="141" t="s">
        <v>1295</v>
      </c>
      <c r="AS101" s="141" t="s">
        <v>359</v>
      </c>
      <c r="AT101" s="141"/>
      <c r="AU101" s="141" t="s">
        <v>1612</v>
      </c>
      <c r="AV101" s="141" t="s">
        <v>660</v>
      </c>
      <c r="AW101" s="141" t="s">
        <v>1614</v>
      </c>
      <c r="AX101" s="141" t="s">
        <v>1578</v>
      </c>
      <c r="AY101" s="141" t="s">
        <v>1615</v>
      </c>
      <c r="AZ101" s="141" t="s">
        <v>891</v>
      </c>
      <c r="BA101" s="141" t="s">
        <v>1616</v>
      </c>
      <c r="BB101" s="141" t="s">
        <v>893</v>
      </c>
      <c r="BC101" s="141" t="s">
        <v>1617</v>
      </c>
      <c r="BD101" s="141" t="s">
        <v>777</v>
      </c>
      <c r="BE101" s="141" t="s">
        <v>1618</v>
      </c>
      <c r="BF101" s="141" t="s">
        <v>779</v>
      </c>
      <c r="BG101" s="141" t="s">
        <v>719</v>
      </c>
      <c r="BH101" s="141" t="s">
        <v>780</v>
      </c>
      <c r="BI101" s="141" t="s">
        <v>1619</v>
      </c>
      <c r="BJ101" s="141" t="s">
        <v>572</v>
      </c>
      <c r="BK101" s="141" t="s">
        <v>1620</v>
      </c>
      <c r="BL101" s="141" t="s">
        <v>784</v>
      </c>
      <c r="BM101" s="141" t="s">
        <v>1621</v>
      </c>
      <c r="BN101" s="141" t="s">
        <v>1587</v>
      </c>
      <c r="BO101" s="141" t="s">
        <v>613</v>
      </c>
      <c r="BP101" s="141" t="s">
        <v>913</v>
      </c>
      <c r="BQ101" s="141" t="s">
        <v>1622</v>
      </c>
      <c r="BR101" s="141" t="s">
        <v>788</v>
      </c>
      <c r="BS101" s="141" t="s">
        <v>1623</v>
      </c>
      <c r="BT101" s="141" t="s">
        <v>383</v>
      </c>
      <c r="BU101" s="141" t="s">
        <v>1624</v>
      </c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73"/>
    </row>
    <row r="102" spans="2:105" x14ac:dyDescent="0.25">
      <c r="B102" s="172"/>
      <c r="C102" s="141" t="s">
        <v>1625</v>
      </c>
      <c r="D102" s="141" t="s">
        <v>1626</v>
      </c>
      <c r="E102" s="141" t="s">
        <v>1627</v>
      </c>
      <c r="F102" s="141" t="s">
        <v>1074</v>
      </c>
      <c r="G102" s="141"/>
      <c r="H102" s="141" t="s">
        <v>354</v>
      </c>
      <c r="I102" s="141"/>
      <c r="J102" s="141" t="s">
        <v>355</v>
      </c>
      <c r="K102" s="141" t="s">
        <v>1628</v>
      </c>
      <c r="L102" s="141" t="s">
        <v>1629</v>
      </c>
      <c r="M102" s="141" t="s">
        <v>1630</v>
      </c>
      <c r="N102" s="141" t="s">
        <v>355</v>
      </c>
      <c r="O102" s="141" t="s">
        <v>486</v>
      </c>
      <c r="P102" s="141" t="s">
        <v>1631</v>
      </c>
      <c r="Q102" s="141" t="s">
        <v>1632</v>
      </c>
      <c r="R102" s="141" t="s">
        <v>362</v>
      </c>
      <c r="S102" s="141" t="s">
        <v>392</v>
      </c>
      <c r="T102" s="141" t="s">
        <v>1575</v>
      </c>
      <c r="U102" s="141" t="s">
        <v>1575</v>
      </c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 t="s">
        <v>355</v>
      </c>
      <c r="AL102" s="141" t="s">
        <v>365</v>
      </c>
      <c r="AM102" s="141" t="s">
        <v>355</v>
      </c>
      <c r="AN102" s="141" t="s">
        <v>901</v>
      </c>
      <c r="AO102" s="141" t="s">
        <v>1575</v>
      </c>
      <c r="AP102" s="141" t="s">
        <v>1576</v>
      </c>
      <c r="AQ102" s="141" t="s">
        <v>736</v>
      </c>
      <c r="AR102" s="141" t="s">
        <v>1295</v>
      </c>
      <c r="AS102" s="141" t="s">
        <v>427</v>
      </c>
      <c r="AT102" s="141"/>
      <c r="AU102" s="141" t="s">
        <v>1629</v>
      </c>
      <c r="AV102" s="141" t="s">
        <v>660</v>
      </c>
      <c r="AW102" s="141" t="s">
        <v>1633</v>
      </c>
      <c r="AX102" s="141" t="s">
        <v>1578</v>
      </c>
      <c r="AY102" s="141" t="s">
        <v>1634</v>
      </c>
      <c r="AZ102" s="141" t="s">
        <v>891</v>
      </c>
      <c r="BA102" s="141" t="s">
        <v>1635</v>
      </c>
      <c r="BB102" s="141" t="s">
        <v>893</v>
      </c>
      <c r="BC102" s="141" t="s">
        <v>1636</v>
      </c>
      <c r="BD102" s="141" t="s">
        <v>777</v>
      </c>
      <c r="BE102" s="141" t="s">
        <v>1637</v>
      </c>
      <c r="BF102" s="141" t="s">
        <v>779</v>
      </c>
      <c r="BG102" s="141" t="s">
        <v>535</v>
      </c>
      <c r="BH102" s="141" t="s">
        <v>780</v>
      </c>
      <c r="BI102" s="141" t="s">
        <v>1619</v>
      </c>
      <c r="BJ102" s="141" t="s">
        <v>572</v>
      </c>
      <c r="BK102" s="141" t="s">
        <v>1638</v>
      </c>
      <c r="BL102" s="141" t="s">
        <v>784</v>
      </c>
      <c r="BM102" s="141" t="s">
        <v>1639</v>
      </c>
      <c r="BN102" s="141" t="s">
        <v>1587</v>
      </c>
      <c r="BO102" s="141" t="s">
        <v>1640</v>
      </c>
      <c r="BP102" s="141" t="s">
        <v>913</v>
      </c>
      <c r="BQ102" s="141" t="s">
        <v>1641</v>
      </c>
      <c r="BR102" s="141" t="s">
        <v>788</v>
      </c>
      <c r="BS102" s="141" t="s">
        <v>1624</v>
      </c>
      <c r="BT102" s="141" t="s">
        <v>383</v>
      </c>
      <c r="BU102" s="141" t="s">
        <v>1642</v>
      </c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73"/>
    </row>
    <row r="103" spans="2:105" x14ac:dyDescent="0.25">
      <c r="B103" s="172"/>
      <c r="C103" s="141" t="s">
        <v>1643</v>
      </c>
      <c r="D103" s="141" t="s">
        <v>1644</v>
      </c>
      <c r="E103" s="141" t="s">
        <v>1645</v>
      </c>
      <c r="F103" s="141" t="s">
        <v>1454</v>
      </c>
      <c r="G103" s="141"/>
      <c r="H103" s="141" t="s">
        <v>354</v>
      </c>
      <c r="I103" s="141"/>
      <c r="J103" s="141" t="s">
        <v>355</v>
      </c>
      <c r="K103" s="141" t="s">
        <v>1646</v>
      </c>
      <c r="L103" s="141" t="s">
        <v>1647</v>
      </c>
      <c r="M103" s="141" t="s">
        <v>1648</v>
      </c>
      <c r="N103" s="141" t="s">
        <v>355</v>
      </c>
      <c r="O103" s="141" t="s">
        <v>359</v>
      </c>
      <c r="P103" s="141" t="s">
        <v>360</v>
      </c>
      <c r="Q103" s="141" t="s">
        <v>361</v>
      </c>
      <c r="R103" s="141" t="s">
        <v>362</v>
      </c>
      <c r="S103" s="141" t="s">
        <v>392</v>
      </c>
      <c r="T103" s="141" t="s">
        <v>1575</v>
      </c>
      <c r="U103" s="141" t="s">
        <v>1575</v>
      </c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 t="s">
        <v>355</v>
      </c>
      <c r="AL103" s="141" t="s">
        <v>365</v>
      </c>
      <c r="AM103" s="141" t="s">
        <v>355</v>
      </c>
      <c r="AN103" s="141" t="s">
        <v>901</v>
      </c>
      <c r="AO103" s="141" t="s">
        <v>1575</v>
      </c>
      <c r="AP103" s="141" t="s">
        <v>1576</v>
      </c>
      <c r="AQ103" s="141" t="s">
        <v>736</v>
      </c>
      <c r="AR103" s="141" t="s">
        <v>1295</v>
      </c>
      <c r="AS103" s="141" t="s">
        <v>442</v>
      </c>
      <c r="AT103" s="141"/>
      <c r="AU103" s="141" t="s">
        <v>1647</v>
      </c>
      <c r="AV103" s="141" t="s">
        <v>660</v>
      </c>
      <c r="AW103" s="141" t="s">
        <v>1649</v>
      </c>
      <c r="AX103" s="141" t="s">
        <v>1578</v>
      </c>
      <c r="AY103" s="141" t="s">
        <v>1650</v>
      </c>
      <c r="AZ103" s="141" t="s">
        <v>891</v>
      </c>
      <c r="BA103" s="141" t="s">
        <v>1651</v>
      </c>
      <c r="BB103" s="141" t="s">
        <v>893</v>
      </c>
      <c r="BC103" s="141" t="s">
        <v>1267</v>
      </c>
      <c r="BD103" s="141" t="s">
        <v>777</v>
      </c>
      <c r="BE103" s="141" t="s">
        <v>1652</v>
      </c>
      <c r="BF103" s="141" t="s">
        <v>779</v>
      </c>
      <c r="BG103" s="141" t="s">
        <v>813</v>
      </c>
      <c r="BH103" s="141" t="s">
        <v>780</v>
      </c>
      <c r="BI103" s="141" t="s">
        <v>1653</v>
      </c>
      <c r="BJ103" s="141" t="s">
        <v>572</v>
      </c>
      <c r="BK103" s="141" t="s">
        <v>1654</v>
      </c>
      <c r="BL103" s="141" t="s">
        <v>784</v>
      </c>
      <c r="BM103" s="141" t="s">
        <v>1655</v>
      </c>
      <c r="BN103" s="141" t="s">
        <v>1587</v>
      </c>
      <c r="BO103" s="141" t="s">
        <v>1656</v>
      </c>
      <c r="BP103" s="141" t="s">
        <v>913</v>
      </c>
      <c r="BQ103" s="141" t="s">
        <v>1657</v>
      </c>
      <c r="BR103" s="141" t="s">
        <v>788</v>
      </c>
      <c r="BS103" s="141" t="s">
        <v>1658</v>
      </c>
      <c r="BT103" s="141" t="s">
        <v>383</v>
      </c>
      <c r="BU103" s="141" t="s">
        <v>1659</v>
      </c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73"/>
    </row>
    <row r="104" spans="2:105" x14ac:dyDescent="0.25">
      <c r="B104" s="172"/>
      <c r="C104" s="141" t="s">
        <v>1660</v>
      </c>
      <c r="D104" s="141" t="s">
        <v>1661</v>
      </c>
      <c r="E104" s="141" t="s">
        <v>1662</v>
      </c>
      <c r="F104" s="141" t="s">
        <v>1663</v>
      </c>
      <c r="G104" s="141"/>
      <c r="H104" s="141" t="s">
        <v>354</v>
      </c>
      <c r="I104" s="141"/>
      <c r="J104" s="141" t="s">
        <v>355</v>
      </c>
      <c r="K104" s="141" t="s">
        <v>1664</v>
      </c>
      <c r="L104" s="141" t="s">
        <v>1665</v>
      </c>
      <c r="M104" s="141" t="s">
        <v>1666</v>
      </c>
      <c r="N104" s="141" t="s">
        <v>355</v>
      </c>
      <c r="O104" s="141" t="s">
        <v>409</v>
      </c>
      <c r="P104" s="141" t="s">
        <v>410</v>
      </c>
      <c r="Q104" s="141" t="s">
        <v>410</v>
      </c>
      <c r="R104" s="141" t="s">
        <v>362</v>
      </c>
      <c r="S104" s="141" t="s">
        <v>392</v>
      </c>
      <c r="T104" s="141" t="s">
        <v>1575</v>
      </c>
      <c r="U104" s="141" t="s">
        <v>1575</v>
      </c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 t="s">
        <v>355</v>
      </c>
      <c r="AL104" s="141" t="s">
        <v>365</v>
      </c>
      <c r="AM104" s="141" t="s">
        <v>355</v>
      </c>
      <c r="AN104" s="141" t="s">
        <v>901</v>
      </c>
      <c r="AO104" s="141" t="s">
        <v>1575</v>
      </c>
      <c r="AP104" s="141" t="s">
        <v>1576</v>
      </c>
      <c r="AQ104" s="141" t="s">
        <v>736</v>
      </c>
      <c r="AR104" s="141" t="s">
        <v>1295</v>
      </c>
      <c r="AS104" s="141" t="s">
        <v>392</v>
      </c>
      <c r="AT104" s="141"/>
      <c r="AU104" s="141" t="s">
        <v>1665</v>
      </c>
      <c r="AV104" s="141" t="s">
        <v>660</v>
      </c>
      <c r="AW104" s="141" t="s">
        <v>1667</v>
      </c>
      <c r="AX104" s="141" t="s">
        <v>1578</v>
      </c>
      <c r="AY104" s="141" t="s">
        <v>1668</v>
      </c>
      <c r="AZ104" s="141" t="s">
        <v>891</v>
      </c>
      <c r="BA104" s="141" t="s">
        <v>1669</v>
      </c>
      <c r="BB104" s="141" t="s">
        <v>893</v>
      </c>
      <c r="BC104" s="141" t="s">
        <v>1670</v>
      </c>
      <c r="BD104" s="141" t="s">
        <v>777</v>
      </c>
      <c r="BE104" s="141" t="s">
        <v>746</v>
      </c>
      <c r="BF104" s="141" t="s">
        <v>779</v>
      </c>
      <c r="BG104" s="141" t="s">
        <v>1671</v>
      </c>
      <c r="BH104" s="141" t="s">
        <v>780</v>
      </c>
      <c r="BI104" s="141" t="s">
        <v>1586</v>
      </c>
      <c r="BJ104" s="141" t="s">
        <v>572</v>
      </c>
      <c r="BK104" s="141" t="s">
        <v>1672</v>
      </c>
      <c r="BL104" s="141" t="s">
        <v>784</v>
      </c>
      <c r="BM104" s="141" t="s">
        <v>1673</v>
      </c>
      <c r="BN104" s="141" t="s">
        <v>1587</v>
      </c>
      <c r="BO104" s="141" t="s">
        <v>1674</v>
      </c>
      <c r="BP104" s="141" t="s">
        <v>913</v>
      </c>
      <c r="BQ104" s="141" t="s">
        <v>1675</v>
      </c>
      <c r="BR104" s="141" t="s">
        <v>788</v>
      </c>
      <c r="BS104" s="141" t="s">
        <v>1676</v>
      </c>
      <c r="BT104" s="141" t="s">
        <v>383</v>
      </c>
      <c r="BU104" s="141" t="s">
        <v>1677</v>
      </c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73"/>
    </row>
    <row r="105" spans="2:105" x14ac:dyDescent="0.25">
      <c r="B105" s="172"/>
      <c r="C105" s="141" t="s">
        <v>1678</v>
      </c>
      <c r="D105" s="141" t="s">
        <v>1679</v>
      </c>
      <c r="E105" s="141" t="s">
        <v>1680</v>
      </c>
      <c r="F105" s="141" t="s">
        <v>438</v>
      </c>
      <c r="G105" s="141"/>
      <c r="H105" s="141" t="s">
        <v>354</v>
      </c>
      <c r="I105" s="141"/>
      <c r="J105" s="141" t="s">
        <v>355</v>
      </c>
      <c r="K105" s="141" t="s">
        <v>1681</v>
      </c>
      <c r="L105" s="141" t="s">
        <v>1682</v>
      </c>
      <c r="M105" s="141" t="s">
        <v>1064</v>
      </c>
      <c r="N105" s="141" t="s">
        <v>355</v>
      </c>
      <c r="O105" s="141" t="s">
        <v>370</v>
      </c>
      <c r="P105" s="141" t="s">
        <v>529</v>
      </c>
      <c r="Q105" s="141" t="s">
        <v>530</v>
      </c>
      <c r="R105" s="141" t="s">
        <v>362</v>
      </c>
      <c r="S105" s="141" t="s">
        <v>392</v>
      </c>
      <c r="T105" s="141" t="s">
        <v>1575</v>
      </c>
      <c r="U105" s="141" t="s">
        <v>1575</v>
      </c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 t="s">
        <v>355</v>
      </c>
      <c r="AL105" s="141" t="s">
        <v>365</v>
      </c>
      <c r="AM105" s="141" t="s">
        <v>355</v>
      </c>
      <c r="AN105" s="141" t="s">
        <v>901</v>
      </c>
      <c r="AO105" s="141" t="s">
        <v>1575</v>
      </c>
      <c r="AP105" s="141" t="s">
        <v>1576</v>
      </c>
      <c r="AQ105" s="141" t="s">
        <v>736</v>
      </c>
      <c r="AR105" s="141" t="s">
        <v>1295</v>
      </c>
      <c r="AS105" s="141" t="s">
        <v>369</v>
      </c>
      <c r="AT105" s="141"/>
      <c r="AU105" s="141" t="s">
        <v>1682</v>
      </c>
      <c r="AV105" s="141" t="s">
        <v>660</v>
      </c>
      <c r="AW105" s="141" t="s">
        <v>1683</v>
      </c>
      <c r="AX105" s="141" t="s">
        <v>1578</v>
      </c>
      <c r="AY105" s="141" t="s">
        <v>1684</v>
      </c>
      <c r="AZ105" s="141" t="s">
        <v>891</v>
      </c>
      <c r="BA105" s="141" t="s">
        <v>1685</v>
      </c>
      <c r="BB105" s="141" t="s">
        <v>893</v>
      </c>
      <c r="BC105" s="141" t="s">
        <v>1686</v>
      </c>
      <c r="BD105" s="141" t="s">
        <v>777</v>
      </c>
      <c r="BE105" s="141" t="s">
        <v>1687</v>
      </c>
      <c r="BF105" s="141" t="s">
        <v>779</v>
      </c>
      <c r="BG105" s="141" t="s">
        <v>1688</v>
      </c>
      <c r="BH105" s="141" t="s">
        <v>780</v>
      </c>
      <c r="BI105" s="141" t="s">
        <v>1689</v>
      </c>
      <c r="BJ105" s="141" t="s">
        <v>572</v>
      </c>
      <c r="BK105" s="141" t="s">
        <v>1690</v>
      </c>
      <c r="BL105" s="141" t="s">
        <v>784</v>
      </c>
      <c r="BM105" s="141" t="s">
        <v>1691</v>
      </c>
      <c r="BN105" s="141" t="s">
        <v>1587</v>
      </c>
      <c r="BO105" s="141" t="s">
        <v>1692</v>
      </c>
      <c r="BP105" s="141" t="s">
        <v>913</v>
      </c>
      <c r="BQ105" s="141" t="s">
        <v>1693</v>
      </c>
      <c r="BR105" s="141" t="s">
        <v>788</v>
      </c>
      <c r="BS105" s="141" t="s">
        <v>1694</v>
      </c>
      <c r="BT105" s="141" t="s">
        <v>383</v>
      </c>
      <c r="BU105" s="141" t="s">
        <v>1695</v>
      </c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73"/>
    </row>
    <row r="106" spans="2:105" x14ac:dyDescent="0.25">
      <c r="B106" s="172"/>
      <c r="C106" s="141" t="s">
        <v>1696</v>
      </c>
      <c r="D106" s="141" t="s">
        <v>1697</v>
      </c>
      <c r="E106" s="141" t="s">
        <v>1698</v>
      </c>
      <c r="F106" s="141" t="s">
        <v>438</v>
      </c>
      <c r="G106" s="141"/>
      <c r="H106" s="141" t="s">
        <v>354</v>
      </c>
      <c r="I106" s="141"/>
      <c r="J106" s="141" t="s">
        <v>355</v>
      </c>
      <c r="K106" s="141" t="s">
        <v>1699</v>
      </c>
      <c r="L106" s="141" t="s">
        <v>1700</v>
      </c>
      <c r="M106" s="141" t="s">
        <v>1701</v>
      </c>
      <c r="N106" s="141" t="s">
        <v>355</v>
      </c>
      <c r="O106" s="141" t="s">
        <v>370</v>
      </c>
      <c r="P106" s="141" t="s">
        <v>529</v>
      </c>
      <c r="Q106" s="141" t="s">
        <v>530</v>
      </c>
      <c r="R106" s="141" t="s">
        <v>362</v>
      </c>
      <c r="S106" s="141" t="s">
        <v>392</v>
      </c>
      <c r="T106" s="141" t="s">
        <v>1575</v>
      </c>
      <c r="U106" s="141" t="s">
        <v>1575</v>
      </c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 t="s">
        <v>355</v>
      </c>
      <c r="AL106" s="141" t="s">
        <v>365</v>
      </c>
      <c r="AM106" s="141" t="s">
        <v>355</v>
      </c>
      <c r="AN106" s="141" t="s">
        <v>901</v>
      </c>
      <c r="AO106" s="141" t="s">
        <v>1575</v>
      </c>
      <c r="AP106" s="141" t="s">
        <v>1576</v>
      </c>
      <c r="AQ106" s="141" t="s">
        <v>736</v>
      </c>
      <c r="AR106" s="141" t="s">
        <v>1295</v>
      </c>
      <c r="AS106" s="141" t="s">
        <v>409</v>
      </c>
      <c r="AT106" s="141"/>
      <c r="AU106" s="141" t="s">
        <v>1700</v>
      </c>
      <c r="AV106" s="141" t="s">
        <v>660</v>
      </c>
      <c r="AW106" s="141" t="s">
        <v>1702</v>
      </c>
      <c r="AX106" s="141" t="s">
        <v>1578</v>
      </c>
      <c r="AY106" s="141" t="s">
        <v>1703</v>
      </c>
      <c r="AZ106" s="141" t="s">
        <v>891</v>
      </c>
      <c r="BA106" s="141" t="s">
        <v>1704</v>
      </c>
      <c r="BB106" s="141" t="s">
        <v>893</v>
      </c>
      <c r="BC106" s="141" t="s">
        <v>399</v>
      </c>
      <c r="BD106" s="141" t="s">
        <v>777</v>
      </c>
      <c r="BE106" s="141" t="s">
        <v>1705</v>
      </c>
      <c r="BF106" s="141" t="s">
        <v>779</v>
      </c>
      <c r="BG106" s="141" t="s">
        <v>783</v>
      </c>
      <c r="BH106" s="141" t="s">
        <v>780</v>
      </c>
      <c r="BI106" s="141" t="s">
        <v>1706</v>
      </c>
      <c r="BJ106" s="141" t="s">
        <v>572</v>
      </c>
      <c r="BK106" s="141" t="s">
        <v>1707</v>
      </c>
      <c r="BL106" s="141" t="s">
        <v>784</v>
      </c>
      <c r="BM106" s="141" t="s">
        <v>1708</v>
      </c>
      <c r="BN106" s="141" t="s">
        <v>1587</v>
      </c>
      <c r="BO106" s="141" t="s">
        <v>1709</v>
      </c>
      <c r="BP106" s="141" t="s">
        <v>913</v>
      </c>
      <c r="BQ106" s="141" t="s">
        <v>723</v>
      </c>
      <c r="BR106" s="141" t="s">
        <v>788</v>
      </c>
      <c r="BS106" s="141" t="s">
        <v>998</v>
      </c>
      <c r="BT106" s="141" t="s">
        <v>383</v>
      </c>
      <c r="BU106" s="141" t="s">
        <v>477</v>
      </c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73"/>
    </row>
    <row r="107" spans="2:105" x14ac:dyDescent="0.25">
      <c r="B107" s="172"/>
      <c r="C107" s="141" t="s">
        <v>1710</v>
      </c>
      <c r="D107" s="141" t="s">
        <v>1711</v>
      </c>
      <c r="E107" s="141" t="s">
        <v>1712</v>
      </c>
      <c r="F107" s="141" t="s">
        <v>1713</v>
      </c>
      <c r="G107" s="141"/>
      <c r="H107" s="141" t="s">
        <v>354</v>
      </c>
      <c r="I107" s="141"/>
      <c r="J107" s="141" t="s">
        <v>355</v>
      </c>
      <c r="K107" s="141" t="s">
        <v>1714</v>
      </c>
      <c r="L107" s="141" t="s">
        <v>1715</v>
      </c>
      <c r="M107" s="141" t="s">
        <v>1716</v>
      </c>
      <c r="N107" s="141" t="s">
        <v>355</v>
      </c>
      <c r="O107" s="141" t="s">
        <v>370</v>
      </c>
      <c r="P107" s="141" t="s">
        <v>529</v>
      </c>
      <c r="Q107" s="141" t="s">
        <v>530</v>
      </c>
      <c r="R107" s="141" t="s">
        <v>362</v>
      </c>
      <c r="S107" s="141" t="s">
        <v>392</v>
      </c>
      <c r="T107" s="141" t="s">
        <v>1575</v>
      </c>
      <c r="U107" s="141" t="s">
        <v>1575</v>
      </c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 t="s">
        <v>355</v>
      </c>
      <c r="AL107" s="141" t="s">
        <v>365</v>
      </c>
      <c r="AM107" s="141" t="s">
        <v>355</v>
      </c>
      <c r="AN107" s="141" t="s">
        <v>901</v>
      </c>
      <c r="AO107" s="141" t="s">
        <v>1575</v>
      </c>
      <c r="AP107" s="141" t="s">
        <v>1576</v>
      </c>
      <c r="AQ107" s="141" t="s">
        <v>736</v>
      </c>
      <c r="AR107" s="141" t="s">
        <v>1295</v>
      </c>
      <c r="AS107" s="141" t="s">
        <v>491</v>
      </c>
      <c r="AT107" s="141"/>
      <c r="AU107" s="141" t="s">
        <v>1715</v>
      </c>
      <c r="AV107" s="141" t="s">
        <v>660</v>
      </c>
      <c r="AW107" s="141" t="s">
        <v>1717</v>
      </c>
      <c r="AX107" s="141" t="s">
        <v>1578</v>
      </c>
      <c r="AY107" s="141" t="s">
        <v>1718</v>
      </c>
      <c r="AZ107" s="141" t="s">
        <v>891</v>
      </c>
      <c r="BA107" s="141" t="s">
        <v>1719</v>
      </c>
      <c r="BB107" s="141" t="s">
        <v>893</v>
      </c>
      <c r="BC107" s="141" t="s">
        <v>970</v>
      </c>
      <c r="BD107" s="141" t="s">
        <v>777</v>
      </c>
      <c r="BE107" s="141" t="s">
        <v>930</v>
      </c>
      <c r="BF107" s="141" t="s">
        <v>779</v>
      </c>
      <c r="BG107" s="141" t="s">
        <v>1720</v>
      </c>
      <c r="BH107" s="141" t="s">
        <v>780</v>
      </c>
      <c r="BI107" s="141" t="s">
        <v>1721</v>
      </c>
      <c r="BJ107" s="141" t="s">
        <v>572</v>
      </c>
      <c r="BK107" s="141" t="s">
        <v>1722</v>
      </c>
      <c r="BL107" s="141" t="s">
        <v>784</v>
      </c>
      <c r="BM107" s="141" t="s">
        <v>1723</v>
      </c>
      <c r="BN107" s="141" t="s">
        <v>1587</v>
      </c>
      <c r="BO107" s="141" t="s">
        <v>885</v>
      </c>
      <c r="BP107" s="141" t="s">
        <v>913</v>
      </c>
      <c r="BQ107" s="141" t="s">
        <v>1724</v>
      </c>
      <c r="BR107" s="141" t="s">
        <v>788</v>
      </c>
      <c r="BS107" s="141" t="s">
        <v>1725</v>
      </c>
      <c r="BT107" s="141" t="s">
        <v>383</v>
      </c>
      <c r="BU107" s="141" t="s">
        <v>1726</v>
      </c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73"/>
    </row>
    <row r="108" spans="2:105" x14ac:dyDescent="0.25">
      <c r="B108" s="172"/>
      <c r="C108" s="141" t="s">
        <v>1727</v>
      </c>
      <c r="D108" s="141" t="s">
        <v>1728</v>
      </c>
      <c r="E108" s="141" t="s">
        <v>463</v>
      </c>
      <c r="F108" s="141" t="s">
        <v>1729</v>
      </c>
      <c r="G108" s="141"/>
      <c r="H108" s="141" t="s">
        <v>354</v>
      </c>
      <c r="I108" s="141"/>
      <c r="J108" s="141" t="s">
        <v>355</v>
      </c>
      <c r="K108" s="141" t="s">
        <v>1730</v>
      </c>
      <c r="L108" s="141" t="s">
        <v>1731</v>
      </c>
      <c r="M108" s="141" t="s">
        <v>1732</v>
      </c>
      <c r="N108" s="141" t="s">
        <v>355</v>
      </c>
      <c r="O108" s="141" t="s">
        <v>394</v>
      </c>
      <c r="P108" s="141" t="s">
        <v>425</v>
      </c>
      <c r="Q108" s="141" t="s">
        <v>426</v>
      </c>
      <c r="R108" s="141" t="s">
        <v>362</v>
      </c>
      <c r="S108" s="141" t="s">
        <v>392</v>
      </c>
      <c r="T108" s="141" t="s">
        <v>1575</v>
      </c>
      <c r="U108" s="141" t="s">
        <v>1575</v>
      </c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 t="s">
        <v>355</v>
      </c>
      <c r="AL108" s="141" t="s">
        <v>365</v>
      </c>
      <c r="AM108" s="141" t="s">
        <v>355</v>
      </c>
      <c r="AN108" s="141" t="s">
        <v>901</v>
      </c>
      <c r="AO108" s="141" t="s">
        <v>1575</v>
      </c>
      <c r="AP108" s="141" t="s">
        <v>1576</v>
      </c>
      <c r="AQ108" s="141" t="s">
        <v>736</v>
      </c>
      <c r="AR108" s="141" t="s">
        <v>1295</v>
      </c>
      <c r="AS108" s="141" t="s">
        <v>486</v>
      </c>
      <c r="AT108" s="141"/>
      <c r="AU108" s="141" t="s">
        <v>1731</v>
      </c>
      <c r="AV108" s="141" t="s">
        <v>660</v>
      </c>
      <c r="AW108" s="141" t="s">
        <v>1733</v>
      </c>
      <c r="AX108" s="141" t="s">
        <v>1578</v>
      </c>
      <c r="AY108" s="141" t="s">
        <v>690</v>
      </c>
      <c r="AZ108" s="141" t="s">
        <v>891</v>
      </c>
      <c r="BA108" s="141" t="s">
        <v>1734</v>
      </c>
      <c r="BB108" s="141" t="s">
        <v>893</v>
      </c>
      <c r="BC108" s="141" t="s">
        <v>1735</v>
      </c>
      <c r="BD108" s="141" t="s">
        <v>777</v>
      </c>
      <c r="BE108" s="141" t="s">
        <v>564</v>
      </c>
      <c r="BF108" s="141" t="s">
        <v>779</v>
      </c>
      <c r="BG108" s="141" t="s">
        <v>1585</v>
      </c>
      <c r="BH108" s="141" t="s">
        <v>780</v>
      </c>
      <c r="BI108" s="141" t="s">
        <v>1736</v>
      </c>
      <c r="BJ108" s="141" t="s">
        <v>572</v>
      </c>
      <c r="BK108" s="141" t="s">
        <v>1737</v>
      </c>
      <c r="BL108" s="141" t="s">
        <v>784</v>
      </c>
      <c r="BM108" s="141" t="s">
        <v>1738</v>
      </c>
      <c r="BN108" s="141" t="s">
        <v>1587</v>
      </c>
      <c r="BO108" s="141" t="s">
        <v>1739</v>
      </c>
      <c r="BP108" s="141" t="s">
        <v>913</v>
      </c>
      <c r="BQ108" s="141" t="s">
        <v>1740</v>
      </c>
      <c r="BR108" s="141" t="s">
        <v>788</v>
      </c>
      <c r="BS108" s="141" t="s">
        <v>1741</v>
      </c>
      <c r="BT108" s="141" t="s">
        <v>383</v>
      </c>
      <c r="BU108" s="141" t="s">
        <v>1742</v>
      </c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73"/>
    </row>
    <row r="109" spans="2:105" x14ac:dyDescent="0.25">
      <c r="B109" s="172"/>
      <c r="C109" s="141" t="s">
        <v>1743</v>
      </c>
      <c r="D109" s="141" t="s">
        <v>1744</v>
      </c>
      <c r="E109" s="141" t="s">
        <v>1745</v>
      </c>
      <c r="F109" s="141" t="s">
        <v>1029</v>
      </c>
      <c r="G109" s="141"/>
      <c r="H109" s="141" t="s">
        <v>354</v>
      </c>
      <c r="I109" s="141"/>
      <c r="J109" s="141" t="s">
        <v>355</v>
      </c>
      <c r="K109" s="141" t="s">
        <v>1746</v>
      </c>
      <c r="L109" s="141" t="s">
        <v>1747</v>
      </c>
      <c r="M109" s="141" t="s">
        <v>1748</v>
      </c>
      <c r="N109" s="141" t="s">
        <v>355</v>
      </c>
      <c r="O109" s="141" t="s">
        <v>394</v>
      </c>
      <c r="P109" s="141" t="s">
        <v>425</v>
      </c>
      <c r="Q109" s="141" t="s">
        <v>426</v>
      </c>
      <c r="R109" s="141" t="s">
        <v>362</v>
      </c>
      <c r="S109" s="141" t="s">
        <v>392</v>
      </c>
      <c r="T109" s="141" t="s">
        <v>1575</v>
      </c>
      <c r="U109" s="141" t="s">
        <v>1575</v>
      </c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 t="s">
        <v>355</v>
      </c>
      <c r="AL109" s="141" t="s">
        <v>365</v>
      </c>
      <c r="AM109" s="141" t="s">
        <v>355</v>
      </c>
      <c r="AN109" s="141" t="s">
        <v>901</v>
      </c>
      <c r="AO109" s="141" t="s">
        <v>1575</v>
      </c>
      <c r="AP109" s="141" t="s">
        <v>1576</v>
      </c>
      <c r="AQ109" s="141" t="s">
        <v>736</v>
      </c>
      <c r="AR109" s="141" t="s">
        <v>1295</v>
      </c>
      <c r="AS109" s="141" t="s">
        <v>363</v>
      </c>
      <c r="AT109" s="141"/>
      <c r="AU109" s="141" t="s">
        <v>1747</v>
      </c>
      <c r="AV109" s="141" t="s">
        <v>660</v>
      </c>
      <c r="AW109" s="141" t="s">
        <v>1749</v>
      </c>
      <c r="AX109" s="141" t="s">
        <v>1578</v>
      </c>
      <c r="AY109" s="141" t="s">
        <v>1750</v>
      </c>
      <c r="AZ109" s="141" t="s">
        <v>891</v>
      </c>
      <c r="BA109" s="141" t="s">
        <v>1751</v>
      </c>
      <c r="BB109" s="141" t="s">
        <v>893</v>
      </c>
      <c r="BC109" s="141" t="s">
        <v>414</v>
      </c>
      <c r="BD109" s="141" t="s">
        <v>777</v>
      </c>
      <c r="BE109" s="141" t="s">
        <v>1752</v>
      </c>
      <c r="BF109" s="141" t="s">
        <v>779</v>
      </c>
      <c r="BG109" s="141" t="s">
        <v>1753</v>
      </c>
      <c r="BH109" s="141" t="s">
        <v>780</v>
      </c>
      <c r="BI109" s="141" t="s">
        <v>1754</v>
      </c>
      <c r="BJ109" s="141" t="s">
        <v>572</v>
      </c>
      <c r="BK109" s="141" t="s">
        <v>1755</v>
      </c>
      <c r="BL109" s="141" t="s">
        <v>784</v>
      </c>
      <c r="BM109" s="141" t="s">
        <v>1756</v>
      </c>
      <c r="BN109" s="141" t="s">
        <v>1587</v>
      </c>
      <c r="BO109" s="141" t="s">
        <v>1757</v>
      </c>
      <c r="BP109" s="141" t="s">
        <v>913</v>
      </c>
      <c r="BQ109" s="141" t="s">
        <v>1758</v>
      </c>
      <c r="BR109" s="141" t="s">
        <v>788</v>
      </c>
      <c r="BS109" s="141" t="s">
        <v>1352</v>
      </c>
      <c r="BT109" s="141" t="s">
        <v>383</v>
      </c>
      <c r="BU109" s="141" t="s">
        <v>1759</v>
      </c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73"/>
    </row>
    <row r="110" spans="2:105" x14ac:dyDescent="0.25">
      <c r="B110" s="172"/>
      <c r="C110" s="141" t="s">
        <v>1760</v>
      </c>
      <c r="D110" s="141" t="s">
        <v>1761</v>
      </c>
      <c r="E110" s="141" t="s">
        <v>1762</v>
      </c>
      <c r="F110" s="141" t="s">
        <v>1763</v>
      </c>
      <c r="G110" s="141"/>
      <c r="H110" s="141" t="s">
        <v>354</v>
      </c>
      <c r="I110" s="141"/>
      <c r="J110" s="141" t="s">
        <v>355</v>
      </c>
      <c r="K110" s="141" t="s">
        <v>1764</v>
      </c>
      <c r="L110" s="141" t="s">
        <v>1765</v>
      </c>
      <c r="M110" s="141" t="s">
        <v>1766</v>
      </c>
      <c r="N110" s="141" t="s">
        <v>355</v>
      </c>
      <c r="O110" s="141" t="s">
        <v>409</v>
      </c>
      <c r="P110" s="141" t="s">
        <v>410</v>
      </c>
      <c r="Q110" s="141" t="s">
        <v>410</v>
      </c>
      <c r="R110" s="141" t="s">
        <v>362</v>
      </c>
      <c r="S110" s="141" t="s">
        <v>392</v>
      </c>
      <c r="T110" s="141" t="s">
        <v>1575</v>
      </c>
      <c r="U110" s="141" t="s">
        <v>1575</v>
      </c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 t="s">
        <v>355</v>
      </c>
      <c r="AL110" s="141" t="s">
        <v>365</v>
      </c>
      <c r="AM110" s="141" t="s">
        <v>355</v>
      </c>
      <c r="AN110" s="141" t="s">
        <v>901</v>
      </c>
      <c r="AO110" s="141" t="s">
        <v>1575</v>
      </c>
      <c r="AP110" s="141" t="s">
        <v>1576</v>
      </c>
      <c r="AQ110" s="141" t="s">
        <v>736</v>
      </c>
      <c r="AR110" s="141" t="s">
        <v>1295</v>
      </c>
      <c r="AS110" s="141" t="s">
        <v>1280</v>
      </c>
      <c r="AT110" s="141"/>
      <c r="AU110" s="141" t="s">
        <v>1765</v>
      </c>
      <c r="AV110" s="141" t="s">
        <v>660</v>
      </c>
      <c r="AW110" s="141" t="s">
        <v>1767</v>
      </c>
      <c r="AX110" s="141" t="s">
        <v>1578</v>
      </c>
      <c r="AY110" s="141" t="s">
        <v>1768</v>
      </c>
      <c r="AZ110" s="141" t="s">
        <v>891</v>
      </c>
      <c r="BA110" s="141" t="s">
        <v>1769</v>
      </c>
      <c r="BB110" s="141" t="s">
        <v>893</v>
      </c>
      <c r="BC110" s="141" t="s">
        <v>1770</v>
      </c>
      <c r="BD110" s="141" t="s">
        <v>777</v>
      </c>
      <c r="BE110" s="141" t="s">
        <v>1771</v>
      </c>
      <c r="BF110" s="141" t="s">
        <v>779</v>
      </c>
      <c r="BG110" s="141" t="s">
        <v>1772</v>
      </c>
      <c r="BH110" s="141" t="s">
        <v>780</v>
      </c>
      <c r="BI110" s="141" t="s">
        <v>1188</v>
      </c>
      <c r="BJ110" s="141" t="s">
        <v>572</v>
      </c>
      <c r="BK110" s="141" t="s">
        <v>1773</v>
      </c>
      <c r="BL110" s="141" t="s">
        <v>784</v>
      </c>
      <c r="BM110" s="141" t="s">
        <v>1774</v>
      </c>
      <c r="BN110" s="141" t="s">
        <v>1587</v>
      </c>
      <c r="BO110" s="141" t="s">
        <v>1775</v>
      </c>
      <c r="BP110" s="141" t="s">
        <v>913</v>
      </c>
      <c r="BQ110" s="141" t="s">
        <v>1776</v>
      </c>
      <c r="BR110" s="141" t="s">
        <v>788</v>
      </c>
      <c r="BS110" s="141" t="s">
        <v>1777</v>
      </c>
      <c r="BT110" s="141" t="s">
        <v>383</v>
      </c>
      <c r="BU110" s="141" t="s">
        <v>1778</v>
      </c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73"/>
    </row>
    <row r="111" spans="2:105" x14ac:dyDescent="0.25">
      <c r="B111" s="172"/>
      <c r="C111" s="141" t="s">
        <v>1779</v>
      </c>
      <c r="D111" s="141" t="s">
        <v>1780</v>
      </c>
      <c r="E111" s="141" t="s">
        <v>524</v>
      </c>
      <c r="F111" s="141" t="s">
        <v>1029</v>
      </c>
      <c r="G111" s="141"/>
      <c r="H111" s="141" t="s">
        <v>354</v>
      </c>
      <c r="I111" s="141"/>
      <c r="J111" s="141" t="s">
        <v>355</v>
      </c>
      <c r="K111" s="141" t="s">
        <v>1781</v>
      </c>
      <c r="L111" s="141" t="s">
        <v>1782</v>
      </c>
      <c r="M111" s="141" t="s">
        <v>1783</v>
      </c>
      <c r="N111" s="141" t="s">
        <v>355</v>
      </c>
      <c r="O111" s="141" t="s">
        <v>370</v>
      </c>
      <c r="P111" s="141" t="s">
        <v>529</v>
      </c>
      <c r="Q111" s="141" t="s">
        <v>530</v>
      </c>
      <c r="R111" s="141" t="s">
        <v>362</v>
      </c>
      <c r="S111" s="141" t="s">
        <v>392</v>
      </c>
      <c r="T111" s="141" t="s">
        <v>1575</v>
      </c>
      <c r="U111" s="141" t="s">
        <v>1575</v>
      </c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 t="s">
        <v>355</v>
      </c>
      <c r="AL111" s="141" t="s">
        <v>365</v>
      </c>
      <c r="AM111" s="141" t="s">
        <v>355</v>
      </c>
      <c r="AN111" s="141" t="s">
        <v>901</v>
      </c>
      <c r="AO111" s="141" t="s">
        <v>1575</v>
      </c>
      <c r="AP111" s="141" t="s">
        <v>1576</v>
      </c>
      <c r="AQ111" s="141" t="s">
        <v>736</v>
      </c>
      <c r="AR111" s="141" t="s">
        <v>1295</v>
      </c>
      <c r="AS111" s="141" t="s">
        <v>1295</v>
      </c>
      <c r="AT111" s="141"/>
      <c r="AU111" s="141" t="s">
        <v>1782</v>
      </c>
      <c r="AV111" s="141" t="s">
        <v>660</v>
      </c>
      <c r="AW111" s="141" t="s">
        <v>1784</v>
      </c>
      <c r="AX111" s="141" t="s">
        <v>1578</v>
      </c>
      <c r="AY111" s="141" t="s">
        <v>1785</v>
      </c>
      <c r="AZ111" s="141" t="s">
        <v>891</v>
      </c>
      <c r="BA111" s="141" t="s">
        <v>398</v>
      </c>
      <c r="BB111" s="141" t="s">
        <v>893</v>
      </c>
      <c r="BC111" s="141" t="s">
        <v>1786</v>
      </c>
      <c r="BD111" s="141" t="s">
        <v>777</v>
      </c>
      <c r="BE111" s="141" t="s">
        <v>1787</v>
      </c>
      <c r="BF111" s="141" t="s">
        <v>779</v>
      </c>
      <c r="BG111" s="141" t="s">
        <v>1788</v>
      </c>
      <c r="BH111" s="141" t="s">
        <v>780</v>
      </c>
      <c r="BI111" s="141" t="s">
        <v>1789</v>
      </c>
      <c r="BJ111" s="141" t="s">
        <v>572</v>
      </c>
      <c r="BK111" s="141" t="s">
        <v>1790</v>
      </c>
      <c r="BL111" s="141" t="s">
        <v>784</v>
      </c>
      <c r="BM111" s="141" t="s">
        <v>1791</v>
      </c>
      <c r="BN111" s="141" t="s">
        <v>1587</v>
      </c>
      <c r="BO111" s="141" t="s">
        <v>1792</v>
      </c>
      <c r="BP111" s="141" t="s">
        <v>913</v>
      </c>
      <c r="BQ111" s="141" t="s">
        <v>1793</v>
      </c>
      <c r="BR111" s="141" t="s">
        <v>788</v>
      </c>
      <c r="BS111" s="141" t="s">
        <v>1794</v>
      </c>
      <c r="BT111" s="141" t="s">
        <v>383</v>
      </c>
      <c r="BU111" s="141" t="s">
        <v>1795</v>
      </c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73"/>
    </row>
    <row r="112" spans="2:105" x14ac:dyDescent="0.25">
      <c r="B112" s="172"/>
      <c r="C112" s="141" t="s">
        <v>1796</v>
      </c>
      <c r="D112" s="141" t="s">
        <v>893</v>
      </c>
      <c r="E112" s="141" t="s">
        <v>1797</v>
      </c>
      <c r="F112" s="141" t="s">
        <v>605</v>
      </c>
      <c r="G112" s="141"/>
      <c r="H112" s="141" t="s">
        <v>354</v>
      </c>
      <c r="I112" s="141"/>
      <c r="J112" s="141" t="s">
        <v>355</v>
      </c>
      <c r="K112" s="141" t="s">
        <v>1798</v>
      </c>
      <c r="L112" s="141" t="s">
        <v>1799</v>
      </c>
      <c r="M112" s="141" t="s">
        <v>1800</v>
      </c>
      <c r="N112" s="141" t="s">
        <v>355</v>
      </c>
      <c r="O112" s="141" t="s">
        <v>370</v>
      </c>
      <c r="P112" s="141" t="s">
        <v>529</v>
      </c>
      <c r="Q112" s="141" t="s">
        <v>530</v>
      </c>
      <c r="R112" s="141" t="s">
        <v>362</v>
      </c>
      <c r="S112" s="141" t="s">
        <v>392</v>
      </c>
      <c r="T112" s="141" t="s">
        <v>1575</v>
      </c>
      <c r="U112" s="141" t="s">
        <v>1575</v>
      </c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 t="s">
        <v>355</v>
      </c>
      <c r="AL112" s="141" t="s">
        <v>365</v>
      </c>
      <c r="AM112" s="141" t="s">
        <v>355</v>
      </c>
      <c r="AN112" s="141" t="s">
        <v>901</v>
      </c>
      <c r="AO112" s="141" t="s">
        <v>1575</v>
      </c>
      <c r="AP112" s="141" t="s">
        <v>1576</v>
      </c>
      <c r="AQ112" s="141" t="s">
        <v>736</v>
      </c>
      <c r="AR112" s="141" t="s">
        <v>1295</v>
      </c>
      <c r="AS112" s="141" t="s">
        <v>1309</v>
      </c>
      <c r="AT112" s="141"/>
      <c r="AU112" s="141" t="s">
        <v>1799</v>
      </c>
      <c r="AV112" s="141" t="s">
        <v>660</v>
      </c>
      <c r="AW112" s="141" t="s">
        <v>1801</v>
      </c>
      <c r="AX112" s="141" t="s">
        <v>1578</v>
      </c>
      <c r="AY112" s="141" t="s">
        <v>1802</v>
      </c>
      <c r="AZ112" s="141" t="s">
        <v>891</v>
      </c>
      <c r="BA112" s="141" t="s">
        <v>1803</v>
      </c>
      <c r="BB112" s="141" t="s">
        <v>893</v>
      </c>
      <c r="BC112" s="141" t="s">
        <v>1804</v>
      </c>
      <c r="BD112" s="141" t="s">
        <v>777</v>
      </c>
      <c r="BE112" s="141" t="s">
        <v>1805</v>
      </c>
      <c r="BF112" s="141" t="s">
        <v>779</v>
      </c>
      <c r="BG112" s="141" t="s">
        <v>1806</v>
      </c>
      <c r="BH112" s="141" t="s">
        <v>780</v>
      </c>
      <c r="BI112" s="141" t="s">
        <v>582</v>
      </c>
      <c r="BJ112" s="141" t="s">
        <v>572</v>
      </c>
      <c r="BK112" s="141" t="s">
        <v>1415</v>
      </c>
      <c r="BL112" s="141" t="s">
        <v>784</v>
      </c>
      <c r="BM112" s="141" t="s">
        <v>1807</v>
      </c>
      <c r="BN112" s="141" t="s">
        <v>1587</v>
      </c>
      <c r="BO112" s="141" t="s">
        <v>1808</v>
      </c>
      <c r="BP112" s="141" t="s">
        <v>913</v>
      </c>
      <c r="BQ112" s="141" t="s">
        <v>1809</v>
      </c>
      <c r="BR112" s="141" t="s">
        <v>788</v>
      </c>
      <c r="BS112" s="141" t="s">
        <v>1810</v>
      </c>
      <c r="BT112" s="141" t="s">
        <v>383</v>
      </c>
      <c r="BU112" s="141" t="s">
        <v>1811</v>
      </c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73"/>
    </row>
    <row r="113" spans="2:105" x14ac:dyDescent="0.25">
      <c r="B113" s="172"/>
      <c r="C113" s="141" t="s">
        <v>1812</v>
      </c>
      <c r="D113" s="141" t="s">
        <v>1411</v>
      </c>
      <c r="E113" s="141" t="s">
        <v>1813</v>
      </c>
      <c r="F113" s="141" t="s">
        <v>509</v>
      </c>
      <c r="G113" s="141"/>
      <c r="H113" s="141" t="s">
        <v>354</v>
      </c>
      <c r="I113" s="141"/>
      <c r="J113" s="141" t="s">
        <v>355</v>
      </c>
      <c r="K113" s="141" t="s">
        <v>1814</v>
      </c>
      <c r="L113" s="141" t="s">
        <v>1815</v>
      </c>
      <c r="M113" s="141" t="s">
        <v>1816</v>
      </c>
      <c r="N113" s="141" t="s">
        <v>355</v>
      </c>
      <c r="O113" s="141" t="s">
        <v>359</v>
      </c>
      <c r="P113" s="141" t="s">
        <v>360</v>
      </c>
      <c r="Q113" s="141" t="s">
        <v>361</v>
      </c>
      <c r="R113" s="141" t="s">
        <v>362</v>
      </c>
      <c r="S113" s="141" t="s">
        <v>392</v>
      </c>
      <c r="T113" s="141" t="s">
        <v>1575</v>
      </c>
      <c r="U113" s="141" t="s">
        <v>1575</v>
      </c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 t="s">
        <v>355</v>
      </c>
      <c r="AL113" s="141" t="s">
        <v>365</v>
      </c>
      <c r="AM113" s="141" t="s">
        <v>355</v>
      </c>
      <c r="AN113" s="141" t="s">
        <v>901</v>
      </c>
      <c r="AO113" s="141" t="s">
        <v>1575</v>
      </c>
      <c r="AP113" s="141" t="s">
        <v>1576</v>
      </c>
      <c r="AQ113" s="141" t="s">
        <v>736</v>
      </c>
      <c r="AR113" s="141" t="s">
        <v>1295</v>
      </c>
      <c r="AS113" s="141" t="s">
        <v>1325</v>
      </c>
      <c r="AT113" s="141"/>
      <c r="AU113" s="141" t="s">
        <v>1815</v>
      </c>
      <c r="AV113" s="141" t="s">
        <v>660</v>
      </c>
      <c r="AW113" s="141" t="s">
        <v>1817</v>
      </c>
      <c r="AX113" s="141" t="s">
        <v>1578</v>
      </c>
      <c r="AY113" s="141" t="s">
        <v>1818</v>
      </c>
      <c r="AZ113" s="141" t="s">
        <v>891</v>
      </c>
      <c r="BA113" s="141" t="s">
        <v>1819</v>
      </c>
      <c r="BB113" s="141" t="s">
        <v>893</v>
      </c>
      <c r="BC113" s="141" t="s">
        <v>1820</v>
      </c>
      <c r="BD113" s="141" t="s">
        <v>777</v>
      </c>
      <c r="BE113" s="141" t="s">
        <v>1821</v>
      </c>
      <c r="BF113" s="141" t="s">
        <v>779</v>
      </c>
      <c r="BG113" s="141" t="s">
        <v>1822</v>
      </c>
      <c r="BH113" s="141" t="s">
        <v>780</v>
      </c>
      <c r="BI113" s="141" t="s">
        <v>1823</v>
      </c>
      <c r="BJ113" s="141" t="s">
        <v>572</v>
      </c>
      <c r="BK113" s="141" t="s">
        <v>1824</v>
      </c>
      <c r="BL113" s="141" t="s">
        <v>784</v>
      </c>
      <c r="BM113" s="141" t="s">
        <v>1825</v>
      </c>
      <c r="BN113" s="141" t="s">
        <v>1587</v>
      </c>
      <c r="BO113" s="141" t="s">
        <v>1826</v>
      </c>
      <c r="BP113" s="141" t="s">
        <v>913</v>
      </c>
      <c r="BQ113" s="141" t="s">
        <v>1827</v>
      </c>
      <c r="BR113" s="141" t="s">
        <v>788</v>
      </c>
      <c r="BS113" s="141" t="s">
        <v>1828</v>
      </c>
      <c r="BT113" s="141" t="s">
        <v>383</v>
      </c>
      <c r="BU113" s="141" t="s">
        <v>1829</v>
      </c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73"/>
    </row>
    <row r="114" spans="2:105" x14ac:dyDescent="0.25">
      <c r="B114" s="172"/>
      <c r="C114" s="141" t="s">
        <v>1830</v>
      </c>
      <c r="D114" s="141" t="s">
        <v>653</v>
      </c>
      <c r="E114" s="141" t="s">
        <v>1831</v>
      </c>
      <c r="F114" s="141" t="s">
        <v>1832</v>
      </c>
      <c r="G114" s="141"/>
      <c r="H114" s="141" t="s">
        <v>354</v>
      </c>
      <c r="I114" s="141"/>
      <c r="J114" s="141" t="s">
        <v>355</v>
      </c>
      <c r="K114" s="141" t="s">
        <v>1833</v>
      </c>
      <c r="L114" s="141" t="s">
        <v>1834</v>
      </c>
      <c r="M114" s="141" t="s">
        <v>1835</v>
      </c>
      <c r="N114" s="141" t="s">
        <v>355</v>
      </c>
      <c r="O114" s="141" t="s">
        <v>392</v>
      </c>
      <c r="P114" s="141" t="s">
        <v>393</v>
      </c>
      <c r="Q114" s="141" t="s">
        <v>393</v>
      </c>
      <c r="R114" s="141" t="s">
        <v>362</v>
      </c>
      <c r="S114" s="141" t="s">
        <v>392</v>
      </c>
      <c r="T114" s="141" t="s">
        <v>1575</v>
      </c>
      <c r="U114" s="141" t="s">
        <v>1575</v>
      </c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 t="s">
        <v>355</v>
      </c>
      <c r="AL114" s="141" t="s">
        <v>365</v>
      </c>
      <c r="AM114" s="141" t="s">
        <v>355</v>
      </c>
      <c r="AN114" s="141" t="s">
        <v>901</v>
      </c>
      <c r="AO114" s="141" t="s">
        <v>1575</v>
      </c>
      <c r="AP114" s="141" t="s">
        <v>1576</v>
      </c>
      <c r="AQ114" s="141" t="s">
        <v>736</v>
      </c>
      <c r="AR114" s="141" t="s">
        <v>1295</v>
      </c>
      <c r="AS114" s="141" t="s">
        <v>1340</v>
      </c>
      <c r="AT114" s="141"/>
      <c r="AU114" s="141" t="s">
        <v>1834</v>
      </c>
      <c r="AV114" s="141" t="s">
        <v>660</v>
      </c>
      <c r="AW114" s="141" t="s">
        <v>1836</v>
      </c>
      <c r="AX114" s="141" t="s">
        <v>1578</v>
      </c>
      <c r="AY114" s="141" t="s">
        <v>1837</v>
      </c>
      <c r="AZ114" s="141" t="s">
        <v>891</v>
      </c>
      <c r="BA114" s="141" t="s">
        <v>1838</v>
      </c>
      <c r="BB114" s="141" t="s">
        <v>893</v>
      </c>
      <c r="BC114" s="141" t="s">
        <v>785</v>
      </c>
      <c r="BD114" s="141" t="s">
        <v>777</v>
      </c>
      <c r="BE114" s="141" t="s">
        <v>1839</v>
      </c>
      <c r="BF114" s="141" t="s">
        <v>779</v>
      </c>
      <c r="BG114" s="141" t="s">
        <v>1840</v>
      </c>
      <c r="BH114" s="141" t="s">
        <v>780</v>
      </c>
      <c r="BI114" s="141" t="s">
        <v>1841</v>
      </c>
      <c r="BJ114" s="141" t="s">
        <v>572</v>
      </c>
      <c r="BK114" s="141" t="s">
        <v>1842</v>
      </c>
      <c r="BL114" s="141" t="s">
        <v>784</v>
      </c>
      <c r="BM114" s="141" t="s">
        <v>1843</v>
      </c>
      <c r="BN114" s="141" t="s">
        <v>1587</v>
      </c>
      <c r="BO114" s="141" t="s">
        <v>1085</v>
      </c>
      <c r="BP114" s="141" t="s">
        <v>913</v>
      </c>
      <c r="BQ114" s="141" t="s">
        <v>1844</v>
      </c>
      <c r="BR114" s="141" t="s">
        <v>788</v>
      </c>
      <c r="BS114" s="141" t="s">
        <v>1845</v>
      </c>
      <c r="BT114" s="141" t="s">
        <v>383</v>
      </c>
      <c r="BU114" s="141" t="s">
        <v>1846</v>
      </c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73"/>
    </row>
    <row r="115" spans="2:105" x14ac:dyDescent="0.25">
      <c r="B115" s="172"/>
      <c r="C115" s="141" t="s">
        <v>1847</v>
      </c>
      <c r="D115" s="141" t="s">
        <v>1848</v>
      </c>
      <c r="E115" s="141" t="s">
        <v>1849</v>
      </c>
      <c r="F115" s="141" t="s">
        <v>1850</v>
      </c>
      <c r="G115" s="141"/>
      <c r="H115" s="141" t="s">
        <v>354</v>
      </c>
      <c r="I115" s="141"/>
      <c r="J115" s="141" t="s">
        <v>355</v>
      </c>
      <c r="K115" s="141" t="s">
        <v>1851</v>
      </c>
      <c r="L115" s="141" t="s">
        <v>1852</v>
      </c>
      <c r="M115" s="141" t="s">
        <v>1853</v>
      </c>
      <c r="N115" s="141" t="s">
        <v>355</v>
      </c>
      <c r="O115" s="141" t="s">
        <v>370</v>
      </c>
      <c r="P115" s="141" t="s">
        <v>529</v>
      </c>
      <c r="Q115" s="141" t="s">
        <v>530</v>
      </c>
      <c r="R115" s="141" t="s">
        <v>362</v>
      </c>
      <c r="S115" s="141" t="s">
        <v>392</v>
      </c>
      <c r="T115" s="141" t="s">
        <v>1575</v>
      </c>
      <c r="U115" s="141" t="s">
        <v>1575</v>
      </c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 t="s">
        <v>355</v>
      </c>
      <c r="AL115" s="141" t="s">
        <v>365</v>
      </c>
      <c r="AM115" s="141" t="s">
        <v>355</v>
      </c>
      <c r="AN115" s="141" t="s">
        <v>901</v>
      </c>
      <c r="AO115" s="141" t="s">
        <v>1575</v>
      </c>
      <c r="AP115" s="141" t="s">
        <v>1576</v>
      </c>
      <c r="AQ115" s="141" t="s">
        <v>736</v>
      </c>
      <c r="AR115" s="141" t="s">
        <v>1295</v>
      </c>
      <c r="AS115" s="141" t="s">
        <v>890</v>
      </c>
      <c r="AT115" s="141"/>
      <c r="AU115" s="141" t="s">
        <v>1852</v>
      </c>
      <c r="AV115" s="141" t="s">
        <v>660</v>
      </c>
      <c r="AW115" s="141" t="s">
        <v>1213</v>
      </c>
      <c r="AX115" s="141" t="s">
        <v>1578</v>
      </c>
      <c r="AY115" s="141" t="s">
        <v>1854</v>
      </c>
      <c r="AZ115" s="141" t="s">
        <v>891</v>
      </c>
      <c r="BA115" s="141" t="s">
        <v>1855</v>
      </c>
      <c r="BB115" s="141" t="s">
        <v>893</v>
      </c>
      <c r="BC115" s="141" t="s">
        <v>1856</v>
      </c>
      <c r="BD115" s="141" t="s">
        <v>777</v>
      </c>
      <c r="BE115" s="141" t="s">
        <v>1857</v>
      </c>
      <c r="BF115" s="141" t="s">
        <v>779</v>
      </c>
      <c r="BG115" s="141" t="s">
        <v>1858</v>
      </c>
      <c r="BH115" s="141" t="s">
        <v>780</v>
      </c>
      <c r="BI115" s="141" t="s">
        <v>1859</v>
      </c>
      <c r="BJ115" s="141" t="s">
        <v>572</v>
      </c>
      <c r="BK115" s="141" t="s">
        <v>1257</v>
      </c>
      <c r="BL115" s="141" t="s">
        <v>784</v>
      </c>
      <c r="BM115" s="141" t="s">
        <v>1860</v>
      </c>
      <c r="BN115" s="141" t="s">
        <v>1587</v>
      </c>
      <c r="BO115" s="141" t="s">
        <v>1861</v>
      </c>
      <c r="BP115" s="141" t="s">
        <v>913</v>
      </c>
      <c r="BQ115" s="141" t="s">
        <v>1862</v>
      </c>
      <c r="BR115" s="141" t="s">
        <v>788</v>
      </c>
      <c r="BS115" s="141" t="s">
        <v>1361</v>
      </c>
      <c r="BT115" s="141" t="s">
        <v>383</v>
      </c>
      <c r="BU115" s="141" t="s">
        <v>1863</v>
      </c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73"/>
    </row>
    <row r="116" spans="2:105" x14ac:dyDescent="0.25">
      <c r="B116" s="172"/>
      <c r="C116" s="141" t="s">
        <v>1864</v>
      </c>
      <c r="D116" s="141" t="s">
        <v>1865</v>
      </c>
      <c r="E116" s="141" t="s">
        <v>1866</v>
      </c>
      <c r="F116" s="141" t="s">
        <v>1867</v>
      </c>
      <c r="G116" s="141"/>
      <c r="H116" s="141" t="s">
        <v>354</v>
      </c>
      <c r="I116" s="141"/>
      <c r="J116" s="141" t="s">
        <v>355</v>
      </c>
      <c r="K116" s="141" t="s">
        <v>1868</v>
      </c>
      <c r="L116" s="141" t="s">
        <v>1869</v>
      </c>
      <c r="M116" s="141" t="s">
        <v>1870</v>
      </c>
      <c r="N116" s="141" t="s">
        <v>355</v>
      </c>
      <c r="O116" s="141" t="s">
        <v>392</v>
      </c>
      <c r="P116" s="141" t="s">
        <v>393</v>
      </c>
      <c r="Q116" s="141" t="s">
        <v>393</v>
      </c>
      <c r="R116" s="141" t="s">
        <v>362</v>
      </c>
      <c r="S116" s="141" t="s">
        <v>392</v>
      </c>
      <c r="T116" s="141" t="s">
        <v>1575</v>
      </c>
      <c r="U116" s="141" t="s">
        <v>1575</v>
      </c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 t="s">
        <v>355</v>
      </c>
      <c r="AL116" s="141" t="s">
        <v>365</v>
      </c>
      <c r="AM116" s="141" t="s">
        <v>355</v>
      </c>
      <c r="AN116" s="141" t="s">
        <v>901</v>
      </c>
      <c r="AO116" s="141" t="s">
        <v>1575</v>
      </c>
      <c r="AP116" s="141" t="s">
        <v>1576</v>
      </c>
      <c r="AQ116" s="141" t="s">
        <v>736</v>
      </c>
      <c r="AR116" s="141" t="s">
        <v>1295</v>
      </c>
      <c r="AS116" s="141" t="s">
        <v>1368</v>
      </c>
      <c r="AT116" s="141"/>
      <c r="AU116" s="141" t="s">
        <v>1869</v>
      </c>
      <c r="AV116" s="141" t="s">
        <v>660</v>
      </c>
      <c r="AW116" s="141" t="s">
        <v>1871</v>
      </c>
      <c r="AX116" s="141" t="s">
        <v>1578</v>
      </c>
      <c r="AY116" s="141" t="s">
        <v>1872</v>
      </c>
      <c r="AZ116" s="141" t="s">
        <v>891</v>
      </c>
      <c r="BA116" s="141" t="s">
        <v>1873</v>
      </c>
      <c r="BB116" s="141" t="s">
        <v>893</v>
      </c>
      <c r="BC116" s="141" t="s">
        <v>1874</v>
      </c>
      <c r="BD116" s="141" t="s">
        <v>777</v>
      </c>
      <c r="BE116" s="141" t="s">
        <v>1875</v>
      </c>
      <c r="BF116" s="141" t="s">
        <v>779</v>
      </c>
      <c r="BG116" s="141" t="s">
        <v>1203</v>
      </c>
      <c r="BH116" s="141" t="s">
        <v>780</v>
      </c>
      <c r="BI116" s="141" t="s">
        <v>1876</v>
      </c>
      <c r="BJ116" s="141" t="s">
        <v>572</v>
      </c>
      <c r="BK116" s="141" t="s">
        <v>935</v>
      </c>
      <c r="BL116" s="141" t="s">
        <v>784</v>
      </c>
      <c r="BM116" s="141" t="s">
        <v>1514</v>
      </c>
      <c r="BN116" s="141" t="s">
        <v>1587</v>
      </c>
      <c r="BO116" s="141" t="s">
        <v>1877</v>
      </c>
      <c r="BP116" s="141" t="s">
        <v>913</v>
      </c>
      <c r="BQ116" s="141" t="s">
        <v>1878</v>
      </c>
      <c r="BR116" s="141" t="s">
        <v>788</v>
      </c>
      <c r="BS116" s="141" t="s">
        <v>1879</v>
      </c>
      <c r="BT116" s="141" t="s">
        <v>383</v>
      </c>
      <c r="BU116" s="141" t="s">
        <v>1880</v>
      </c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73"/>
    </row>
    <row r="117" spans="2:105" x14ac:dyDescent="0.25">
      <c r="B117" s="172"/>
      <c r="C117" s="141" t="s">
        <v>1881</v>
      </c>
      <c r="D117" s="141" t="s">
        <v>1882</v>
      </c>
      <c r="E117" s="141" t="s">
        <v>1883</v>
      </c>
      <c r="F117" s="141" t="s">
        <v>1249</v>
      </c>
      <c r="G117" s="141"/>
      <c r="H117" s="141" t="s">
        <v>354</v>
      </c>
      <c r="I117" s="141"/>
      <c r="J117" s="141" t="s">
        <v>355</v>
      </c>
      <c r="K117" s="141" t="s">
        <v>1884</v>
      </c>
      <c r="L117" s="141" t="s">
        <v>1885</v>
      </c>
      <c r="M117" s="141" t="s">
        <v>1886</v>
      </c>
      <c r="N117" s="141" t="s">
        <v>355</v>
      </c>
      <c r="O117" s="141" t="s">
        <v>392</v>
      </c>
      <c r="P117" s="141" t="s">
        <v>393</v>
      </c>
      <c r="Q117" s="141" t="s">
        <v>393</v>
      </c>
      <c r="R117" s="141" t="s">
        <v>362</v>
      </c>
      <c r="S117" s="141" t="s">
        <v>392</v>
      </c>
      <c r="T117" s="141" t="s">
        <v>1575</v>
      </c>
      <c r="U117" s="141" t="s">
        <v>1575</v>
      </c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 t="s">
        <v>355</v>
      </c>
      <c r="AL117" s="141" t="s">
        <v>365</v>
      </c>
      <c r="AM117" s="141" t="s">
        <v>355</v>
      </c>
      <c r="AN117" s="141" t="s">
        <v>901</v>
      </c>
      <c r="AO117" s="141" t="s">
        <v>1575</v>
      </c>
      <c r="AP117" s="141" t="s">
        <v>1576</v>
      </c>
      <c r="AQ117" s="141" t="s">
        <v>736</v>
      </c>
      <c r="AR117" s="141" t="s">
        <v>1295</v>
      </c>
      <c r="AS117" s="141" t="s">
        <v>1381</v>
      </c>
      <c r="AT117" s="141"/>
      <c r="AU117" s="141" t="s">
        <v>1885</v>
      </c>
      <c r="AV117" s="141" t="s">
        <v>660</v>
      </c>
      <c r="AW117" s="141" t="s">
        <v>1887</v>
      </c>
      <c r="AX117" s="141" t="s">
        <v>1578</v>
      </c>
      <c r="AY117" s="141" t="s">
        <v>1888</v>
      </c>
      <c r="AZ117" s="141" t="s">
        <v>891</v>
      </c>
      <c r="BA117" s="141" t="s">
        <v>1889</v>
      </c>
      <c r="BB117" s="141" t="s">
        <v>893</v>
      </c>
      <c r="BC117" s="141" t="s">
        <v>1890</v>
      </c>
      <c r="BD117" s="141" t="s">
        <v>777</v>
      </c>
      <c r="BE117" s="141" t="s">
        <v>1891</v>
      </c>
      <c r="BF117" s="141" t="s">
        <v>779</v>
      </c>
      <c r="BG117" s="141" t="s">
        <v>1892</v>
      </c>
      <c r="BH117" s="141" t="s">
        <v>780</v>
      </c>
      <c r="BI117" s="141" t="s">
        <v>1893</v>
      </c>
      <c r="BJ117" s="141" t="s">
        <v>572</v>
      </c>
      <c r="BK117" s="141" t="s">
        <v>1894</v>
      </c>
      <c r="BL117" s="141" t="s">
        <v>784</v>
      </c>
      <c r="BM117" s="141" t="s">
        <v>1895</v>
      </c>
      <c r="BN117" s="141" t="s">
        <v>1587</v>
      </c>
      <c r="BO117" s="141" t="s">
        <v>1896</v>
      </c>
      <c r="BP117" s="141" t="s">
        <v>913</v>
      </c>
      <c r="BQ117" s="141" t="s">
        <v>1897</v>
      </c>
      <c r="BR117" s="141" t="s">
        <v>788</v>
      </c>
      <c r="BS117" s="141" t="s">
        <v>1898</v>
      </c>
      <c r="BT117" s="141" t="s">
        <v>383</v>
      </c>
      <c r="BU117" s="141" t="s">
        <v>1471</v>
      </c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73"/>
    </row>
    <row r="118" spans="2:105" x14ac:dyDescent="0.25">
      <c r="B118" s="172"/>
      <c r="C118" s="141"/>
      <c r="D118" s="141" t="s">
        <v>1899</v>
      </c>
      <c r="E118" s="141"/>
      <c r="F118" s="141" t="s">
        <v>467</v>
      </c>
      <c r="G118" s="141"/>
      <c r="H118" s="141" t="s">
        <v>354</v>
      </c>
      <c r="I118" s="141"/>
      <c r="J118" s="141" t="s">
        <v>355</v>
      </c>
      <c r="K118" s="141" t="s">
        <v>1900</v>
      </c>
      <c r="L118" s="141"/>
      <c r="M118" s="141"/>
      <c r="N118" s="141" t="s">
        <v>355</v>
      </c>
      <c r="O118" s="141"/>
      <c r="P118" s="141"/>
      <c r="Q118" s="141"/>
      <c r="R118" s="141"/>
      <c r="S118" s="141" t="s">
        <v>392</v>
      </c>
      <c r="T118" s="141" t="s">
        <v>1575</v>
      </c>
      <c r="U118" s="141" t="s">
        <v>1575</v>
      </c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 t="s">
        <v>355</v>
      </c>
      <c r="AL118" s="141" t="s">
        <v>365</v>
      </c>
      <c r="AM118" s="141" t="s">
        <v>355</v>
      </c>
      <c r="AN118" s="141" t="s">
        <v>901</v>
      </c>
      <c r="AO118" s="141" t="s">
        <v>1575</v>
      </c>
      <c r="AP118" s="141" t="s">
        <v>1576</v>
      </c>
      <c r="AQ118" s="141" t="s">
        <v>736</v>
      </c>
      <c r="AR118" s="141" t="s">
        <v>1295</v>
      </c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73"/>
    </row>
    <row r="119" spans="2:105" x14ac:dyDescent="0.25">
      <c r="B119" s="172"/>
      <c r="C119" s="141" t="s">
        <v>1901</v>
      </c>
      <c r="D119" s="141" t="s">
        <v>1902</v>
      </c>
      <c r="E119" s="141" t="s">
        <v>1903</v>
      </c>
      <c r="F119" s="141" t="s">
        <v>1904</v>
      </c>
      <c r="G119" s="141"/>
      <c r="H119" s="141" t="s">
        <v>354</v>
      </c>
      <c r="I119" s="141"/>
      <c r="J119" s="141" t="s">
        <v>355</v>
      </c>
      <c r="K119" s="141" t="s">
        <v>1416</v>
      </c>
      <c r="L119" s="141"/>
      <c r="M119" s="141"/>
      <c r="N119" s="141" t="s">
        <v>370</v>
      </c>
      <c r="O119" s="141" t="s">
        <v>392</v>
      </c>
      <c r="P119" s="141" t="s">
        <v>393</v>
      </c>
      <c r="Q119" s="141" t="s">
        <v>393</v>
      </c>
      <c r="R119" s="141" t="s">
        <v>362</v>
      </c>
      <c r="S119" s="141" t="s">
        <v>392</v>
      </c>
      <c r="T119" s="141" t="s">
        <v>1575</v>
      </c>
      <c r="U119" s="141" t="s">
        <v>1575</v>
      </c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 t="s">
        <v>355</v>
      </c>
      <c r="AL119" s="141" t="s">
        <v>365</v>
      </c>
      <c r="AM119" s="141" t="s">
        <v>355</v>
      </c>
      <c r="AN119" s="141" t="s">
        <v>901</v>
      </c>
      <c r="AO119" s="141" t="s">
        <v>1575</v>
      </c>
      <c r="AP119" s="141" t="s">
        <v>1576</v>
      </c>
      <c r="AQ119" s="141" t="s">
        <v>736</v>
      </c>
      <c r="AR119" s="141" t="s">
        <v>1295</v>
      </c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73"/>
    </row>
    <row r="120" spans="2:105" x14ac:dyDescent="0.25">
      <c r="B120" s="172"/>
      <c r="C120" s="141" t="s">
        <v>1905</v>
      </c>
      <c r="D120" s="141" t="s">
        <v>375</v>
      </c>
      <c r="E120" s="141" t="s">
        <v>765</v>
      </c>
      <c r="F120" s="141" t="s">
        <v>1867</v>
      </c>
      <c r="G120" s="141"/>
      <c r="H120" s="141" t="s">
        <v>354</v>
      </c>
      <c r="I120" s="141"/>
      <c r="J120" s="141" t="s">
        <v>355</v>
      </c>
      <c r="K120" s="141" t="s">
        <v>1906</v>
      </c>
      <c r="L120" s="141" t="s">
        <v>1907</v>
      </c>
      <c r="M120" s="141" t="s">
        <v>1908</v>
      </c>
      <c r="N120" s="141" t="s">
        <v>355</v>
      </c>
      <c r="O120" s="141" t="s">
        <v>394</v>
      </c>
      <c r="P120" s="141" t="s">
        <v>425</v>
      </c>
      <c r="Q120" s="141" t="s">
        <v>426</v>
      </c>
      <c r="R120" s="141" t="s">
        <v>362</v>
      </c>
      <c r="S120" s="141" t="s">
        <v>442</v>
      </c>
      <c r="T120" s="141" t="s">
        <v>1909</v>
      </c>
      <c r="U120" s="141" t="s">
        <v>1909</v>
      </c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 t="s">
        <v>355</v>
      </c>
      <c r="AL120" s="141" t="s">
        <v>365</v>
      </c>
      <c r="AM120" s="141" t="s">
        <v>355</v>
      </c>
      <c r="AN120" s="141" t="s">
        <v>905</v>
      </c>
      <c r="AO120" s="141" t="s">
        <v>1909</v>
      </c>
      <c r="AP120" s="141" t="s">
        <v>1910</v>
      </c>
      <c r="AQ120" s="141" t="s">
        <v>1911</v>
      </c>
      <c r="AR120" s="141" t="s">
        <v>409</v>
      </c>
      <c r="AS120" s="141" t="s">
        <v>370</v>
      </c>
      <c r="AT120" s="141"/>
      <c r="AU120" s="141" t="s">
        <v>1907</v>
      </c>
      <c r="AV120" s="141" t="s">
        <v>764</v>
      </c>
      <c r="AW120" s="141" t="s">
        <v>1912</v>
      </c>
      <c r="AX120" s="141" t="s">
        <v>1882</v>
      </c>
      <c r="AY120" s="141" t="s">
        <v>1913</v>
      </c>
      <c r="AZ120" s="141" t="s">
        <v>775</v>
      </c>
      <c r="BA120" s="141" t="s">
        <v>1914</v>
      </c>
      <c r="BB120" s="141" t="s">
        <v>777</v>
      </c>
      <c r="BC120" s="141" t="s">
        <v>1915</v>
      </c>
      <c r="BD120" s="141" t="s">
        <v>779</v>
      </c>
      <c r="BE120" s="141" t="s">
        <v>1916</v>
      </c>
      <c r="BF120" s="141" t="s">
        <v>891</v>
      </c>
      <c r="BG120" s="141" t="s">
        <v>1227</v>
      </c>
      <c r="BH120" s="141" t="s">
        <v>913</v>
      </c>
      <c r="BI120" s="141" t="s">
        <v>1917</v>
      </c>
      <c r="BJ120" s="141" t="s">
        <v>383</v>
      </c>
      <c r="BK120" s="141" t="s">
        <v>1918</v>
      </c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73"/>
    </row>
    <row r="121" spans="2:105" x14ac:dyDescent="0.25">
      <c r="B121" s="172"/>
      <c r="C121" s="141" t="s">
        <v>1919</v>
      </c>
      <c r="D121" s="141" t="s">
        <v>1920</v>
      </c>
      <c r="E121" s="141" t="s">
        <v>1921</v>
      </c>
      <c r="F121" s="141" t="s">
        <v>1306</v>
      </c>
      <c r="G121" s="141"/>
      <c r="H121" s="141" t="s">
        <v>354</v>
      </c>
      <c r="I121" s="141"/>
      <c r="J121" s="141" t="s">
        <v>355</v>
      </c>
      <c r="K121" s="141" t="s">
        <v>1049</v>
      </c>
      <c r="L121" s="141" t="s">
        <v>1922</v>
      </c>
      <c r="M121" s="141" t="s">
        <v>1923</v>
      </c>
      <c r="N121" s="141" t="s">
        <v>355</v>
      </c>
      <c r="O121" s="141" t="s">
        <v>369</v>
      </c>
      <c r="P121" s="141" t="s">
        <v>1924</v>
      </c>
      <c r="Q121" s="141" t="s">
        <v>1925</v>
      </c>
      <c r="R121" s="141" t="s">
        <v>362</v>
      </c>
      <c r="S121" s="141" t="s">
        <v>442</v>
      </c>
      <c r="T121" s="141" t="s">
        <v>1909</v>
      </c>
      <c r="U121" s="141" t="s">
        <v>1909</v>
      </c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 t="s">
        <v>355</v>
      </c>
      <c r="AL121" s="141" t="s">
        <v>365</v>
      </c>
      <c r="AM121" s="141" t="s">
        <v>355</v>
      </c>
      <c r="AN121" s="141" t="s">
        <v>905</v>
      </c>
      <c r="AO121" s="141" t="s">
        <v>1909</v>
      </c>
      <c r="AP121" s="141" t="s">
        <v>1910</v>
      </c>
      <c r="AQ121" s="141" t="s">
        <v>1911</v>
      </c>
      <c r="AR121" s="141" t="s">
        <v>409</v>
      </c>
      <c r="AS121" s="141" t="s">
        <v>394</v>
      </c>
      <c r="AT121" s="141"/>
      <c r="AU121" s="141" t="s">
        <v>1922</v>
      </c>
      <c r="AV121" s="141" t="s">
        <v>764</v>
      </c>
      <c r="AW121" s="141" t="s">
        <v>1597</v>
      </c>
      <c r="AX121" s="141" t="s">
        <v>1882</v>
      </c>
      <c r="AY121" s="141" t="s">
        <v>1926</v>
      </c>
      <c r="AZ121" s="141" t="s">
        <v>775</v>
      </c>
      <c r="BA121" s="141" t="s">
        <v>1927</v>
      </c>
      <c r="BB121" s="141" t="s">
        <v>777</v>
      </c>
      <c r="BC121" s="141" t="s">
        <v>1928</v>
      </c>
      <c r="BD121" s="141" t="s">
        <v>779</v>
      </c>
      <c r="BE121" s="141" t="s">
        <v>1804</v>
      </c>
      <c r="BF121" s="141" t="s">
        <v>891</v>
      </c>
      <c r="BG121" s="141" t="s">
        <v>1929</v>
      </c>
      <c r="BH121" s="141" t="s">
        <v>913</v>
      </c>
      <c r="BI121" s="141" t="s">
        <v>682</v>
      </c>
      <c r="BJ121" s="141" t="s">
        <v>383</v>
      </c>
      <c r="BK121" s="141" t="s">
        <v>902</v>
      </c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73"/>
    </row>
    <row r="122" spans="2:105" x14ac:dyDescent="0.25">
      <c r="B122" s="172"/>
      <c r="C122" s="141" t="s">
        <v>1930</v>
      </c>
      <c r="D122" s="141" t="s">
        <v>1931</v>
      </c>
      <c r="E122" s="141" t="s">
        <v>1932</v>
      </c>
      <c r="F122" s="141" t="s">
        <v>1195</v>
      </c>
      <c r="G122" s="141"/>
      <c r="H122" s="141" t="s">
        <v>354</v>
      </c>
      <c r="I122" s="141"/>
      <c r="J122" s="141" t="s">
        <v>355</v>
      </c>
      <c r="K122" s="141" t="s">
        <v>477</v>
      </c>
      <c r="L122" s="141" t="s">
        <v>1933</v>
      </c>
      <c r="M122" s="141" t="s">
        <v>1934</v>
      </c>
      <c r="N122" s="141" t="s">
        <v>355</v>
      </c>
      <c r="O122" s="141" t="s">
        <v>363</v>
      </c>
      <c r="P122" s="141" t="s">
        <v>1558</v>
      </c>
      <c r="Q122" s="141" t="s">
        <v>1559</v>
      </c>
      <c r="R122" s="141" t="s">
        <v>362</v>
      </c>
      <c r="S122" s="141" t="s">
        <v>442</v>
      </c>
      <c r="T122" s="141" t="s">
        <v>1909</v>
      </c>
      <c r="U122" s="141" t="s">
        <v>1909</v>
      </c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 t="s">
        <v>355</v>
      </c>
      <c r="AL122" s="141" t="s">
        <v>365</v>
      </c>
      <c r="AM122" s="141" t="s">
        <v>355</v>
      </c>
      <c r="AN122" s="141" t="s">
        <v>905</v>
      </c>
      <c r="AO122" s="141" t="s">
        <v>1909</v>
      </c>
      <c r="AP122" s="141" t="s">
        <v>1910</v>
      </c>
      <c r="AQ122" s="141" t="s">
        <v>1911</v>
      </c>
      <c r="AR122" s="141" t="s">
        <v>409</v>
      </c>
      <c r="AS122" s="141" t="s">
        <v>359</v>
      </c>
      <c r="AT122" s="141"/>
      <c r="AU122" s="141" t="s">
        <v>1933</v>
      </c>
      <c r="AV122" s="141" t="s">
        <v>764</v>
      </c>
      <c r="AW122" s="141" t="s">
        <v>1935</v>
      </c>
      <c r="AX122" s="141" t="s">
        <v>1882</v>
      </c>
      <c r="AY122" s="141" t="s">
        <v>1936</v>
      </c>
      <c r="AZ122" s="141" t="s">
        <v>775</v>
      </c>
      <c r="BA122" s="141" t="s">
        <v>1937</v>
      </c>
      <c r="BB122" s="141" t="s">
        <v>777</v>
      </c>
      <c r="BC122" s="141" t="s">
        <v>1938</v>
      </c>
      <c r="BD122" s="141" t="s">
        <v>779</v>
      </c>
      <c r="BE122" s="141" t="s">
        <v>1939</v>
      </c>
      <c r="BF122" s="141" t="s">
        <v>891</v>
      </c>
      <c r="BG122" s="141" t="s">
        <v>1940</v>
      </c>
      <c r="BH122" s="141" t="s">
        <v>913</v>
      </c>
      <c r="BI122" s="141" t="s">
        <v>749</v>
      </c>
      <c r="BJ122" s="141" t="s">
        <v>383</v>
      </c>
      <c r="BK122" s="141" t="s">
        <v>1941</v>
      </c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73"/>
    </row>
    <row r="123" spans="2:105" x14ac:dyDescent="0.25">
      <c r="B123" s="172"/>
      <c r="C123" s="141" t="s">
        <v>1942</v>
      </c>
      <c r="D123" s="141" t="s">
        <v>907</v>
      </c>
      <c r="E123" s="141" t="s">
        <v>1943</v>
      </c>
      <c r="F123" s="141" t="s">
        <v>1944</v>
      </c>
      <c r="G123" s="141"/>
      <c r="H123" s="141" t="s">
        <v>354</v>
      </c>
      <c r="I123" s="141"/>
      <c r="J123" s="141" t="s">
        <v>355</v>
      </c>
      <c r="K123" s="141" t="s">
        <v>1945</v>
      </c>
      <c r="L123" s="141" t="s">
        <v>1946</v>
      </c>
      <c r="M123" s="141" t="s">
        <v>1893</v>
      </c>
      <c r="N123" s="141" t="s">
        <v>355</v>
      </c>
      <c r="O123" s="141" t="s">
        <v>486</v>
      </c>
      <c r="P123" s="141" t="s">
        <v>1631</v>
      </c>
      <c r="Q123" s="141" t="s">
        <v>1632</v>
      </c>
      <c r="R123" s="141" t="s">
        <v>362</v>
      </c>
      <c r="S123" s="141" t="s">
        <v>442</v>
      </c>
      <c r="T123" s="141" t="s">
        <v>1909</v>
      </c>
      <c r="U123" s="141" t="s">
        <v>1909</v>
      </c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 t="s">
        <v>355</v>
      </c>
      <c r="AL123" s="141" t="s">
        <v>365</v>
      </c>
      <c r="AM123" s="141" t="s">
        <v>355</v>
      </c>
      <c r="AN123" s="141" t="s">
        <v>905</v>
      </c>
      <c r="AO123" s="141" t="s">
        <v>1909</v>
      </c>
      <c r="AP123" s="141" t="s">
        <v>1910</v>
      </c>
      <c r="AQ123" s="141" t="s">
        <v>1911</v>
      </c>
      <c r="AR123" s="141" t="s">
        <v>409</v>
      </c>
      <c r="AS123" s="141" t="s">
        <v>427</v>
      </c>
      <c r="AT123" s="141"/>
      <c r="AU123" s="141" t="s">
        <v>1946</v>
      </c>
      <c r="AV123" s="141" t="s">
        <v>764</v>
      </c>
      <c r="AW123" s="141" t="s">
        <v>1947</v>
      </c>
      <c r="AX123" s="141" t="s">
        <v>1882</v>
      </c>
      <c r="AY123" s="141" t="s">
        <v>1948</v>
      </c>
      <c r="AZ123" s="141" t="s">
        <v>775</v>
      </c>
      <c r="BA123" s="141" t="s">
        <v>798</v>
      </c>
      <c r="BB123" s="141" t="s">
        <v>777</v>
      </c>
      <c r="BC123" s="141" t="s">
        <v>1383</v>
      </c>
      <c r="BD123" s="141" t="s">
        <v>779</v>
      </c>
      <c r="BE123" s="141" t="s">
        <v>1949</v>
      </c>
      <c r="BF123" s="141" t="s">
        <v>891</v>
      </c>
      <c r="BG123" s="141" t="s">
        <v>1950</v>
      </c>
      <c r="BH123" s="141" t="s">
        <v>913</v>
      </c>
      <c r="BI123" s="141" t="s">
        <v>1951</v>
      </c>
      <c r="BJ123" s="141" t="s">
        <v>383</v>
      </c>
      <c r="BK123" s="141" t="s">
        <v>1952</v>
      </c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73"/>
    </row>
    <row r="124" spans="2:105" x14ac:dyDescent="0.25">
      <c r="B124" s="172"/>
      <c r="C124" s="141" t="s">
        <v>1953</v>
      </c>
      <c r="D124" s="141" t="s">
        <v>788</v>
      </c>
      <c r="E124" s="141" t="s">
        <v>1954</v>
      </c>
      <c r="F124" s="141" t="s">
        <v>1955</v>
      </c>
      <c r="G124" s="141"/>
      <c r="H124" s="141" t="s">
        <v>354</v>
      </c>
      <c r="I124" s="141"/>
      <c r="J124" s="141" t="s">
        <v>355</v>
      </c>
      <c r="K124" s="141" t="s">
        <v>1956</v>
      </c>
      <c r="L124" s="141" t="s">
        <v>1957</v>
      </c>
      <c r="M124" s="141" t="s">
        <v>1958</v>
      </c>
      <c r="N124" s="141" t="s">
        <v>355</v>
      </c>
      <c r="O124" s="141" t="s">
        <v>370</v>
      </c>
      <c r="P124" s="141" t="s">
        <v>529</v>
      </c>
      <c r="Q124" s="141" t="s">
        <v>530</v>
      </c>
      <c r="R124" s="141" t="s">
        <v>362</v>
      </c>
      <c r="S124" s="141" t="s">
        <v>442</v>
      </c>
      <c r="T124" s="141" t="s">
        <v>1909</v>
      </c>
      <c r="U124" s="141" t="s">
        <v>1909</v>
      </c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 t="s">
        <v>355</v>
      </c>
      <c r="AL124" s="141" t="s">
        <v>365</v>
      </c>
      <c r="AM124" s="141" t="s">
        <v>355</v>
      </c>
      <c r="AN124" s="141" t="s">
        <v>905</v>
      </c>
      <c r="AO124" s="141" t="s">
        <v>1909</v>
      </c>
      <c r="AP124" s="141" t="s">
        <v>1910</v>
      </c>
      <c r="AQ124" s="141" t="s">
        <v>1911</v>
      </c>
      <c r="AR124" s="141" t="s">
        <v>409</v>
      </c>
      <c r="AS124" s="141" t="s">
        <v>442</v>
      </c>
      <c r="AT124" s="141"/>
      <c r="AU124" s="141" t="s">
        <v>1957</v>
      </c>
      <c r="AV124" s="141" t="s">
        <v>764</v>
      </c>
      <c r="AW124" s="141" t="s">
        <v>1959</v>
      </c>
      <c r="AX124" s="141" t="s">
        <v>1882</v>
      </c>
      <c r="AY124" s="141" t="s">
        <v>1960</v>
      </c>
      <c r="AZ124" s="141" t="s">
        <v>775</v>
      </c>
      <c r="BA124" s="141" t="s">
        <v>897</v>
      </c>
      <c r="BB124" s="141" t="s">
        <v>777</v>
      </c>
      <c r="BC124" s="141" t="s">
        <v>1961</v>
      </c>
      <c r="BD124" s="141" t="s">
        <v>779</v>
      </c>
      <c r="BE124" s="141" t="s">
        <v>1962</v>
      </c>
      <c r="BF124" s="141" t="s">
        <v>891</v>
      </c>
      <c r="BG124" s="141" t="s">
        <v>1963</v>
      </c>
      <c r="BH124" s="141" t="s">
        <v>913</v>
      </c>
      <c r="BI124" s="141" t="s">
        <v>1964</v>
      </c>
      <c r="BJ124" s="141" t="s">
        <v>383</v>
      </c>
      <c r="BK124" s="141" t="s">
        <v>1965</v>
      </c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73"/>
    </row>
    <row r="125" spans="2:105" x14ac:dyDescent="0.25">
      <c r="B125" s="172"/>
      <c r="C125" s="141" t="s">
        <v>1966</v>
      </c>
      <c r="D125" s="141" t="s">
        <v>1967</v>
      </c>
      <c r="E125" s="141" t="s">
        <v>728</v>
      </c>
      <c r="F125" s="141" t="s">
        <v>1968</v>
      </c>
      <c r="G125" s="141"/>
      <c r="H125" s="141" t="s">
        <v>354</v>
      </c>
      <c r="I125" s="141"/>
      <c r="J125" s="141" t="s">
        <v>355</v>
      </c>
      <c r="K125" s="141" t="s">
        <v>1879</v>
      </c>
      <c r="L125" s="141" t="s">
        <v>1969</v>
      </c>
      <c r="M125" s="141" t="s">
        <v>858</v>
      </c>
      <c r="N125" s="141" t="s">
        <v>355</v>
      </c>
      <c r="O125" s="141" t="s">
        <v>427</v>
      </c>
      <c r="P125" s="141" t="s">
        <v>455</v>
      </c>
      <c r="Q125" s="141" t="s">
        <v>456</v>
      </c>
      <c r="R125" s="141" t="s">
        <v>362</v>
      </c>
      <c r="S125" s="141" t="s">
        <v>442</v>
      </c>
      <c r="T125" s="141" t="s">
        <v>1909</v>
      </c>
      <c r="U125" s="141" t="s">
        <v>1909</v>
      </c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 t="s">
        <v>355</v>
      </c>
      <c r="AL125" s="141" t="s">
        <v>365</v>
      </c>
      <c r="AM125" s="141" t="s">
        <v>355</v>
      </c>
      <c r="AN125" s="141" t="s">
        <v>905</v>
      </c>
      <c r="AO125" s="141" t="s">
        <v>1909</v>
      </c>
      <c r="AP125" s="141" t="s">
        <v>1910</v>
      </c>
      <c r="AQ125" s="141" t="s">
        <v>1911</v>
      </c>
      <c r="AR125" s="141" t="s">
        <v>409</v>
      </c>
      <c r="AS125" s="141" t="s">
        <v>392</v>
      </c>
      <c r="AT125" s="141"/>
      <c r="AU125" s="141" t="s">
        <v>1969</v>
      </c>
      <c r="AV125" s="141" t="s">
        <v>764</v>
      </c>
      <c r="AW125" s="141" t="s">
        <v>1970</v>
      </c>
      <c r="AX125" s="141" t="s">
        <v>1882</v>
      </c>
      <c r="AY125" s="141" t="s">
        <v>1971</v>
      </c>
      <c r="AZ125" s="141" t="s">
        <v>775</v>
      </c>
      <c r="BA125" s="141" t="s">
        <v>1972</v>
      </c>
      <c r="BB125" s="141" t="s">
        <v>777</v>
      </c>
      <c r="BC125" s="141" t="s">
        <v>1973</v>
      </c>
      <c r="BD125" s="141" t="s">
        <v>779</v>
      </c>
      <c r="BE125" s="141" t="s">
        <v>1805</v>
      </c>
      <c r="BF125" s="141" t="s">
        <v>891</v>
      </c>
      <c r="BG125" s="141" t="s">
        <v>1974</v>
      </c>
      <c r="BH125" s="141" t="s">
        <v>913</v>
      </c>
      <c r="BI125" s="141" t="s">
        <v>1975</v>
      </c>
      <c r="BJ125" s="141" t="s">
        <v>383</v>
      </c>
      <c r="BK125" s="141" t="s">
        <v>1976</v>
      </c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73"/>
    </row>
    <row r="126" spans="2:105" x14ac:dyDescent="0.25">
      <c r="B126" s="172"/>
      <c r="C126" s="141" t="s">
        <v>1977</v>
      </c>
      <c r="D126" s="141" t="s">
        <v>1978</v>
      </c>
      <c r="E126" s="141" t="s">
        <v>1979</v>
      </c>
      <c r="F126" s="141" t="s">
        <v>1980</v>
      </c>
      <c r="G126" s="141"/>
      <c r="H126" s="141" t="s">
        <v>354</v>
      </c>
      <c r="I126" s="141"/>
      <c r="J126" s="141" t="s">
        <v>355</v>
      </c>
      <c r="K126" s="141" t="s">
        <v>1981</v>
      </c>
      <c r="L126" s="141" t="s">
        <v>1982</v>
      </c>
      <c r="M126" s="141" t="s">
        <v>1983</v>
      </c>
      <c r="N126" s="141" t="s">
        <v>355</v>
      </c>
      <c r="O126" s="141" t="s">
        <v>392</v>
      </c>
      <c r="P126" s="141" t="s">
        <v>393</v>
      </c>
      <c r="Q126" s="141" t="s">
        <v>393</v>
      </c>
      <c r="R126" s="141" t="s">
        <v>362</v>
      </c>
      <c r="S126" s="141" t="s">
        <v>442</v>
      </c>
      <c r="T126" s="141" t="s">
        <v>1909</v>
      </c>
      <c r="U126" s="141" t="s">
        <v>1909</v>
      </c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 t="s">
        <v>355</v>
      </c>
      <c r="AL126" s="141" t="s">
        <v>365</v>
      </c>
      <c r="AM126" s="141" t="s">
        <v>355</v>
      </c>
      <c r="AN126" s="141" t="s">
        <v>905</v>
      </c>
      <c r="AO126" s="141" t="s">
        <v>1909</v>
      </c>
      <c r="AP126" s="141" t="s">
        <v>1910</v>
      </c>
      <c r="AQ126" s="141" t="s">
        <v>1911</v>
      </c>
      <c r="AR126" s="141" t="s">
        <v>409</v>
      </c>
      <c r="AS126" s="141" t="s">
        <v>369</v>
      </c>
      <c r="AT126" s="141"/>
      <c r="AU126" s="141" t="s">
        <v>1982</v>
      </c>
      <c r="AV126" s="141" t="s">
        <v>764</v>
      </c>
      <c r="AW126" s="141" t="s">
        <v>1984</v>
      </c>
      <c r="AX126" s="141" t="s">
        <v>1882</v>
      </c>
      <c r="AY126" s="141" t="s">
        <v>1985</v>
      </c>
      <c r="AZ126" s="141" t="s">
        <v>775</v>
      </c>
      <c r="BA126" s="141" t="s">
        <v>1186</v>
      </c>
      <c r="BB126" s="141" t="s">
        <v>777</v>
      </c>
      <c r="BC126" s="141" t="s">
        <v>1986</v>
      </c>
      <c r="BD126" s="141" t="s">
        <v>779</v>
      </c>
      <c r="BE126" s="141" t="s">
        <v>1987</v>
      </c>
      <c r="BF126" s="141" t="s">
        <v>891</v>
      </c>
      <c r="BG126" s="141" t="s">
        <v>1988</v>
      </c>
      <c r="BH126" s="141" t="s">
        <v>913</v>
      </c>
      <c r="BI126" s="141" t="s">
        <v>1989</v>
      </c>
      <c r="BJ126" s="141" t="s">
        <v>383</v>
      </c>
      <c r="BK126" s="141" t="s">
        <v>1990</v>
      </c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73"/>
    </row>
    <row r="127" spans="2:105" x14ac:dyDescent="0.25">
      <c r="B127" s="172"/>
      <c r="C127" s="141" t="s">
        <v>1991</v>
      </c>
      <c r="D127" s="141" t="s">
        <v>1992</v>
      </c>
      <c r="E127" s="141" t="s">
        <v>1993</v>
      </c>
      <c r="F127" s="141" t="s">
        <v>1867</v>
      </c>
      <c r="G127" s="141"/>
      <c r="H127" s="141" t="s">
        <v>354</v>
      </c>
      <c r="I127" s="141"/>
      <c r="J127" s="141" t="s">
        <v>355</v>
      </c>
      <c r="K127" s="141" t="s">
        <v>1994</v>
      </c>
      <c r="L127" s="141" t="s">
        <v>1995</v>
      </c>
      <c r="M127" s="141" t="s">
        <v>1996</v>
      </c>
      <c r="N127" s="141" t="s">
        <v>355</v>
      </c>
      <c r="O127" s="141" t="s">
        <v>370</v>
      </c>
      <c r="P127" s="141" t="s">
        <v>529</v>
      </c>
      <c r="Q127" s="141" t="s">
        <v>530</v>
      </c>
      <c r="R127" s="141" t="s">
        <v>362</v>
      </c>
      <c r="S127" s="141" t="s">
        <v>442</v>
      </c>
      <c r="T127" s="141" t="s">
        <v>1909</v>
      </c>
      <c r="U127" s="141" t="s">
        <v>1909</v>
      </c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 t="s">
        <v>355</v>
      </c>
      <c r="AL127" s="141" t="s">
        <v>365</v>
      </c>
      <c r="AM127" s="141" t="s">
        <v>355</v>
      </c>
      <c r="AN127" s="141" t="s">
        <v>905</v>
      </c>
      <c r="AO127" s="141" t="s">
        <v>1909</v>
      </c>
      <c r="AP127" s="141" t="s">
        <v>1910</v>
      </c>
      <c r="AQ127" s="141" t="s">
        <v>1911</v>
      </c>
      <c r="AR127" s="141" t="s">
        <v>409</v>
      </c>
      <c r="AS127" s="141" t="s">
        <v>409</v>
      </c>
      <c r="AT127" s="141"/>
      <c r="AU127" s="141" t="s">
        <v>1995</v>
      </c>
      <c r="AV127" s="141" t="s">
        <v>764</v>
      </c>
      <c r="AW127" s="141" t="s">
        <v>1997</v>
      </c>
      <c r="AX127" s="141" t="s">
        <v>1882</v>
      </c>
      <c r="AY127" s="141" t="s">
        <v>1998</v>
      </c>
      <c r="AZ127" s="141" t="s">
        <v>775</v>
      </c>
      <c r="BA127" s="141" t="s">
        <v>1999</v>
      </c>
      <c r="BB127" s="141" t="s">
        <v>777</v>
      </c>
      <c r="BC127" s="141" t="s">
        <v>2000</v>
      </c>
      <c r="BD127" s="141" t="s">
        <v>779</v>
      </c>
      <c r="BE127" s="141" t="s">
        <v>2001</v>
      </c>
      <c r="BF127" s="141" t="s">
        <v>891</v>
      </c>
      <c r="BG127" s="141" t="s">
        <v>2002</v>
      </c>
      <c r="BH127" s="141" t="s">
        <v>913</v>
      </c>
      <c r="BI127" s="141" t="s">
        <v>2003</v>
      </c>
      <c r="BJ127" s="141" t="s">
        <v>383</v>
      </c>
      <c r="BK127" s="141" t="s">
        <v>1292</v>
      </c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73"/>
    </row>
    <row r="128" spans="2:105" x14ac:dyDescent="0.25">
      <c r="B128" s="172"/>
      <c r="C128" s="141" t="s">
        <v>2004</v>
      </c>
      <c r="D128" s="141" t="s">
        <v>2005</v>
      </c>
      <c r="E128" s="141" t="s">
        <v>2006</v>
      </c>
      <c r="F128" s="141" t="s">
        <v>2007</v>
      </c>
      <c r="G128" s="141"/>
      <c r="H128" s="141" t="s">
        <v>354</v>
      </c>
      <c r="I128" s="141"/>
      <c r="J128" s="141" t="s">
        <v>355</v>
      </c>
      <c r="K128" s="141" t="s">
        <v>2008</v>
      </c>
      <c r="L128" s="141" t="s">
        <v>2009</v>
      </c>
      <c r="M128" s="141" t="s">
        <v>2010</v>
      </c>
      <c r="N128" s="141" t="s">
        <v>355</v>
      </c>
      <c r="O128" s="141" t="s">
        <v>394</v>
      </c>
      <c r="P128" s="141" t="s">
        <v>425</v>
      </c>
      <c r="Q128" s="141" t="s">
        <v>426</v>
      </c>
      <c r="R128" s="141" t="s">
        <v>362</v>
      </c>
      <c r="S128" s="141" t="s">
        <v>442</v>
      </c>
      <c r="T128" s="141" t="s">
        <v>1909</v>
      </c>
      <c r="U128" s="141" t="s">
        <v>1909</v>
      </c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 t="s">
        <v>355</v>
      </c>
      <c r="AL128" s="141" t="s">
        <v>365</v>
      </c>
      <c r="AM128" s="141" t="s">
        <v>355</v>
      </c>
      <c r="AN128" s="141" t="s">
        <v>905</v>
      </c>
      <c r="AO128" s="141" t="s">
        <v>1909</v>
      </c>
      <c r="AP128" s="141" t="s">
        <v>1910</v>
      </c>
      <c r="AQ128" s="141" t="s">
        <v>1911</v>
      </c>
      <c r="AR128" s="141" t="s">
        <v>409</v>
      </c>
      <c r="AS128" s="141" t="s">
        <v>491</v>
      </c>
      <c r="AT128" s="141"/>
      <c r="AU128" s="141" t="s">
        <v>2009</v>
      </c>
      <c r="AV128" s="141" t="s">
        <v>764</v>
      </c>
      <c r="AW128" s="141" t="s">
        <v>624</v>
      </c>
      <c r="AX128" s="141" t="s">
        <v>1882</v>
      </c>
      <c r="AY128" s="141" t="s">
        <v>2011</v>
      </c>
      <c r="AZ128" s="141" t="s">
        <v>775</v>
      </c>
      <c r="BA128" s="141" t="s">
        <v>2012</v>
      </c>
      <c r="BB128" s="141" t="s">
        <v>777</v>
      </c>
      <c r="BC128" s="141" t="s">
        <v>2013</v>
      </c>
      <c r="BD128" s="141" t="s">
        <v>779</v>
      </c>
      <c r="BE128" s="141" t="s">
        <v>2014</v>
      </c>
      <c r="BF128" s="141" t="s">
        <v>891</v>
      </c>
      <c r="BG128" s="141" t="s">
        <v>2015</v>
      </c>
      <c r="BH128" s="141" t="s">
        <v>913</v>
      </c>
      <c r="BI128" s="141" t="s">
        <v>2016</v>
      </c>
      <c r="BJ128" s="141" t="s">
        <v>383</v>
      </c>
      <c r="BK128" s="141" t="s">
        <v>2017</v>
      </c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73"/>
    </row>
    <row r="129" spans="2:105" x14ac:dyDescent="0.25">
      <c r="B129" s="172"/>
      <c r="C129" s="141" t="s">
        <v>2018</v>
      </c>
      <c r="D129" s="141" t="s">
        <v>2019</v>
      </c>
      <c r="E129" s="141" t="s">
        <v>2020</v>
      </c>
      <c r="F129" s="141" t="s">
        <v>2021</v>
      </c>
      <c r="G129" s="141"/>
      <c r="H129" s="141" t="s">
        <v>354</v>
      </c>
      <c r="I129" s="141"/>
      <c r="J129" s="141" t="s">
        <v>355</v>
      </c>
      <c r="K129" s="141" t="s">
        <v>623</v>
      </c>
      <c r="L129" s="141" t="s">
        <v>2022</v>
      </c>
      <c r="M129" s="141" t="s">
        <v>2023</v>
      </c>
      <c r="N129" s="141" t="s">
        <v>355</v>
      </c>
      <c r="O129" s="141" t="s">
        <v>491</v>
      </c>
      <c r="P129" s="141" t="s">
        <v>2024</v>
      </c>
      <c r="Q129" s="141" t="s">
        <v>2025</v>
      </c>
      <c r="R129" s="141" t="s">
        <v>362</v>
      </c>
      <c r="S129" s="141" t="s">
        <v>442</v>
      </c>
      <c r="T129" s="141" t="s">
        <v>1909</v>
      </c>
      <c r="U129" s="141" t="s">
        <v>1909</v>
      </c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 t="s">
        <v>355</v>
      </c>
      <c r="AL129" s="141" t="s">
        <v>365</v>
      </c>
      <c r="AM129" s="141" t="s">
        <v>355</v>
      </c>
      <c r="AN129" s="141" t="s">
        <v>905</v>
      </c>
      <c r="AO129" s="141" t="s">
        <v>1909</v>
      </c>
      <c r="AP129" s="141" t="s">
        <v>1910</v>
      </c>
      <c r="AQ129" s="141" t="s">
        <v>1911</v>
      </c>
      <c r="AR129" s="141" t="s">
        <v>409</v>
      </c>
      <c r="AS129" s="141" t="s">
        <v>486</v>
      </c>
      <c r="AT129" s="141"/>
      <c r="AU129" s="141" t="s">
        <v>2022</v>
      </c>
      <c r="AV129" s="141" t="s">
        <v>764</v>
      </c>
      <c r="AW129" s="141" t="s">
        <v>2026</v>
      </c>
      <c r="AX129" s="141" t="s">
        <v>1882</v>
      </c>
      <c r="AY129" s="141" t="s">
        <v>2027</v>
      </c>
      <c r="AZ129" s="141" t="s">
        <v>775</v>
      </c>
      <c r="BA129" s="141" t="s">
        <v>2028</v>
      </c>
      <c r="BB129" s="141" t="s">
        <v>777</v>
      </c>
      <c r="BC129" s="141" t="s">
        <v>2029</v>
      </c>
      <c r="BD129" s="141" t="s">
        <v>779</v>
      </c>
      <c r="BE129" s="141" t="s">
        <v>2030</v>
      </c>
      <c r="BF129" s="141" t="s">
        <v>891</v>
      </c>
      <c r="BG129" s="141" t="s">
        <v>2031</v>
      </c>
      <c r="BH129" s="141" t="s">
        <v>913</v>
      </c>
      <c r="BI129" s="141" t="s">
        <v>2032</v>
      </c>
      <c r="BJ129" s="141" t="s">
        <v>383</v>
      </c>
      <c r="BK129" s="141" t="s">
        <v>2033</v>
      </c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73"/>
    </row>
    <row r="130" spans="2:105" x14ac:dyDescent="0.25">
      <c r="B130" s="172"/>
      <c r="C130" s="141" t="s">
        <v>2034</v>
      </c>
      <c r="D130" s="141" t="s">
        <v>2035</v>
      </c>
      <c r="E130" s="141" t="s">
        <v>2036</v>
      </c>
      <c r="F130" s="141" t="s">
        <v>438</v>
      </c>
      <c r="G130" s="141"/>
      <c r="H130" s="141" t="s">
        <v>354</v>
      </c>
      <c r="I130" s="141"/>
      <c r="J130" s="141" t="s">
        <v>355</v>
      </c>
      <c r="K130" s="141" t="s">
        <v>883</v>
      </c>
      <c r="L130" s="141" t="s">
        <v>2037</v>
      </c>
      <c r="M130" s="141" t="s">
        <v>2038</v>
      </c>
      <c r="N130" s="141" t="s">
        <v>355</v>
      </c>
      <c r="O130" s="141" t="s">
        <v>370</v>
      </c>
      <c r="P130" s="141" t="s">
        <v>529</v>
      </c>
      <c r="Q130" s="141" t="s">
        <v>530</v>
      </c>
      <c r="R130" s="141" t="s">
        <v>362</v>
      </c>
      <c r="S130" s="141" t="s">
        <v>442</v>
      </c>
      <c r="T130" s="141" t="s">
        <v>1909</v>
      </c>
      <c r="U130" s="141" t="s">
        <v>1909</v>
      </c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 t="s">
        <v>355</v>
      </c>
      <c r="AL130" s="141" t="s">
        <v>365</v>
      </c>
      <c r="AM130" s="141" t="s">
        <v>355</v>
      </c>
      <c r="AN130" s="141" t="s">
        <v>905</v>
      </c>
      <c r="AO130" s="141" t="s">
        <v>1909</v>
      </c>
      <c r="AP130" s="141" t="s">
        <v>1910</v>
      </c>
      <c r="AQ130" s="141" t="s">
        <v>1911</v>
      </c>
      <c r="AR130" s="141" t="s">
        <v>409</v>
      </c>
      <c r="AS130" s="141" t="s">
        <v>363</v>
      </c>
      <c r="AT130" s="141"/>
      <c r="AU130" s="141" t="s">
        <v>2037</v>
      </c>
      <c r="AV130" s="141" t="s">
        <v>764</v>
      </c>
      <c r="AW130" s="141" t="s">
        <v>2039</v>
      </c>
      <c r="AX130" s="141" t="s">
        <v>1882</v>
      </c>
      <c r="AY130" s="141" t="s">
        <v>430</v>
      </c>
      <c r="AZ130" s="141" t="s">
        <v>775</v>
      </c>
      <c r="BA130" s="141" t="s">
        <v>716</v>
      </c>
      <c r="BB130" s="141" t="s">
        <v>777</v>
      </c>
      <c r="BC130" s="141" t="s">
        <v>2040</v>
      </c>
      <c r="BD130" s="141" t="s">
        <v>779</v>
      </c>
      <c r="BE130" s="141" t="s">
        <v>2041</v>
      </c>
      <c r="BF130" s="141" t="s">
        <v>891</v>
      </c>
      <c r="BG130" s="141" t="s">
        <v>2042</v>
      </c>
      <c r="BH130" s="141" t="s">
        <v>913</v>
      </c>
      <c r="BI130" s="141" t="s">
        <v>2043</v>
      </c>
      <c r="BJ130" s="141" t="s">
        <v>383</v>
      </c>
      <c r="BK130" s="141" t="s">
        <v>2044</v>
      </c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73"/>
    </row>
    <row r="131" spans="2:105" x14ac:dyDescent="0.25">
      <c r="B131" s="172"/>
      <c r="C131" s="141" t="s">
        <v>2045</v>
      </c>
      <c r="D131" s="141" t="s">
        <v>2046</v>
      </c>
      <c r="E131" s="141" t="s">
        <v>2047</v>
      </c>
      <c r="F131" s="141" t="s">
        <v>2048</v>
      </c>
      <c r="G131" s="141"/>
      <c r="H131" s="141" t="s">
        <v>354</v>
      </c>
      <c r="I131" s="141"/>
      <c r="J131" s="141" t="s">
        <v>355</v>
      </c>
      <c r="K131" s="141" t="s">
        <v>2049</v>
      </c>
      <c r="L131" s="141" t="s">
        <v>2050</v>
      </c>
      <c r="M131" s="141" t="s">
        <v>2051</v>
      </c>
      <c r="N131" s="141" t="s">
        <v>355</v>
      </c>
      <c r="O131" s="141" t="s">
        <v>370</v>
      </c>
      <c r="P131" s="141" t="s">
        <v>529</v>
      </c>
      <c r="Q131" s="141" t="s">
        <v>530</v>
      </c>
      <c r="R131" s="141" t="s">
        <v>362</v>
      </c>
      <c r="S131" s="141" t="s">
        <v>442</v>
      </c>
      <c r="T131" s="141" t="s">
        <v>1909</v>
      </c>
      <c r="U131" s="141" t="s">
        <v>1909</v>
      </c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 t="s">
        <v>355</v>
      </c>
      <c r="AL131" s="141" t="s">
        <v>365</v>
      </c>
      <c r="AM131" s="141" t="s">
        <v>355</v>
      </c>
      <c r="AN131" s="141" t="s">
        <v>905</v>
      </c>
      <c r="AO131" s="141" t="s">
        <v>1909</v>
      </c>
      <c r="AP131" s="141" t="s">
        <v>1910</v>
      </c>
      <c r="AQ131" s="141" t="s">
        <v>1911</v>
      </c>
      <c r="AR131" s="141" t="s">
        <v>409</v>
      </c>
      <c r="AS131" s="141" t="s">
        <v>1280</v>
      </c>
      <c r="AT131" s="141"/>
      <c r="AU131" s="141" t="s">
        <v>2050</v>
      </c>
      <c r="AV131" s="141" t="s">
        <v>764</v>
      </c>
      <c r="AW131" s="141" t="s">
        <v>2052</v>
      </c>
      <c r="AX131" s="141" t="s">
        <v>1882</v>
      </c>
      <c r="AY131" s="141" t="s">
        <v>504</v>
      </c>
      <c r="AZ131" s="141" t="s">
        <v>775</v>
      </c>
      <c r="BA131" s="141" t="s">
        <v>485</v>
      </c>
      <c r="BB131" s="141" t="s">
        <v>777</v>
      </c>
      <c r="BC131" s="141" t="s">
        <v>2053</v>
      </c>
      <c r="BD131" s="141" t="s">
        <v>779</v>
      </c>
      <c r="BE131" s="141" t="s">
        <v>2054</v>
      </c>
      <c r="BF131" s="141" t="s">
        <v>891</v>
      </c>
      <c r="BG131" s="141" t="s">
        <v>2055</v>
      </c>
      <c r="BH131" s="141" t="s">
        <v>913</v>
      </c>
      <c r="BI131" s="141" t="s">
        <v>2056</v>
      </c>
      <c r="BJ131" s="141" t="s">
        <v>383</v>
      </c>
      <c r="BK131" s="141" t="s">
        <v>2057</v>
      </c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73"/>
    </row>
    <row r="132" spans="2:105" x14ac:dyDescent="0.25">
      <c r="B132" s="172"/>
      <c r="C132" s="141" t="s">
        <v>2058</v>
      </c>
      <c r="D132" s="141" t="s">
        <v>891</v>
      </c>
      <c r="E132" s="141" t="s">
        <v>2059</v>
      </c>
      <c r="F132" s="141" t="s">
        <v>1364</v>
      </c>
      <c r="G132" s="141"/>
      <c r="H132" s="141" t="s">
        <v>354</v>
      </c>
      <c r="I132" s="141"/>
      <c r="J132" s="141" t="s">
        <v>355</v>
      </c>
      <c r="K132" s="141" t="s">
        <v>2060</v>
      </c>
      <c r="L132" s="141" t="s">
        <v>2061</v>
      </c>
      <c r="M132" s="141" t="s">
        <v>2062</v>
      </c>
      <c r="N132" s="141" t="s">
        <v>355</v>
      </c>
      <c r="O132" s="141" t="s">
        <v>486</v>
      </c>
      <c r="P132" s="141" t="s">
        <v>1631</v>
      </c>
      <c r="Q132" s="141" t="s">
        <v>1632</v>
      </c>
      <c r="R132" s="141" t="s">
        <v>362</v>
      </c>
      <c r="S132" s="141" t="s">
        <v>442</v>
      </c>
      <c r="T132" s="141" t="s">
        <v>1909</v>
      </c>
      <c r="U132" s="141" t="s">
        <v>1909</v>
      </c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 t="s">
        <v>355</v>
      </c>
      <c r="AL132" s="141" t="s">
        <v>365</v>
      </c>
      <c r="AM132" s="141" t="s">
        <v>355</v>
      </c>
      <c r="AN132" s="141" t="s">
        <v>905</v>
      </c>
      <c r="AO132" s="141" t="s">
        <v>1909</v>
      </c>
      <c r="AP132" s="141" t="s">
        <v>1910</v>
      </c>
      <c r="AQ132" s="141" t="s">
        <v>1911</v>
      </c>
      <c r="AR132" s="141" t="s">
        <v>409</v>
      </c>
      <c r="AS132" s="141" t="s">
        <v>1295</v>
      </c>
      <c r="AT132" s="141"/>
      <c r="AU132" s="141" t="s">
        <v>2061</v>
      </c>
      <c r="AV132" s="141" t="s">
        <v>764</v>
      </c>
      <c r="AW132" s="141" t="s">
        <v>1970</v>
      </c>
      <c r="AX132" s="141" t="s">
        <v>1882</v>
      </c>
      <c r="AY132" s="141" t="s">
        <v>2063</v>
      </c>
      <c r="AZ132" s="141" t="s">
        <v>775</v>
      </c>
      <c r="BA132" s="141" t="s">
        <v>2064</v>
      </c>
      <c r="BB132" s="141" t="s">
        <v>777</v>
      </c>
      <c r="BC132" s="141" t="s">
        <v>1771</v>
      </c>
      <c r="BD132" s="141" t="s">
        <v>779</v>
      </c>
      <c r="BE132" s="141" t="s">
        <v>2065</v>
      </c>
      <c r="BF132" s="141" t="s">
        <v>891</v>
      </c>
      <c r="BG132" s="141" t="s">
        <v>2015</v>
      </c>
      <c r="BH132" s="141" t="s">
        <v>913</v>
      </c>
      <c r="BI132" s="141" t="s">
        <v>2066</v>
      </c>
      <c r="BJ132" s="141" t="s">
        <v>383</v>
      </c>
      <c r="BK132" s="141" t="s">
        <v>2067</v>
      </c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73"/>
    </row>
    <row r="133" spans="2:105" x14ac:dyDescent="0.25">
      <c r="B133" s="172"/>
      <c r="C133" s="141" t="s">
        <v>2068</v>
      </c>
      <c r="D133" s="141" t="s">
        <v>500</v>
      </c>
      <c r="E133" s="141" t="s">
        <v>2069</v>
      </c>
      <c r="F133" s="141" t="s">
        <v>2070</v>
      </c>
      <c r="G133" s="141"/>
      <c r="H133" s="141" t="s">
        <v>354</v>
      </c>
      <c r="I133" s="141"/>
      <c r="J133" s="141" t="s">
        <v>355</v>
      </c>
      <c r="K133" s="141" t="s">
        <v>2071</v>
      </c>
      <c r="L133" s="141" t="s">
        <v>2072</v>
      </c>
      <c r="M133" s="141" t="s">
        <v>1041</v>
      </c>
      <c r="N133" s="141" t="s">
        <v>355</v>
      </c>
      <c r="O133" s="141" t="s">
        <v>394</v>
      </c>
      <c r="P133" s="141" t="s">
        <v>425</v>
      </c>
      <c r="Q133" s="141" t="s">
        <v>426</v>
      </c>
      <c r="R133" s="141" t="s">
        <v>362</v>
      </c>
      <c r="S133" s="141" t="s">
        <v>442</v>
      </c>
      <c r="T133" s="141" t="s">
        <v>1909</v>
      </c>
      <c r="U133" s="141" t="s">
        <v>1909</v>
      </c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 t="s">
        <v>355</v>
      </c>
      <c r="AL133" s="141" t="s">
        <v>365</v>
      </c>
      <c r="AM133" s="141" t="s">
        <v>355</v>
      </c>
      <c r="AN133" s="141" t="s">
        <v>905</v>
      </c>
      <c r="AO133" s="141" t="s">
        <v>1909</v>
      </c>
      <c r="AP133" s="141" t="s">
        <v>1910</v>
      </c>
      <c r="AQ133" s="141" t="s">
        <v>1911</v>
      </c>
      <c r="AR133" s="141" t="s">
        <v>409</v>
      </c>
      <c r="AS133" s="141" t="s">
        <v>1309</v>
      </c>
      <c r="AT133" s="141"/>
      <c r="AU133" s="141" t="s">
        <v>2072</v>
      </c>
      <c r="AV133" s="141" t="s">
        <v>764</v>
      </c>
      <c r="AW133" s="141" t="s">
        <v>2073</v>
      </c>
      <c r="AX133" s="141" t="s">
        <v>1882</v>
      </c>
      <c r="AY133" s="141" t="s">
        <v>2074</v>
      </c>
      <c r="AZ133" s="141" t="s">
        <v>775</v>
      </c>
      <c r="BA133" s="141" t="s">
        <v>2075</v>
      </c>
      <c r="BB133" s="141" t="s">
        <v>777</v>
      </c>
      <c r="BC133" s="141" t="s">
        <v>2076</v>
      </c>
      <c r="BD133" s="141" t="s">
        <v>779</v>
      </c>
      <c r="BE133" s="141" t="s">
        <v>2077</v>
      </c>
      <c r="BF133" s="141" t="s">
        <v>891</v>
      </c>
      <c r="BG133" s="141" t="s">
        <v>2078</v>
      </c>
      <c r="BH133" s="141" t="s">
        <v>913</v>
      </c>
      <c r="BI133" s="141" t="s">
        <v>2079</v>
      </c>
      <c r="BJ133" s="141" t="s">
        <v>383</v>
      </c>
      <c r="BK133" s="141" t="s">
        <v>2080</v>
      </c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73"/>
    </row>
    <row r="134" spans="2:105" x14ac:dyDescent="0.25">
      <c r="B134" s="172"/>
      <c r="C134" s="141" t="s">
        <v>2081</v>
      </c>
      <c r="D134" s="141" t="s">
        <v>2082</v>
      </c>
      <c r="E134" s="141" t="s">
        <v>2083</v>
      </c>
      <c r="F134" s="141" t="s">
        <v>1291</v>
      </c>
      <c r="G134" s="141"/>
      <c r="H134" s="141" t="s">
        <v>354</v>
      </c>
      <c r="I134" s="141"/>
      <c r="J134" s="141" t="s">
        <v>355</v>
      </c>
      <c r="K134" s="141" t="s">
        <v>454</v>
      </c>
      <c r="L134" s="141" t="s">
        <v>2084</v>
      </c>
      <c r="M134" s="141" t="s">
        <v>2085</v>
      </c>
      <c r="N134" s="141" t="s">
        <v>355</v>
      </c>
      <c r="O134" s="141" t="s">
        <v>394</v>
      </c>
      <c r="P134" s="141" t="s">
        <v>425</v>
      </c>
      <c r="Q134" s="141" t="s">
        <v>426</v>
      </c>
      <c r="R134" s="141" t="s">
        <v>362</v>
      </c>
      <c r="S134" s="141" t="s">
        <v>442</v>
      </c>
      <c r="T134" s="141" t="s">
        <v>1909</v>
      </c>
      <c r="U134" s="141" t="s">
        <v>1909</v>
      </c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 t="s">
        <v>355</v>
      </c>
      <c r="AL134" s="141" t="s">
        <v>365</v>
      </c>
      <c r="AM134" s="141" t="s">
        <v>355</v>
      </c>
      <c r="AN134" s="141" t="s">
        <v>905</v>
      </c>
      <c r="AO134" s="141" t="s">
        <v>1909</v>
      </c>
      <c r="AP134" s="141" t="s">
        <v>1910</v>
      </c>
      <c r="AQ134" s="141" t="s">
        <v>1911</v>
      </c>
      <c r="AR134" s="141" t="s">
        <v>409</v>
      </c>
      <c r="AS134" s="141" t="s">
        <v>1325</v>
      </c>
      <c r="AT134" s="141"/>
      <c r="AU134" s="141" t="s">
        <v>2084</v>
      </c>
      <c r="AV134" s="141" t="s">
        <v>764</v>
      </c>
      <c r="AW134" s="141" t="s">
        <v>2086</v>
      </c>
      <c r="AX134" s="141" t="s">
        <v>1882</v>
      </c>
      <c r="AY134" s="141" t="s">
        <v>2087</v>
      </c>
      <c r="AZ134" s="141" t="s">
        <v>775</v>
      </c>
      <c r="BA134" s="141" t="s">
        <v>2088</v>
      </c>
      <c r="BB134" s="141" t="s">
        <v>777</v>
      </c>
      <c r="BC134" s="141" t="s">
        <v>2089</v>
      </c>
      <c r="BD134" s="141" t="s">
        <v>779</v>
      </c>
      <c r="BE134" s="141" t="s">
        <v>2090</v>
      </c>
      <c r="BF134" s="141" t="s">
        <v>891</v>
      </c>
      <c r="BG134" s="141" t="s">
        <v>2091</v>
      </c>
      <c r="BH134" s="141" t="s">
        <v>913</v>
      </c>
      <c r="BI134" s="141" t="s">
        <v>2092</v>
      </c>
      <c r="BJ134" s="141" t="s">
        <v>383</v>
      </c>
      <c r="BK134" s="141" t="s">
        <v>2093</v>
      </c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73"/>
    </row>
    <row r="135" spans="2:105" x14ac:dyDescent="0.25">
      <c r="B135" s="172"/>
      <c r="C135" s="141" t="s">
        <v>2094</v>
      </c>
      <c r="D135" s="141" t="s">
        <v>2095</v>
      </c>
      <c r="E135" s="141" t="s">
        <v>2096</v>
      </c>
      <c r="F135" s="141" t="s">
        <v>1483</v>
      </c>
      <c r="G135" s="141"/>
      <c r="H135" s="141" t="s">
        <v>354</v>
      </c>
      <c r="I135" s="141"/>
      <c r="J135" s="141" t="s">
        <v>355</v>
      </c>
      <c r="K135" s="141" t="s">
        <v>2097</v>
      </c>
      <c r="L135" s="141" t="s">
        <v>2098</v>
      </c>
      <c r="M135" s="141" t="s">
        <v>1042</v>
      </c>
      <c r="N135" s="141" t="s">
        <v>355</v>
      </c>
      <c r="O135" s="141" t="s">
        <v>370</v>
      </c>
      <c r="P135" s="141" t="s">
        <v>529</v>
      </c>
      <c r="Q135" s="141" t="s">
        <v>530</v>
      </c>
      <c r="R135" s="141" t="s">
        <v>362</v>
      </c>
      <c r="S135" s="141" t="s">
        <v>442</v>
      </c>
      <c r="T135" s="141" t="s">
        <v>1909</v>
      </c>
      <c r="U135" s="141" t="s">
        <v>1909</v>
      </c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 t="s">
        <v>355</v>
      </c>
      <c r="AL135" s="141" t="s">
        <v>365</v>
      </c>
      <c r="AM135" s="141" t="s">
        <v>355</v>
      </c>
      <c r="AN135" s="141" t="s">
        <v>905</v>
      </c>
      <c r="AO135" s="141" t="s">
        <v>1909</v>
      </c>
      <c r="AP135" s="141" t="s">
        <v>1910</v>
      </c>
      <c r="AQ135" s="141" t="s">
        <v>1911</v>
      </c>
      <c r="AR135" s="141" t="s">
        <v>409</v>
      </c>
      <c r="AS135" s="141" t="s">
        <v>1340</v>
      </c>
      <c r="AT135" s="141"/>
      <c r="AU135" s="141" t="s">
        <v>2098</v>
      </c>
      <c r="AV135" s="141" t="s">
        <v>764</v>
      </c>
      <c r="AW135" s="141" t="s">
        <v>2099</v>
      </c>
      <c r="AX135" s="141" t="s">
        <v>1882</v>
      </c>
      <c r="AY135" s="141" t="s">
        <v>2100</v>
      </c>
      <c r="AZ135" s="141" t="s">
        <v>775</v>
      </c>
      <c r="BA135" s="141" t="s">
        <v>813</v>
      </c>
      <c r="BB135" s="141" t="s">
        <v>777</v>
      </c>
      <c r="BC135" s="141" t="s">
        <v>2101</v>
      </c>
      <c r="BD135" s="141" t="s">
        <v>779</v>
      </c>
      <c r="BE135" s="141" t="s">
        <v>2102</v>
      </c>
      <c r="BF135" s="141" t="s">
        <v>891</v>
      </c>
      <c r="BG135" s="141" t="s">
        <v>2103</v>
      </c>
      <c r="BH135" s="141" t="s">
        <v>913</v>
      </c>
      <c r="BI135" s="141" t="s">
        <v>723</v>
      </c>
      <c r="BJ135" s="141" t="s">
        <v>383</v>
      </c>
      <c r="BK135" s="141" t="s">
        <v>2104</v>
      </c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73"/>
    </row>
    <row r="136" spans="2:105" x14ac:dyDescent="0.25">
      <c r="B136" s="172"/>
      <c r="C136" s="141" t="s">
        <v>2105</v>
      </c>
      <c r="D136" s="141" t="s">
        <v>2106</v>
      </c>
      <c r="E136" s="141" t="s">
        <v>2107</v>
      </c>
      <c r="F136" s="141" t="s">
        <v>405</v>
      </c>
      <c r="G136" s="141"/>
      <c r="H136" s="141" t="s">
        <v>354</v>
      </c>
      <c r="I136" s="141"/>
      <c r="J136" s="141" t="s">
        <v>355</v>
      </c>
      <c r="K136" s="141" t="s">
        <v>1097</v>
      </c>
      <c r="L136" s="141" t="s">
        <v>2108</v>
      </c>
      <c r="M136" s="141" t="s">
        <v>2109</v>
      </c>
      <c r="N136" s="141" t="s">
        <v>355</v>
      </c>
      <c r="O136" s="141" t="s">
        <v>370</v>
      </c>
      <c r="P136" s="141" t="s">
        <v>529</v>
      </c>
      <c r="Q136" s="141" t="s">
        <v>530</v>
      </c>
      <c r="R136" s="141" t="s">
        <v>362</v>
      </c>
      <c r="S136" s="141" t="s">
        <v>442</v>
      </c>
      <c r="T136" s="141" t="s">
        <v>1909</v>
      </c>
      <c r="U136" s="141" t="s">
        <v>1909</v>
      </c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 t="s">
        <v>355</v>
      </c>
      <c r="AL136" s="141" t="s">
        <v>365</v>
      </c>
      <c r="AM136" s="141" t="s">
        <v>355</v>
      </c>
      <c r="AN136" s="141" t="s">
        <v>905</v>
      </c>
      <c r="AO136" s="141" t="s">
        <v>1909</v>
      </c>
      <c r="AP136" s="141" t="s">
        <v>1910</v>
      </c>
      <c r="AQ136" s="141" t="s">
        <v>1911</v>
      </c>
      <c r="AR136" s="141" t="s">
        <v>409</v>
      </c>
      <c r="AS136" s="141" t="s">
        <v>890</v>
      </c>
      <c r="AT136" s="141"/>
      <c r="AU136" s="141" t="s">
        <v>2108</v>
      </c>
      <c r="AV136" s="141" t="s">
        <v>764</v>
      </c>
      <c r="AW136" s="141" t="s">
        <v>2110</v>
      </c>
      <c r="AX136" s="141" t="s">
        <v>1882</v>
      </c>
      <c r="AY136" s="141" t="s">
        <v>2111</v>
      </c>
      <c r="AZ136" s="141" t="s">
        <v>775</v>
      </c>
      <c r="BA136" s="141" t="s">
        <v>2112</v>
      </c>
      <c r="BB136" s="141" t="s">
        <v>777</v>
      </c>
      <c r="BC136" s="141" t="s">
        <v>2113</v>
      </c>
      <c r="BD136" s="141" t="s">
        <v>779</v>
      </c>
      <c r="BE136" s="141" t="s">
        <v>2114</v>
      </c>
      <c r="BF136" s="141" t="s">
        <v>891</v>
      </c>
      <c r="BG136" s="141" t="s">
        <v>2115</v>
      </c>
      <c r="BH136" s="141" t="s">
        <v>913</v>
      </c>
      <c r="BI136" s="141" t="s">
        <v>2116</v>
      </c>
      <c r="BJ136" s="141" t="s">
        <v>383</v>
      </c>
      <c r="BK136" s="141" t="s">
        <v>2117</v>
      </c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73"/>
    </row>
    <row r="137" spans="2:105" x14ac:dyDescent="0.25">
      <c r="B137" s="172"/>
      <c r="C137" s="141" t="s">
        <v>2118</v>
      </c>
      <c r="D137" s="141" t="s">
        <v>2119</v>
      </c>
      <c r="E137" s="141" t="s">
        <v>2120</v>
      </c>
      <c r="F137" s="141" t="s">
        <v>1364</v>
      </c>
      <c r="G137" s="141"/>
      <c r="H137" s="141" t="s">
        <v>354</v>
      </c>
      <c r="I137" s="141"/>
      <c r="J137" s="141" t="s">
        <v>355</v>
      </c>
      <c r="K137" s="141" t="s">
        <v>2121</v>
      </c>
      <c r="L137" s="141" t="s">
        <v>2122</v>
      </c>
      <c r="M137" s="141" t="s">
        <v>2123</v>
      </c>
      <c r="N137" s="141" t="s">
        <v>355</v>
      </c>
      <c r="O137" s="141" t="s">
        <v>394</v>
      </c>
      <c r="P137" s="141" t="s">
        <v>425</v>
      </c>
      <c r="Q137" s="141" t="s">
        <v>426</v>
      </c>
      <c r="R137" s="141" t="s">
        <v>362</v>
      </c>
      <c r="S137" s="141" t="s">
        <v>442</v>
      </c>
      <c r="T137" s="141" t="s">
        <v>1909</v>
      </c>
      <c r="U137" s="141" t="s">
        <v>1909</v>
      </c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 t="s">
        <v>355</v>
      </c>
      <c r="AL137" s="141" t="s">
        <v>365</v>
      </c>
      <c r="AM137" s="141" t="s">
        <v>355</v>
      </c>
      <c r="AN137" s="141" t="s">
        <v>905</v>
      </c>
      <c r="AO137" s="141" t="s">
        <v>1909</v>
      </c>
      <c r="AP137" s="141" t="s">
        <v>1910</v>
      </c>
      <c r="AQ137" s="141" t="s">
        <v>1911</v>
      </c>
      <c r="AR137" s="141" t="s">
        <v>409</v>
      </c>
      <c r="AS137" s="141" t="s">
        <v>1368</v>
      </c>
      <c r="AT137" s="141"/>
      <c r="AU137" s="141" t="s">
        <v>2122</v>
      </c>
      <c r="AV137" s="141" t="s">
        <v>764</v>
      </c>
      <c r="AW137" s="141" t="s">
        <v>2124</v>
      </c>
      <c r="AX137" s="141" t="s">
        <v>1882</v>
      </c>
      <c r="AY137" s="141" t="s">
        <v>2125</v>
      </c>
      <c r="AZ137" s="141" t="s">
        <v>775</v>
      </c>
      <c r="BA137" s="141" t="s">
        <v>2126</v>
      </c>
      <c r="BB137" s="141" t="s">
        <v>777</v>
      </c>
      <c r="BC137" s="141" t="s">
        <v>2127</v>
      </c>
      <c r="BD137" s="141" t="s">
        <v>779</v>
      </c>
      <c r="BE137" s="141" t="s">
        <v>2128</v>
      </c>
      <c r="BF137" s="141" t="s">
        <v>891</v>
      </c>
      <c r="BG137" s="141" t="s">
        <v>697</v>
      </c>
      <c r="BH137" s="141" t="s">
        <v>913</v>
      </c>
      <c r="BI137" s="141" t="s">
        <v>2129</v>
      </c>
      <c r="BJ137" s="141" t="s">
        <v>383</v>
      </c>
      <c r="BK137" s="141" t="s">
        <v>1748</v>
      </c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73"/>
    </row>
    <row r="138" spans="2:105" x14ac:dyDescent="0.25">
      <c r="B138" s="172"/>
      <c r="C138" s="141" t="s">
        <v>2130</v>
      </c>
      <c r="D138" s="141" t="s">
        <v>1427</v>
      </c>
      <c r="E138" s="141" t="s">
        <v>508</v>
      </c>
      <c r="F138" s="141" t="s">
        <v>1029</v>
      </c>
      <c r="G138" s="141"/>
      <c r="H138" s="141" t="s">
        <v>354</v>
      </c>
      <c r="I138" s="141"/>
      <c r="J138" s="141" t="s">
        <v>355</v>
      </c>
      <c r="K138" s="141" t="s">
        <v>622</v>
      </c>
      <c r="L138" s="141" t="s">
        <v>2131</v>
      </c>
      <c r="M138" s="141" t="s">
        <v>2132</v>
      </c>
      <c r="N138" s="141" t="s">
        <v>355</v>
      </c>
      <c r="O138" s="141" t="s">
        <v>442</v>
      </c>
      <c r="P138" s="141" t="s">
        <v>478</v>
      </c>
      <c r="Q138" s="141" t="s">
        <v>479</v>
      </c>
      <c r="R138" s="141" t="s">
        <v>362</v>
      </c>
      <c r="S138" s="141" t="s">
        <v>442</v>
      </c>
      <c r="T138" s="141" t="s">
        <v>1909</v>
      </c>
      <c r="U138" s="141" t="s">
        <v>1909</v>
      </c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 t="s">
        <v>355</v>
      </c>
      <c r="AL138" s="141" t="s">
        <v>365</v>
      </c>
      <c r="AM138" s="141" t="s">
        <v>355</v>
      </c>
      <c r="AN138" s="141" t="s">
        <v>905</v>
      </c>
      <c r="AO138" s="141" t="s">
        <v>1909</v>
      </c>
      <c r="AP138" s="141" t="s">
        <v>1910</v>
      </c>
      <c r="AQ138" s="141" t="s">
        <v>1911</v>
      </c>
      <c r="AR138" s="141" t="s">
        <v>409</v>
      </c>
      <c r="AS138" s="141" t="s">
        <v>1381</v>
      </c>
      <c r="AT138" s="141"/>
      <c r="AU138" s="141" t="s">
        <v>2131</v>
      </c>
      <c r="AV138" s="141" t="s">
        <v>764</v>
      </c>
      <c r="AW138" s="141" t="s">
        <v>2133</v>
      </c>
      <c r="AX138" s="141" t="s">
        <v>1882</v>
      </c>
      <c r="AY138" s="141" t="s">
        <v>664</v>
      </c>
      <c r="AZ138" s="141" t="s">
        <v>775</v>
      </c>
      <c r="BA138" s="141" t="s">
        <v>2134</v>
      </c>
      <c r="BB138" s="141" t="s">
        <v>777</v>
      </c>
      <c r="BC138" s="141" t="s">
        <v>2135</v>
      </c>
      <c r="BD138" s="141" t="s">
        <v>779</v>
      </c>
      <c r="BE138" s="141" t="s">
        <v>2136</v>
      </c>
      <c r="BF138" s="141" t="s">
        <v>891</v>
      </c>
      <c r="BG138" s="141" t="s">
        <v>2137</v>
      </c>
      <c r="BH138" s="141" t="s">
        <v>913</v>
      </c>
      <c r="BI138" s="141" t="s">
        <v>2138</v>
      </c>
      <c r="BJ138" s="141" t="s">
        <v>383</v>
      </c>
      <c r="BK138" s="141" t="s">
        <v>2139</v>
      </c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73"/>
    </row>
    <row r="139" spans="2:105" x14ac:dyDescent="0.25">
      <c r="B139" s="172"/>
      <c r="C139" s="141" t="s">
        <v>2140</v>
      </c>
      <c r="D139" s="141" t="s">
        <v>2141</v>
      </c>
      <c r="E139" s="141" t="s">
        <v>542</v>
      </c>
      <c r="F139" s="141" t="s">
        <v>2142</v>
      </c>
      <c r="G139" s="141"/>
      <c r="H139" s="141" t="s">
        <v>354</v>
      </c>
      <c r="I139" s="141"/>
      <c r="J139" s="141" t="s">
        <v>355</v>
      </c>
      <c r="K139" s="141" t="s">
        <v>2143</v>
      </c>
      <c r="L139" s="141" t="s">
        <v>2144</v>
      </c>
      <c r="M139" s="141" t="s">
        <v>2145</v>
      </c>
      <c r="N139" s="141" t="s">
        <v>355</v>
      </c>
      <c r="O139" s="141" t="s">
        <v>394</v>
      </c>
      <c r="P139" s="141" t="s">
        <v>425</v>
      </c>
      <c r="Q139" s="141" t="s">
        <v>426</v>
      </c>
      <c r="R139" s="141" t="s">
        <v>362</v>
      </c>
      <c r="S139" s="141" t="s">
        <v>442</v>
      </c>
      <c r="T139" s="141" t="s">
        <v>1909</v>
      </c>
      <c r="U139" s="141" t="s">
        <v>1909</v>
      </c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 t="s">
        <v>355</v>
      </c>
      <c r="AL139" s="141" t="s">
        <v>365</v>
      </c>
      <c r="AM139" s="141" t="s">
        <v>355</v>
      </c>
      <c r="AN139" s="141" t="s">
        <v>905</v>
      </c>
      <c r="AO139" s="141" t="s">
        <v>1909</v>
      </c>
      <c r="AP139" s="141" t="s">
        <v>1910</v>
      </c>
      <c r="AQ139" s="141" t="s">
        <v>1911</v>
      </c>
      <c r="AR139" s="141" t="s">
        <v>409</v>
      </c>
      <c r="AS139" s="141" t="s">
        <v>1397</v>
      </c>
      <c r="AT139" s="141"/>
      <c r="AU139" s="141" t="s">
        <v>2144</v>
      </c>
      <c r="AV139" s="141" t="s">
        <v>764</v>
      </c>
      <c r="AW139" s="141" t="s">
        <v>2146</v>
      </c>
      <c r="AX139" s="141" t="s">
        <v>1882</v>
      </c>
      <c r="AY139" s="141" t="s">
        <v>2147</v>
      </c>
      <c r="AZ139" s="141" t="s">
        <v>775</v>
      </c>
      <c r="BA139" s="141" t="s">
        <v>2148</v>
      </c>
      <c r="BB139" s="141" t="s">
        <v>777</v>
      </c>
      <c r="BC139" s="141" t="s">
        <v>2149</v>
      </c>
      <c r="BD139" s="141" t="s">
        <v>779</v>
      </c>
      <c r="BE139" s="141" t="s">
        <v>1474</v>
      </c>
      <c r="BF139" s="141" t="s">
        <v>891</v>
      </c>
      <c r="BG139" s="141" t="s">
        <v>2150</v>
      </c>
      <c r="BH139" s="141" t="s">
        <v>913</v>
      </c>
      <c r="BI139" s="141" t="s">
        <v>2151</v>
      </c>
      <c r="BJ139" s="141" t="s">
        <v>383</v>
      </c>
      <c r="BK139" s="141" t="s">
        <v>2152</v>
      </c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73"/>
    </row>
    <row r="140" spans="2:105" x14ac:dyDescent="0.25">
      <c r="B140" s="172"/>
      <c r="C140" s="141" t="s">
        <v>2153</v>
      </c>
      <c r="D140" s="141" t="s">
        <v>2154</v>
      </c>
      <c r="E140" s="141" t="s">
        <v>2155</v>
      </c>
      <c r="F140" s="141" t="s">
        <v>2156</v>
      </c>
      <c r="G140" s="141"/>
      <c r="H140" s="141" t="s">
        <v>354</v>
      </c>
      <c r="I140" s="141"/>
      <c r="J140" s="141" t="s">
        <v>355</v>
      </c>
      <c r="K140" s="141" t="s">
        <v>751</v>
      </c>
      <c r="L140" s="141" t="s">
        <v>2157</v>
      </c>
      <c r="M140" s="141" t="s">
        <v>2158</v>
      </c>
      <c r="N140" s="141" t="s">
        <v>355</v>
      </c>
      <c r="O140" s="141" t="s">
        <v>394</v>
      </c>
      <c r="P140" s="141" t="s">
        <v>425</v>
      </c>
      <c r="Q140" s="141" t="s">
        <v>426</v>
      </c>
      <c r="R140" s="141" t="s">
        <v>362</v>
      </c>
      <c r="S140" s="141" t="s">
        <v>442</v>
      </c>
      <c r="T140" s="141" t="s">
        <v>1909</v>
      </c>
      <c r="U140" s="141" t="s">
        <v>1909</v>
      </c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 t="s">
        <v>355</v>
      </c>
      <c r="AL140" s="141" t="s">
        <v>365</v>
      </c>
      <c r="AM140" s="141" t="s">
        <v>355</v>
      </c>
      <c r="AN140" s="141" t="s">
        <v>905</v>
      </c>
      <c r="AO140" s="141" t="s">
        <v>1909</v>
      </c>
      <c r="AP140" s="141" t="s">
        <v>1910</v>
      </c>
      <c r="AQ140" s="141" t="s">
        <v>1911</v>
      </c>
      <c r="AR140" s="141" t="s">
        <v>409</v>
      </c>
      <c r="AS140" s="141" t="s">
        <v>1411</v>
      </c>
      <c r="AT140" s="141"/>
      <c r="AU140" s="141" t="s">
        <v>2157</v>
      </c>
      <c r="AV140" s="141" t="s">
        <v>764</v>
      </c>
      <c r="AW140" s="141" t="s">
        <v>2159</v>
      </c>
      <c r="AX140" s="141" t="s">
        <v>1882</v>
      </c>
      <c r="AY140" s="141" t="s">
        <v>2160</v>
      </c>
      <c r="AZ140" s="141" t="s">
        <v>775</v>
      </c>
      <c r="BA140" s="141" t="s">
        <v>2161</v>
      </c>
      <c r="BB140" s="141" t="s">
        <v>777</v>
      </c>
      <c r="BC140" s="141" t="s">
        <v>2162</v>
      </c>
      <c r="BD140" s="141" t="s">
        <v>779</v>
      </c>
      <c r="BE140" s="141" t="s">
        <v>2163</v>
      </c>
      <c r="BF140" s="141" t="s">
        <v>891</v>
      </c>
      <c r="BG140" s="141" t="s">
        <v>2164</v>
      </c>
      <c r="BH140" s="141" t="s">
        <v>913</v>
      </c>
      <c r="BI140" s="141" t="s">
        <v>2165</v>
      </c>
      <c r="BJ140" s="141" t="s">
        <v>383</v>
      </c>
      <c r="BK140" s="141" t="s">
        <v>1433</v>
      </c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73"/>
    </row>
    <row r="141" spans="2:105" x14ac:dyDescent="0.25">
      <c r="B141" s="172"/>
      <c r="C141" s="141" t="s">
        <v>2166</v>
      </c>
      <c r="D141" s="141" t="s">
        <v>2167</v>
      </c>
      <c r="E141" s="141" t="s">
        <v>733</v>
      </c>
      <c r="F141" s="141" t="s">
        <v>1483</v>
      </c>
      <c r="G141" s="141"/>
      <c r="H141" s="141" t="s">
        <v>354</v>
      </c>
      <c r="I141" s="141"/>
      <c r="J141" s="141" t="s">
        <v>355</v>
      </c>
      <c r="K141" s="141" t="s">
        <v>422</v>
      </c>
      <c r="L141" s="141"/>
      <c r="M141" s="141"/>
      <c r="N141" s="141" t="s">
        <v>370</v>
      </c>
      <c r="O141" s="141" t="s">
        <v>359</v>
      </c>
      <c r="P141" s="141" t="s">
        <v>360</v>
      </c>
      <c r="Q141" s="141" t="s">
        <v>361</v>
      </c>
      <c r="R141" s="141" t="s">
        <v>362</v>
      </c>
      <c r="S141" s="141" t="s">
        <v>442</v>
      </c>
      <c r="T141" s="141" t="s">
        <v>1909</v>
      </c>
      <c r="U141" s="141" t="s">
        <v>1909</v>
      </c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 t="s">
        <v>355</v>
      </c>
      <c r="AL141" s="141" t="s">
        <v>365</v>
      </c>
      <c r="AM141" s="141" t="s">
        <v>355</v>
      </c>
      <c r="AN141" s="141" t="s">
        <v>905</v>
      </c>
      <c r="AO141" s="141" t="s">
        <v>1909</v>
      </c>
      <c r="AP141" s="141" t="s">
        <v>1910</v>
      </c>
      <c r="AQ141" s="141" t="s">
        <v>1911</v>
      </c>
      <c r="AR141" s="141" t="s">
        <v>409</v>
      </c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73"/>
    </row>
    <row r="142" spans="2:105" x14ac:dyDescent="0.25">
      <c r="B142" s="172"/>
      <c r="C142" s="141" t="s">
        <v>2168</v>
      </c>
      <c r="D142" s="141" t="s">
        <v>2169</v>
      </c>
      <c r="E142" s="141" t="s">
        <v>2170</v>
      </c>
      <c r="F142" s="141" t="s">
        <v>1249</v>
      </c>
      <c r="G142" s="141"/>
      <c r="H142" s="141" t="s">
        <v>354</v>
      </c>
      <c r="I142" s="141"/>
      <c r="J142" s="141" t="s">
        <v>355</v>
      </c>
      <c r="K142" s="141" t="s">
        <v>2171</v>
      </c>
      <c r="L142" s="141"/>
      <c r="M142" s="141"/>
      <c r="N142" s="141" t="s">
        <v>370</v>
      </c>
      <c r="O142" s="141" t="s">
        <v>392</v>
      </c>
      <c r="P142" s="141" t="s">
        <v>393</v>
      </c>
      <c r="Q142" s="141" t="s">
        <v>393</v>
      </c>
      <c r="R142" s="141" t="s">
        <v>362</v>
      </c>
      <c r="S142" s="141" t="s">
        <v>442</v>
      </c>
      <c r="T142" s="141" t="s">
        <v>1909</v>
      </c>
      <c r="U142" s="141" t="s">
        <v>1909</v>
      </c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 t="s">
        <v>355</v>
      </c>
      <c r="AL142" s="141" t="s">
        <v>365</v>
      </c>
      <c r="AM142" s="141" t="s">
        <v>355</v>
      </c>
      <c r="AN142" s="141" t="s">
        <v>905</v>
      </c>
      <c r="AO142" s="141" t="s">
        <v>1909</v>
      </c>
      <c r="AP142" s="141" t="s">
        <v>1910</v>
      </c>
      <c r="AQ142" s="141" t="s">
        <v>1911</v>
      </c>
      <c r="AR142" s="141" t="s">
        <v>409</v>
      </c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73"/>
    </row>
    <row r="143" spans="2:105" x14ac:dyDescent="0.25">
      <c r="B143" s="172"/>
      <c r="C143" s="141" t="s">
        <v>2172</v>
      </c>
      <c r="D143" s="141" t="s">
        <v>2173</v>
      </c>
      <c r="E143" s="141" t="s">
        <v>2174</v>
      </c>
      <c r="F143" s="141" t="s">
        <v>2175</v>
      </c>
      <c r="G143" s="141"/>
      <c r="H143" s="141" t="s">
        <v>354</v>
      </c>
      <c r="I143" s="141"/>
      <c r="J143" s="141" t="s">
        <v>355</v>
      </c>
      <c r="K143" s="141" t="s">
        <v>2176</v>
      </c>
      <c r="L143" s="141"/>
      <c r="M143" s="141"/>
      <c r="N143" s="141" t="s">
        <v>370</v>
      </c>
      <c r="O143" s="141" t="s">
        <v>370</v>
      </c>
      <c r="P143" s="141" t="s">
        <v>529</v>
      </c>
      <c r="Q143" s="141" t="s">
        <v>530</v>
      </c>
      <c r="R143" s="141" t="s">
        <v>362</v>
      </c>
      <c r="S143" s="141" t="s">
        <v>442</v>
      </c>
      <c r="T143" s="141" t="s">
        <v>1909</v>
      </c>
      <c r="U143" s="141" t="s">
        <v>1909</v>
      </c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 t="s">
        <v>355</v>
      </c>
      <c r="AL143" s="141" t="s">
        <v>365</v>
      </c>
      <c r="AM143" s="141" t="s">
        <v>355</v>
      </c>
      <c r="AN143" s="141" t="s">
        <v>905</v>
      </c>
      <c r="AO143" s="141" t="s">
        <v>1909</v>
      </c>
      <c r="AP143" s="141" t="s">
        <v>1910</v>
      </c>
      <c r="AQ143" s="141" t="s">
        <v>1911</v>
      </c>
      <c r="AR143" s="141" t="s">
        <v>409</v>
      </c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73"/>
    </row>
    <row r="144" spans="2:105" x14ac:dyDescent="0.25">
      <c r="B144" s="172"/>
      <c r="C144" s="141"/>
      <c r="D144" s="141" t="s">
        <v>2177</v>
      </c>
      <c r="E144" s="141"/>
      <c r="F144" s="141" t="s">
        <v>467</v>
      </c>
      <c r="G144" s="141"/>
      <c r="H144" s="141" t="s">
        <v>354</v>
      </c>
      <c r="I144" s="141"/>
      <c r="J144" s="141" t="s">
        <v>355</v>
      </c>
      <c r="K144" s="141" t="s">
        <v>406</v>
      </c>
      <c r="L144" s="141"/>
      <c r="M144" s="141"/>
      <c r="N144" s="141" t="s">
        <v>355</v>
      </c>
      <c r="O144" s="141"/>
      <c r="P144" s="141"/>
      <c r="Q144" s="141"/>
      <c r="R144" s="141"/>
      <c r="S144" s="141" t="s">
        <v>442</v>
      </c>
      <c r="T144" s="141" t="s">
        <v>1909</v>
      </c>
      <c r="U144" s="141" t="s">
        <v>1909</v>
      </c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 t="s">
        <v>355</v>
      </c>
      <c r="AL144" s="141" t="s">
        <v>365</v>
      </c>
      <c r="AM144" s="141" t="s">
        <v>355</v>
      </c>
      <c r="AN144" s="141" t="s">
        <v>905</v>
      </c>
      <c r="AO144" s="141" t="s">
        <v>1909</v>
      </c>
      <c r="AP144" s="141" t="s">
        <v>1910</v>
      </c>
      <c r="AQ144" s="141" t="s">
        <v>1911</v>
      </c>
      <c r="AR144" s="141" t="s">
        <v>409</v>
      </c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73"/>
    </row>
    <row r="145" spans="2:105" x14ac:dyDescent="0.25">
      <c r="B145" s="172"/>
      <c r="C145" s="141" t="s">
        <v>2178</v>
      </c>
      <c r="D145" s="141" t="s">
        <v>2179</v>
      </c>
      <c r="E145" s="141" t="s">
        <v>452</v>
      </c>
      <c r="F145" s="141" t="s">
        <v>1944</v>
      </c>
      <c r="G145" s="141"/>
      <c r="H145" s="141" t="s">
        <v>354</v>
      </c>
      <c r="I145" s="141"/>
      <c r="J145" s="141" t="s">
        <v>355</v>
      </c>
      <c r="K145" s="141" t="s">
        <v>2180</v>
      </c>
      <c r="L145" s="141"/>
      <c r="M145" s="141"/>
      <c r="N145" s="141" t="s">
        <v>394</v>
      </c>
      <c r="O145" s="141" t="s">
        <v>427</v>
      </c>
      <c r="P145" s="141" t="s">
        <v>455</v>
      </c>
      <c r="Q145" s="141" t="s">
        <v>456</v>
      </c>
      <c r="R145" s="141" t="s">
        <v>362</v>
      </c>
      <c r="S145" s="141" t="s">
        <v>442</v>
      </c>
      <c r="T145" s="141" t="s">
        <v>1909</v>
      </c>
      <c r="U145" s="141" t="s">
        <v>1909</v>
      </c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 t="s">
        <v>355</v>
      </c>
      <c r="AL145" s="141" t="s">
        <v>365</v>
      </c>
      <c r="AM145" s="141" t="s">
        <v>355</v>
      </c>
      <c r="AN145" s="141" t="s">
        <v>905</v>
      </c>
      <c r="AO145" s="141" t="s">
        <v>1909</v>
      </c>
      <c r="AP145" s="141" t="s">
        <v>1910</v>
      </c>
      <c r="AQ145" s="141" t="s">
        <v>1911</v>
      </c>
      <c r="AR145" s="141" t="s">
        <v>409</v>
      </c>
      <c r="AS145" s="141"/>
      <c r="AT145" s="141"/>
      <c r="AU145" s="141"/>
      <c r="AV145" s="141" t="s">
        <v>764</v>
      </c>
      <c r="AW145" s="141" t="s">
        <v>2181</v>
      </c>
      <c r="AX145" s="141" t="s">
        <v>1882</v>
      </c>
      <c r="AY145" s="141" t="s">
        <v>2182</v>
      </c>
      <c r="AZ145" s="141" t="s">
        <v>775</v>
      </c>
      <c r="BA145" s="141" t="s">
        <v>2183</v>
      </c>
      <c r="BB145" s="141" t="s">
        <v>777</v>
      </c>
      <c r="BC145" s="141" t="s">
        <v>2184</v>
      </c>
      <c r="BD145" s="141" t="s">
        <v>779</v>
      </c>
      <c r="BE145" s="141" t="s">
        <v>2185</v>
      </c>
      <c r="BF145" s="141" t="s">
        <v>891</v>
      </c>
      <c r="BG145" s="141" t="s">
        <v>2186</v>
      </c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73"/>
    </row>
    <row r="146" spans="2:105" x14ac:dyDescent="0.25">
      <c r="B146" s="172"/>
      <c r="C146" s="141"/>
      <c r="D146" s="141" t="s">
        <v>2187</v>
      </c>
      <c r="E146" s="141"/>
      <c r="F146" s="141" t="s">
        <v>467</v>
      </c>
      <c r="G146" s="141"/>
      <c r="H146" s="141" t="s">
        <v>354</v>
      </c>
      <c r="I146" s="141"/>
      <c r="J146" s="141" t="s">
        <v>355</v>
      </c>
      <c r="K146" s="141" t="s">
        <v>2188</v>
      </c>
      <c r="L146" s="141"/>
      <c r="M146" s="141"/>
      <c r="N146" s="141" t="s">
        <v>355</v>
      </c>
      <c r="O146" s="141"/>
      <c r="P146" s="141"/>
      <c r="Q146" s="141"/>
      <c r="R146" s="141"/>
      <c r="S146" s="141" t="s">
        <v>442</v>
      </c>
      <c r="T146" s="141" t="s">
        <v>1909</v>
      </c>
      <c r="U146" s="141" t="s">
        <v>1909</v>
      </c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 t="s">
        <v>355</v>
      </c>
      <c r="AL146" s="141" t="s">
        <v>365</v>
      </c>
      <c r="AM146" s="141" t="s">
        <v>355</v>
      </c>
      <c r="AN146" s="141" t="s">
        <v>905</v>
      </c>
      <c r="AO146" s="141" t="s">
        <v>1909</v>
      </c>
      <c r="AP146" s="141" t="s">
        <v>1910</v>
      </c>
      <c r="AQ146" s="141" t="s">
        <v>1911</v>
      </c>
      <c r="AR146" s="141" t="s">
        <v>409</v>
      </c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73"/>
    </row>
    <row r="147" spans="2:105" x14ac:dyDescent="0.25">
      <c r="B147" s="172"/>
      <c r="C147" s="141" t="s">
        <v>2189</v>
      </c>
      <c r="D147" s="141" t="s">
        <v>2190</v>
      </c>
      <c r="E147" s="141" t="s">
        <v>2191</v>
      </c>
      <c r="F147" s="141" t="s">
        <v>1336</v>
      </c>
      <c r="G147" s="141"/>
      <c r="H147" s="141" t="s">
        <v>354</v>
      </c>
      <c r="I147" s="141"/>
      <c r="J147" s="141" t="s">
        <v>355</v>
      </c>
      <c r="K147" s="141" t="s">
        <v>2192</v>
      </c>
      <c r="L147" s="141" t="s">
        <v>2193</v>
      </c>
      <c r="M147" s="141" t="s">
        <v>2194</v>
      </c>
      <c r="N147" s="141" t="s">
        <v>355</v>
      </c>
      <c r="O147" s="141" t="s">
        <v>442</v>
      </c>
      <c r="P147" s="141" t="s">
        <v>478</v>
      </c>
      <c r="Q147" s="141" t="s">
        <v>479</v>
      </c>
      <c r="R147" s="141" t="s">
        <v>362</v>
      </c>
      <c r="S147" s="141" t="s">
        <v>427</v>
      </c>
      <c r="T147" s="141" t="s">
        <v>2195</v>
      </c>
      <c r="U147" s="141" t="s">
        <v>2195</v>
      </c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 t="s">
        <v>355</v>
      </c>
      <c r="AL147" s="141" t="s">
        <v>365</v>
      </c>
      <c r="AM147" s="141" t="s">
        <v>355</v>
      </c>
      <c r="AN147" s="141" t="s">
        <v>907</v>
      </c>
      <c r="AO147" s="141" t="s">
        <v>2195</v>
      </c>
      <c r="AP147" s="141" t="s">
        <v>2196</v>
      </c>
      <c r="AQ147" s="141" t="s">
        <v>2197</v>
      </c>
      <c r="AR147" s="141" t="s">
        <v>369</v>
      </c>
      <c r="AS147" s="141" t="s">
        <v>370</v>
      </c>
      <c r="AT147" s="141"/>
      <c r="AU147" s="141" t="s">
        <v>2193</v>
      </c>
      <c r="AV147" s="141" t="s">
        <v>907</v>
      </c>
      <c r="AW147" s="141" t="s">
        <v>2198</v>
      </c>
      <c r="AX147" s="141" t="s">
        <v>656</v>
      </c>
      <c r="AY147" s="141" t="s">
        <v>2199</v>
      </c>
      <c r="AZ147" s="141" t="s">
        <v>658</v>
      </c>
      <c r="BA147" s="141" t="s">
        <v>2200</v>
      </c>
      <c r="BB147" s="141" t="s">
        <v>660</v>
      </c>
      <c r="BC147" s="141" t="s">
        <v>2201</v>
      </c>
      <c r="BD147" s="141" t="s">
        <v>901</v>
      </c>
      <c r="BE147" s="141" t="s">
        <v>2202</v>
      </c>
      <c r="BF147" s="141" t="s">
        <v>381</v>
      </c>
      <c r="BG147" s="141" t="s">
        <v>2090</v>
      </c>
      <c r="BH147" s="141" t="s">
        <v>383</v>
      </c>
      <c r="BI147" s="141" t="s">
        <v>2203</v>
      </c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73"/>
    </row>
    <row r="148" spans="2:105" x14ac:dyDescent="0.25">
      <c r="B148" s="172"/>
      <c r="C148" s="141" t="s">
        <v>2204</v>
      </c>
      <c r="D148" s="141" t="s">
        <v>2205</v>
      </c>
      <c r="E148" s="141" t="s">
        <v>2206</v>
      </c>
      <c r="F148" s="141" t="s">
        <v>2207</v>
      </c>
      <c r="G148" s="141"/>
      <c r="H148" s="141" t="s">
        <v>354</v>
      </c>
      <c r="I148" s="141"/>
      <c r="J148" s="141" t="s">
        <v>355</v>
      </c>
      <c r="K148" s="141" t="s">
        <v>2208</v>
      </c>
      <c r="L148" s="141" t="s">
        <v>2209</v>
      </c>
      <c r="M148" s="141" t="s">
        <v>2210</v>
      </c>
      <c r="N148" s="141" t="s">
        <v>355</v>
      </c>
      <c r="O148" s="141" t="s">
        <v>427</v>
      </c>
      <c r="P148" s="141" t="s">
        <v>455</v>
      </c>
      <c r="Q148" s="141" t="s">
        <v>456</v>
      </c>
      <c r="R148" s="141" t="s">
        <v>362</v>
      </c>
      <c r="S148" s="141" t="s">
        <v>427</v>
      </c>
      <c r="T148" s="141" t="s">
        <v>2195</v>
      </c>
      <c r="U148" s="141" t="s">
        <v>2195</v>
      </c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 t="s">
        <v>355</v>
      </c>
      <c r="AL148" s="141" t="s">
        <v>365</v>
      </c>
      <c r="AM148" s="141" t="s">
        <v>355</v>
      </c>
      <c r="AN148" s="141" t="s">
        <v>907</v>
      </c>
      <c r="AO148" s="141" t="s">
        <v>2195</v>
      </c>
      <c r="AP148" s="141" t="s">
        <v>2196</v>
      </c>
      <c r="AQ148" s="141" t="s">
        <v>2197</v>
      </c>
      <c r="AR148" s="141" t="s">
        <v>369</v>
      </c>
      <c r="AS148" s="141" t="s">
        <v>394</v>
      </c>
      <c r="AT148" s="141"/>
      <c r="AU148" s="141" t="s">
        <v>2209</v>
      </c>
      <c r="AV148" s="141" t="s">
        <v>907</v>
      </c>
      <c r="AW148" s="141" t="s">
        <v>2211</v>
      </c>
      <c r="AX148" s="141" t="s">
        <v>656</v>
      </c>
      <c r="AY148" s="141" t="s">
        <v>894</v>
      </c>
      <c r="AZ148" s="141" t="s">
        <v>658</v>
      </c>
      <c r="BA148" s="141" t="s">
        <v>2212</v>
      </c>
      <c r="BB148" s="141" t="s">
        <v>660</v>
      </c>
      <c r="BC148" s="141" t="s">
        <v>2213</v>
      </c>
      <c r="BD148" s="141" t="s">
        <v>901</v>
      </c>
      <c r="BE148" s="141" t="s">
        <v>2214</v>
      </c>
      <c r="BF148" s="141" t="s">
        <v>381</v>
      </c>
      <c r="BG148" s="141" t="s">
        <v>2215</v>
      </c>
      <c r="BH148" s="141" t="s">
        <v>383</v>
      </c>
      <c r="BI148" s="141" t="s">
        <v>2216</v>
      </c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73"/>
    </row>
    <row r="149" spans="2:105" x14ac:dyDescent="0.25">
      <c r="B149" s="172"/>
      <c r="C149" s="141" t="s">
        <v>2217</v>
      </c>
      <c r="D149" s="141" t="s">
        <v>2218</v>
      </c>
      <c r="E149" s="141" t="s">
        <v>670</v>
      </c>
      <c r="F149" s="141" t="s">
        <v>453</v>
      </c>
      <c r="G149" s="141"/>
      <c r="H149" s="141" t="s">
        <v>354</v>
      </c>
      <c r="I149" s="141"/>
      <c r="J149" s="141" t="s">
        <v>355</v>
      </c>
      <c r="K149" s="141" t="s">
        <v>807</v>
      </c>
      <c r="L149" s="141" t="s">
        <v>2219</v>
      </c>
      <c r="M149" s="141" t="s">
        <v>2220</v>
      </c>
      <c r="N149" s="141" t="s">
        <v>355</v>
      </c>
      <c r="O149" s="141" t="s">
        <v>427</v>
      </c>
      <c r="P149" s="141" t="s">
        <v>455</v>
      </c>
      <c r="Q149" s="141" t="s">
        <v>456</v>
      </c>
      <c r="R149" s="141" t="s">
        <v>362</v>
      </c>
      <c r="S149" s="141" t="s">
        <v>427</v>
      </c>
      <c r="T149" s="141" t="s">
        <v>2195</v>
      </c>
      <c r="U149" s="141" t="s">
        <v>2195</v>
      </c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 t="s">
        <v>355</v>
      </c>
      <c r="AL149" s="141" t="s">
        <v>365</v>
      </c>
      <c r="AM149" s="141" t="s">
        <v>355</v>
      </c>
      <c r="AN149" s="141" t="s">
        <v>907</v>
      </c>
      <c r="AO149" s="141" t="s">
        <v>2195</v>
      </c>
      <c r="AP149" s="141" t="s">
        <v>2196</v>
      </c>
      <c r="AQ149" s="141" t="s">
        <v>2197</v>
      </c>
      <c r="AR149" s="141" t="s">
        <v>369</v>
      </c>
      <c r="AS149" s="141" t="s">
        <v>359</v>
      </c>
      <c r="AT149" s="141"/>
      <c r="AU149" s="141" t="s">
        <v>2219</v>
      </c>
      <c r="AV149" s="141" t="s">
        <v>907</v>
      </c>
      <c r="AW149" s="141" t="s">
        <v>2221</v>
      </c>
      <c r="AX149" s="141" t="s">
        <v>656</v>
      </c>
      <c r="AY149" s="141" t="s">
        <v>2222</v>
      </c>
      <c r="AZ149" s="141" t="s">
        <v>658</v>
      </c>
      <c r="BA149" s="141" t="s">
        <v>2223</v>
      </c>
      <c r="BB149" s="141" t="s">
        <v>660</v>
      </c>
      <c r="BC149" s="141" t="s">
        <v>1872</v>
      </c>
      <c r="BD149" s="141" t="s">
        <v>901</v>
      </c>
      <c r="BE149" s="141" t="s">
        <v>921</v>
      </c>
      <c r="BF149" s="141" t="s">
        <v>381</v>
      </c>
      <c r="BG149" s="141" t="s">
        <v>1148</v>
      </c>
      <c r="BH149" s="141" t="s">
        <v>383</v>
      </c>
      <c r="BI149" s="141" t="s">
        <v>1672</v>
      </c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73"/>
    </row>
    <row r="150" spans="2:105" x14ac:dyDescent="0.25">
      <c r="B150" s="172"/>
      <c r="C150" s="141" t="s">
        <v>2224</v>
      </c>
      <c r="D150" s="141" t="s">
        <v>2225</v>
      </c>
      <c r="E150" s="141" t="s">
        <v>940</v>
      </c>
      <c r="F150" s="141" t="s">
        <v>2226</v>
      </c>
      <c r="G150" s="141"/>
      <c r="H150" s="141" t="s">
        <v>354</v>
      </c>
      <c r="I150" s="141"/>
      <c r="J150" s="141" t="s">
        <v>355</v>
      </c>
      <c r="K150" s="141" t="s">
        <v>581</v>
      </c>
      <c r="L150" s="141" t="s">
        <v>1766</v>
      </c>
      <c r="M150" s="141" t="s">
        <v>2227</v>
      </c>
      <c r="N150" s="141" t="s">
        <v>355</v>
      </c>
      <c r="O150" s="141" t="s">
        <v>427</v>
      </c>
      <c r="P150" s="141" t="s">
        <v>455</v>
      </c>
      <c r="Q150" s="141" t="s">
        <v>456</v>
      </c>
      <c r="R150" s="141" t="s">
        <v>362</v>
      </c>
      <c r="S150" s="141" t="s">
        <v>427</v>
      </c>
      <c r="T150" s="141" t="s">
        <v>2195</v>
      </c>
      <c r="U150" s="141" t="s">
        <v>2195</v>
      </c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 t="s">
        <v>355</v>
      </c>
      <c r="AL150" s="141" t="s">
        <v>365</v>
      </c>
      <c r="AM150" s="141" t="s">
        <v>355</v>
      </c>
      <c r="AN150" s="141" t="s">
        <v>907</v>
      </c>
      <c r="AO150" s="141" t="s">
        <v>2195</v>
      </c>
      <c r="AP150" s="141" t="s">
        <v>2196</v>
      </c>
      <c r="AQ150" s="141" t="s">
        <v>2197</v>
      </c>
      <c r="AR150" s="141" t="s">
        <v>369</v>
      </c>
      <c r="AS150" s="141" t="s">
        <v>427</v>
      </c>
      <c r="AT150" s="141"/>
      <c r="AU150" s="141" t="s">
        <v>1766</v>
      </c>
      <c r="AV150" s="141" t="s">
        <v>907</v>
      </c>
      <c r="AW150" s="141" t="s">
        <v>2228</v>
      </c>
      <c r="AX150" s="141" t="s">
        <v>656</v>
      </c>
      <c r="AY150" s="141" t="s">
        <v>1750</v>
      </c>
      <c r="AZ150" s="141" t="s">
        <v>658</v>
      </c>
      <c r="BA150" s="141" t="s">
        <v>1582</v>
      </c>
      <c r="BB150" s="141" t="s">
        <v>660</v>
      </c>
      <c r="BC150" s="141" t="s">
        <v>2100</v>
      </c>
      <c r="BD150" s="141" t="s">
        <v>901</v>
      </c>
      <c r="BE150" s="141" t="s">
        <v>2229</v>
      </c>
      <c r="BF150" s="141" t="s">
        <v>381</v>
      </c>
      <c r="BG150" s="141" t="s">
        <v>2230</v>
      </c>
      <c r="BH150" s="141" t="s">
        <v>383</v>
      </c>
      <c r="BI150" s="141" t="s">
        <v>2231</v>
      </c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73"/>
    </row>
    <row r="151" spans="2:105" x14ac:dyDescent="0.25">
      <c r="B151" s="172"/>
      <c r="C151" s="141" t="s">
        <v>2232</v>
      </c>
      <c r="D151" s="141" t="s">
        <v>2233</v>
      </c>
      <c r="E151" s="141" t="s">
        <v>765</v>
      </c>
      <c r="F151" s="141" t="s">
        <v>590</v>
      </c>
      <c r="G151" s="141"/>
      <c r="H151" s="141" t="s">
        <v>354</v>
      </c>
      <c r="I151" s="141"/>
      <c r="J151" s="141" t="s">
        <v>355</v>
      </c>
      <c r="K151" s="141" t="s">
        <v>2234</v>
      </c>
      <c r="L151" s="141" t="s">
        <v>2235</v>
      </c>
      <c r="M151" s="141" t="s">
        <v>2236</v>
      </c>
      <c r="N151" s="141" t="s">
        <v>355</v>
      </c>
      <c r="O151" s="141" t="s">
        <v>394</v>
      </c>
      <c r="P151" s="141" t="s">
        <v>425</v>
      </c>
      <c r="Q151" s="141" t="s">
        <v>426</v>
      </c>
      <c r="R151" s="141" t="s">
        <v>362</v>
      </c>
      <c r="S151" s="141" t="s">
        <v>427</v>
      </c>
      <c r="T151" s="141" t="s">
        <v>2195</v>
      </c>
      <c r="U151" s="141" t="s">
        <v>2195</v>
      </c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 t="s">
        <v>355</v>
      </c>
      <c r="AL151" s="141" t="s">
        <v>365</v>
      </c>
      <c r="AM151" s="141" t="s">
        <v>355</v>
      </c>
      <c r="AN151" s="141" t="s">
        <v>907</v>
      </c>
      <c r="AO151" s="141" t="s">
        <v>2195</v>
      </c>
      <c r="AP151" s="141" t="s">
        <v>2196</v>
      </c>
      <c r="AQ151" s="141" t="s">
        <v>2197</v>
      </c>
      <c r="AR151" s="141" t="s">
        <v>369</v>
      </c>
      <c r="AS151" s="141" t="s">
        <v>442</v>
      </c>
      <c r="AT151" s="141"/>
      <c r="AU151" s="141" t="s">
        <v>2235</v>
      </c>
      <c r="AV151" s="141" t="s">
        <v>907</v>
      </c>
      <c r="AW151" s="141" t="s">
        <v>2237</v>
      </c>
      <c r="AX151" s="141" t="s">
        <v>656</v>
      </c>
      <c r="AY151" s="141" t="s">
        <v>2238</v>
      </c>
      <c r="AZ151" s="141" t="s">
        <v>658</v>
      </c>
      <c r="BA151" s="141" t="s">
        <v>2239</v>
      </c>
      <c r="BB151" s="141" t="s">
        <v>660</v>
      </c>
      <c r="BC151" s="141" t="s">
        <v>2240</v>
      </c>
      <c r="BD151" s="141" t="s">
        <v>901</v>
      </c>
      <c r="BE151" s="141" t="s">
        <v>1414</v>
      </c>
      <c r="BF151" s="141" t="s">
        <v>381</v>
      </c>
      <c r="BG151" s="141" t="s">
        <v>2241</v>
      </c>
      <c r="BH151" s="141" t="s">
        <v>383</v>
      </c>
      <c r="BI151" s="141" t="s">
        <v>582</v>
      </c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73"/>
    </row>
    <row r="152" spans="2:105" x14ac:dyDescent="0.25">
      <c r="B152" s="172"/>
      <c r="C152" s="141" t="s">
        <v>2242</v>
      </c>
      <c r="D152" s="141" t="s">
        <v>2243</v>
      </c>
      <c r="E152" s="141" t="s">
        <v>2244</v>
      </c>
      <c r="F152" s="141" t="s">
        <v>2245</v>
      </c>
      <c r="G152" s="141"/>
      <c r="H152" s="141" t="s">
        <v>354</v>
      </c>
      <c r="I152" s="141"/>
      <c r="J152" s="141" t="s">
        <v>355</v>
      </c>
      <c r="K152" s="141" t="s">
        <v>2246</v>
      </c>
      <c r="L152" s="141" t="s">
        <v>2247</v>
      </c>
      <c r="M152" s="141" t="s">
        <v>2248</v>
      </c>
      <c r="N152" s="141" t="s">
        <v>355</v>
      </c>
      <c r="O152" s="141" t="s">
        <v>370</v>
      </c>
      <c r="P152" s="141" t="s">
        <v>529</v>
      </c>
      <c r="Q152" s="141" t="s">
        <v>530</v>
      </c>
      <c r="R152" s="141" t="s">
        <v>362</v>
      </c>
      <c r="S152" s="141" t="s">
        <v>427</v>
      </c>
      <c r="T152" s="141" t="s">
        <v>2195</v>
      </c>
      <c r="U152" s="141" t="s">
        <v>2195</v>
      </c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 t="s">
        <v>355</v>
      </c>
      <c r="AL152" s="141" t="s">
        <v>365</v>
      </c>
      <c r="AM152" s="141" t="s">
        <v>355</v>
      </c>
      <c r="AN152" s="141" t="s">
        <v>907</v>
      </c>
      <c r="AO152" s="141" t="s">
        <v>2195</v>
      </c>
      <c r="AP152" s="141" t="s">
        <v>2196</v>
      </c>
      <c r="AQ152" s="141" t="s">
        <v>2197</v>
      </c>
      <c r="AR152" s="141" t="s">
        <v>369</v>
      </c>
      <c r="AS152" s="141" t="s">
        <v>392</v>
      </c>
      <c r="AT152" s="141"/>
      <c r="AU152" s="141" t="s">
        <v>2247</v>
      </c>
      <c r="AV152" s="141" t="s">
        <v>907</v>
      </c>
      <c r="AW152" s="141" t="s">
        <v>2249</v>
      </c>
      <c r="AX152" s="141" t="s">
        <v>656</v>
      </c>
      <c r="AY152" s="141" t="s">
        <v>2250</v>
      </c>
      <c r="AZ152" s="141" t="s">
        <v>658</v>
      </c>
      <c r="BA152" s="141" t="s">
        <v>2251</v>
      </c>
      <c r="BB152" s="141" t="s">
        <v>660</v>
      </c>
      <c r="BC152" s="141" t="s">
        <v>799</v>
      </c>
      <c r="BD152" s="141" t="s">
        <v>901</v>
      </c>
      <c r="BE152" s="141" t="s">
        <v>1655</v>
      </c>
      <c r="BF152" s="141" t="s">
        <v>381</v>
      </c>
      <c r="BG152" s="141" t="s">
        <v>2252</v>
      </c>
      <c r="BH152" s="141" t="s">
        <v>383</v>
      </c>
      <c r="BI152" s="141" t="s">
        <v>2253</v>
      </c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73"/>
    </row>
    <row r="153" spans="2:105" x14ac:dyDescent="0.25">
      <c r="B153" s="172"/>
      <c r="C153" s="141" t="s">
        <v>2254</v>
      </c>
      <c r="D153" s="141" t="s">
        <v>2255</v>
      </c>
      <c r="E153" s="141" t="s">
        <v>2256</v>
      </c>
      <c r="F153" s="141" t="s">
        <v>2257</v>
      </c>
      <c r="G153" s="141"/>
      <c r="H153" s="141" t="s">
        <v>354</v>
      </c>
      <c r="I153" s="141"/>
      <c r="J153" s="141" t="s">
        <v>355</v>
      </c>
      <c r="K153" s="141" t="s">
        <v>921</v>
      </c>
      <c r="L153" s="141" t="s">
        <v>2258</v>
      </c>
      <c r="M153" s="141" t="s">
        <v>2103</v>
      </c>
      <c r="N153" s="141" t="s">
        <v>355</v>
      </c>
      <c r="O153" s="141" t="s">
        <v>370</v>
      </c>
      <c r="P153" s="141" t="s">
        <v>529</v>
      </c>
      <c r="Q153" s="141" t="s">
        <v>530</v>
      </c>
      <c r="R153" s="141" t="s">
        <v>362</v>
      </c>
      <c r="S153" s="141" t="s">
        <v>427</v>
      </c>
      <c r="T153" s="141" t="s">
        <v>2195</v>
      </c>
      <c r="U153" s="141" t="s">
        <v>2195</v>
      </c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 t="s">
        <v>355</v>
      </c>
      <c r="AL153" s="141" t="s">
        <v>365</v>
      </c>
      <c r="AM153" s="141" t="s">
        <v>355</v>
      </c>
      <c r="AN153" s="141" t="s">
        <v>907</v>
      </c>
      <c r="AO153" s="141" t="s">
        <v>2195</v>
      </c>
      <c r="AP153" s="141" t="s">
        <v>2196</v>
      </c>
      <c r="AQ153" s="141" t="s">
        <v>2197</v>
      </c>
      <c r="AR153" s="141" t="s">
        <v>369</v>
      </c>
      <c r="AS153" s="141" t="s">
        <v>369</v>
      </c>
      <c r="AT153" s="141"/>
      <c r="AU153" s="141" t="s">
        <v>2258</v>
      </c>
      <c r="AV153" s="141" t="s">
        <v>907</v>
      </c>
      <c r="AW153" s="141" t="s">
        <v>2259</v>
      </c>
      <c r="AX153" s="141" t="s">
        <v>656</v>
      </c>
      <c r="AY153" s="141" t="s">
        <v>2260</v>
      </c>
      <c r="AZ153" s="141" t="s">
        <v>658</v>
      </c>
      <c r="BA153" s="141" t="s">
        <v>2261</v>
      </c>
      <c r="BB153" s="141" t="s">
        <v>660</v>
      </c>
      <c r="BC153" s="141" t="s">
        <v>2262</v>
      </c>
      <c r="BD153" s="141" t="s">
        <v>901</v>
      </c>
      <c r="BE153" s="141" t="s">
        <v>2241</v>
      </c>
      <c r="BF153" s="141" t="s">
        <v>381</v>
      </c>
      <c r="BG153" s="141" t="s">
        <v>2263</v>
      </c>
      <c r="BH153" s="141" t="s">
        <v>383</v>
      </c>
      <c r="BI153" s="141" t="s">
        <v>2264</v>
      </c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73"/>
    </row>
    <row r="154" spans="2:105" x14ac:dyDescent="0.25">
      <c r="B154" s="172"/>
      <c r="C154" s="141" t="s">
        <v>2265</v>
      </c>
      <c r="D154" s="141" t="s">
        <v>486</v>
      </c>
      <c r="E154" s="141" t="s">
        <v>2266</v>
      </c>
      <c r="F154" s="141" t="s">
        <v>2267</v>
      </c>
      <c r="G154" s="141"/>
      <c r="H154" s="141" t="s">
        <v>354</v>
      </c>
      <c r="I154" s="141"/>
      <c r="J154" s="141" t="s">
        <v>355</v>
      </c>
      <c r="K154" s="141" t="s">
        <v>2268</v>
      </c>
      <c r="L154" s="141" t="s">
        <v>2269</v>
      </c>
      <c r="M154" s="141" t="s">
        <v>1807</v>
      </c>
      <c r="N154" s="141" t="s">
        <v>355</v>
      </c>
      <c r="O154" s="141" t="s">
        <v>486</v>
      </c>
      <c r="P154" s="141" t="s">
        <v>1631</v>
      </c>
      <c r="Q154" s="141" t="s">
        <v>1632</v>
      </c>
      <c r="R154" s="141" t="s">
        <v>362</v>
      </c>
      <c r="S154" s="141" t="s">
        <v>427</v>
      </c>
      <c r="T154" s="141" t="s">
        <v>2195</v>
      </c>
      <c r="U154" s="141" t="s">
        <v>2195</v>
      </c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 t="s">
        <v>355</v>
      </c>
      <c r="AL154" s="141" t="s">
        <v>365</v>
      </c>
      <c r="AM154" s="141" t="s">
        <v>355</v>
      </c>
      <c r="AN154" s="141" t="s">
        <v>907</v>
      </c>
      <c r="AO154" s="141" t="s">
        <v>2195</v>
      </c>
      <c r="AP154" s="141" t="s">
        <v>2196</v>
      </c>
      <c r="AQ154" s="141" t="s">
        <v>2197</v>
      </c>
      <c r="AR154" s="141" t="s">
        <v>369</v>
      </c>
      <c r="AS154" s="141" t="s">
        <v>409</v>
      </c>
      <c r="AT154" s="141"/>
      <c r="AU154" s="141" t="s">
        <v>2269</v>
      </c>
      <c r="AV154" s="141" t="s">
        <v>907</v>
      </c>
      <c r="AW154" s="141" t="s">
        <v>2270</v>
      </c>
      <c r="AX154" s="141" t="s">
        <v>656</v>
      </c>
      <c r="AY154" s="141" t="s">
        <v>2271</v>
      </c>
      <c r="AZ154" s="141" t="s">
        <v>658</v>
      </c>
      <c r="BA154" s="141" t="s">
        <v>2272</v>
      </c>
      <c r="BB154" s="141" t="s">
        <v>660</v>
      </c>
      <c r="BC154" s="141" t="s">
        <v>2273</v>
      </c>
      <c r="BD154" s="141" t="s">
        <v>901</v>
      </c>
      <c r="BE154" s="141" t="s">
        <v>2274</v>
      </c>
      <c r="BF154" s="141" t="s">
        <v>381</v>
      </c>
      <c r="BG154" s="141" t="s">
        <v>2160</v>
      </c>
      <c r="BH154" s="141" t="s">
        <v>383</v>
      </c>
      <c r="BI154" s="141" t="s">
        <v>2275</v>
      </c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73"/>
    </row>
    <row r="155" spans="2:105" x14ac:dyDescent="0.25">
      <c r="B155" s="172"/>
      <c r="C155" s="141" t="s">
        <v>2276</v>
      </c>
      <c r="D155" s="141" t="s">
        <v>2277</v>
      </c>
      <c r="E155" s="141" t="s">
        <v>2278</v>
      </c>
      <c r="F155" s="141" t="s">
        <v>2207</v>
      </c>
      <c r="G155" s="141"/>
      <c r="H155" s="141" t="s">
        <v>354</v>
      </c>
      <c r="I155" s="141"/>
      <c r="J155" s="141" t="s">
        <v>355</v>
      </c>
      <c r="K155" s="141" t="s">
        <v>468</v>
      </c>
      <c r="L155" s="141" t="s">
        <v>2279</v>
      </c>
      <c r="M155" s="141" t="s">
        <v>2280</v>
      </c>
      <c r="N155" s="141" t="s">
        <v>355</v>
      </c>
      <c r="O155" s="141" t="s">
        <v>370</v>
      </c>
      <c r="P155" s="141" t="s">
        <v>529</v>
      </c>
      <c r="Q155" s="141" t="s">
        <v>530</v>
      </c>
      <c r="R155" s="141" t="s">
        <v>362</v>
      </c>
      <c r="S155" s="141" t="s">
        <v>427</v>
      </c>
      <c r="T155" s="141" t="s">
        <v>2195</v>
      </c>
      <c r="U155" s="141" t="s">
        <v>2195</v>
      </c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 t="s">
        <v>355</v>
      </c>
      <c r="AL155" s="141" t="s">
        <v>365</v>
      </c>
      <c r="AM155" s="141" t="s">
        <v>355</v>
      </c>
      <c r="AN155" s="141" t="s">
        <v>907</v>
      </c>
      <c r="AO155" s="141" t="s">
        <v>2195</v>
      </c>
      <c r="AP155" s="141" t="s">
        <v>2196</v>
      </c>
      <c r="AQ155" s="141" t="s">
        <v>2197</v>
      </c>
      <c r="AR155" s="141" t="s">
        <v>369</v>
      </c>
      <c r="AS155" s="141" t="s">
        <v>491</v>
      </c>
      <c r="AT155" s="141"/>
      <c r="AU155" s="141" t="s">
        <v>2279</v>
      </c>
      <c r="AV155" s="141" t="s">
        <v>907</v>
      </c>
      <c r="AW155" s="141" t="s">
        <v>2281</v>
      </c>
      <c r="AX155" s="141" t="s">
        <v>656</v>
      </c>
      <c r="AY155" s="141" t="s">
        <v>2110</v>
      </c>
      <c r="AZ155" s="141" t="s">
        <v>658</v>
      </c>
      <c r="BA155" s="141" t="s">
        <v>398</v>
      </c>
      <c r="BB155" s="141" t="s">
        <v>660</v>
      </c>
      <c r="BC155" s="141" t="s">
        <v>1201</v>
      </c>
      <c r="BD155" s="141" t="s">
        <v>901</v>
      </c>
      <c r="BE155" s="141" t="s">
        <v>1443</v>
      </c>
      <c r="BF155" s="141" t="s">
        <v>381</v>
      </c>
      <c r="BG155" s="141" t="s">
        <v>2282</v>
      </c>
      <c r="BH155" s="141" t="s">
        <v>383</v>
      </c>
      <c r="BI155" s="141" t="s">
        <v>1204</v>
      </c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73"/>
    </row>
    <row r="156" spans="2:105" x14ac:dyDescent="0.25">
      <c r="B156" s="172"/>
      <c r="C156" s="141" t="s">
        <v>2283</v>
      </c>
      <c r="D156" s="141" t="s">
        <v>2284</v>
      </c>
      <c r="E156" s="141" t="s">
        <v>1125</v>
      </c>
      <c r="F156" s="141" t="s">
        <v>1524</v>
      </c>
      <c r="G156" s="141"/>
      <c r="H156" s="141" t="s">
        <v>354</v>
      </c>
      <c r="I156" s="141"/>
      <c r="J156" s="141" t="s">
        <v>355</v>
      </c>
      <c r="K156" s="141" t="s">
        <v>356</v>
      </c>
      <c r="L156" s="141" t="s">
        <v>2285</v>
      </c>
      <c r="M156" s="141" t="s">
        <v>2286</v>
      </c>
      <c r="N156" s="141" t="s">
        <v>355</v>
      </c>
      <c r="O156" s="141" t="s">
        <v>370</v>
      </c>
      <c r="P156" s="141" t="s">
        <v>529</v>
      </c>
      <c r="Q156" s="141" t="s">
        <v>530</v>
      </c>
      <c r="R156" s="141" t="s">
        <v>362</v>
      </c>
      <c r="S156" s="141" t="s">
        <v>427</v>
      </c>
      <c r="T156" s="141" t="s">
        <v>2195</v>
      </c>
      <c r="U156" s="141" t="s">
        <v>2195</v>
      </c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 t="s">
        <v>355</v>
      </c>
      <c r="AL156" s="141" t="s">
        <v>365</v>
      </c>
      <c r="AM156" s="141" t="s">
        <v>355</v>
      </c>
      <c r="AN156" s="141" t="s">
        <v>907</v>
      </c>
      <c r="AO156" s="141" t="s">
        <v>2195</v>
      </c>
      <c r="AP156" s="141" t="s">
        <v>2196</v>
      </c>
      <c r="AQ156" s="141" t="s">
        <v>2197</v>
      </c>
      <c r="AR156" s="141" t="s">
        <v>369</v>
      </c>
      <c r="AS156" s="141" t="s">
        <v>486</v>
      </c>
      <c r="AT156" s="141"/>
      <c r="AU156" s="141" t="s">
        <v>2285</v>
      </c>
      <c r="AV156" s="141" t="s">
        <v>907</v>
      </c>
      <c r="AW156" s="141" t="s">
        <v>2287</v>
      </c>
      <c r="AX156" s="141" t="s">
        <v>656</v>
      </c>
      <c r="AY156" s="141" t="s">
        <v>2288</v>
      </c>
      <c r="AZ156" s="141" t="s">
        <v>658</v>
      </c>
      <c r="BA156" s="141" t="s">
        <v>2289</v>
      </c>
      <c r="BB156" s="141" t="s">
        <v>660</v>
      </c>
      <c r="BC156" s="141" t="s">
        <v>1753</v>
      </c>
      <c r="BD156" s="141" t="s">
        <v>901</v>
      </c>
      <c r="BE156" s="141" t="s">
        <v>2290</v>
      </c>
      <c r="BF156" s="141" t="s">
        <v>381</v>
      </c>
      <c r="BG156" s="141" t="s">
        <v>1444</v>
      </c>
      <c r="BH156" s="141" t="s">
        <v>383</v>
      </c>
      <c r="BI156" s="141" t="s">
        <v>2291</v>
      </c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73"/>
    </row>
    <row r="157" spans="2:105" x14ac:dyDescent="0.25">
      <c r="B157" s="172"/>
      <c r="C157" s="141" t="s">
        <v>2292</v>
      </c>
      <c r="D157" s="141" t="s">
        <v>2293</v>
      </c>
      <c r="E157" s="141" t="s">
        <v>1745</v>
      </c>
      <c r="F157" s="141" t="s">
        <v>1944</v>
      </c>
      <c r="G157" s="141"/>
      <c r="H157" s="141" t="s">
        <v>354</v>
      </c>
      <c r="I157" s="141"/>
      <c r="J157" s="141" t="s">
        <v>355</v>
      </c>
      <c r="K157" s="141" t="s">
        <v>2294</v>
      </c>
      <c r="L157" s="141" t="s">
        <v>2295</v>
      </c>
      <c r="M157" s="141" t="s">
        <v>2296</v>
      </c>
      <c r="N157" s="141" t="s">
        <v>355</v>
      </c>
      <c r="O157" s="141" t="s">
        <v>370</v>
      </c>
      <c r="P157" s="141" t="s">
        <v>529</v>
      </c>
      <c r="Q157" s="141" t="s">
        <v>530</v>
      </c>
      <c r="R157" s="141" t="s">
        <v>362</v>
      </c>
      <c r="S157" s="141" t="s">
        <v>427</v>
      </c>
      <c r="T157" s="141" t="s">
        <v>2195</v>
      </c>
      <c r="U157" s="141" t="s">
        <v>2195</v>
      </c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 t="s">
        <v>355</v>
      </c>
      <c r="AL157" s="141" t="s">
        <v>365</v>
      </c>
      <c r="AM157" s="141" t="s">
        <v>355</v>
      </c>
      <c r="AN157" s="141" t="s">
        <v>907</v>
      </c>
      <c r="AO157" s="141" t="s">
        <v>2195</v>
      </c>
      <c r="AP157" s="141" t="s">
        <v>2196</v>
      </c>
      <c r="AQ157" s="141" t="s">
        <v>2197</v>
      </c>
      <c r="AR157" s="141" t="s">
        <v>369</v>
      </c>
      <c r="AS157" s="141" t="s">
        <v>363</v>
      </c>
      <c r="AT157" s="141"/>
      <c r="AU157" s="141" t="s">
        <v>2295</v>
      </c>
      <c r="AV157" s="141" t="s">
        <v>907</v>
      </c>
      <c r="AW157" s="141" t="s">
        <v>2297</v>
      </c>
      <c r="AX157" s="141" t="s">
        <v>656</v>
      </c>
      <c r="AY157" s="141" t="s">
        <v>2298</v>
      </c>
      <c r="AZ157" s="141" t="s">
        <v>658</v>
      </c>
      <c r="BA157" s="141" t="s">
        <v>781</v>
      </c>
      <c r="BB157" s="141" t="s">
        <v>660</v>
      </c>
      <c r="BC157" s="141" t="s">
        <v>2299</v>
      </c>
      <c r="BD157" s="141" t="s">
        <v>901</v>
      </c>
      <c r="BE157" s="141" t="s">
        <v>2016</v>
      </c>
      <c r="BF157" s="141" t="s">
        <v>381</v>
      </c>
      <c r="BG157" s="141" t="s">
        <v>2300</v>
      </c>
      <c r="BH157" s="141" t="s">
        <v>383</v>
      </c>
      <c r="BI157" s="141" t="s">
        <v>2301</v>
      </c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73"/>
    </row>
    <row r="158" spans="2:105" x14ac:dyDescent="0.25">
      <c r="B158" s="172"/>
      <c r="C158" s="141" t="s">
        <v>2302</v>
      </c>
      <c r="D158" s="141" t="s">
        <v>2303</v>
      </c>
      <c r="E158" s="141" t="s">
        <v>2304</v>
      </c>
      <c r="F158" s="141" t="s">
        <v>2305</v>
      </c>
      <c r="G158" s="141"/>
      <c r="H158" s="141" t="s">
        <v>354</v>
      </c>
      <c r="I158" s="141"/>
      <c r="J158" s="141" t="s">
        <v>355</v>
      </c>
      <c r="K158" s="141" t="s">
        <v>2306</v>
      </c>
      <c r="L158" s="141" t="s">
        <v>2307</v>
      </c>
      <c r="M158" s="141" t="s">
        <v>1287</v>
      </c>
      <c r="N158" s="141" t="s">
        <v>355</v>
      </c>
      <c r="O158" s="141" t="s">
        <v>394</v>
      </c>
      <c r="P158" s="141" t="s">
        <v>425</v>
      </c>
      <c r="Q158" s="141" t="s">
        <v>426</v>
      </c>
      <c r="R158" s="141" t="s">
        <v>362</v>
      </c>
      <c r="S158" s="141" t="s">
        <v>427</v>
      </c>
      <c r="T158" s="141" t="s">
        <v>2195</v>
      </c>
      <c r="U158" s="141" t="s">
        <v>2195</v>
      </c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 t="s">
        <v>355</v>
      </c>
      <c r="AL158" s="141" t="s">
        <v>365</v>
      </c>
      <c r="AM158" s="141" t="s">
        <v>355</v>
      </c>
      <c r="AN158" s="141" t="s">
        <v>907</v>
      </c>
      <c r="AO158" s="141" t="s">
        <v>2195</v>
      </c>
      <c r="AP158" s="141" t="s">
        <v>2196</v>
      </c>
      <c r="AQ158" s="141" t="s">
        <v>2197</v>
      </c>
      <c r="AR158" s="141" t="s">
        <v>369</v>
      </c>
      <c r="AS158" s="141" t="s">
        <v>1280</v>
      </c>
      <c r="AT158" s="141"/>
      <c r="AU158" s="141" t="s">
        <v>2307</v>
      </c>
      <c r="AV158" s="141" t="s">
        <v>907</v>
      </c>
      <c r="AW158" s="141" t="s">
        <v>2308</v>
      </c>
      <c r="AX158" s="141" t="s">
        <v>656</v>
      </c>
      <c r="AY158" s="141" t="s">
        <v>2309</v>
      </c>
      <c r="AZ158" s="141" t="s">
        <v>658</v>
      </c>
      <c r="BA158" s="141" t="s">
        <v>1036</v>
      </c>
      <c r="BB158" s="141" t="s">
        <v>660</v>
      </c>
      <c r="BC158" s="141" t="s">
        <v>2310</v>
      </c>
      <c r="BD158" s="141" t="s">
        <v>901</v>
      </c>
      <c r="BE158" s="141" t="s">
        <v>2311</v>
      </c>
      <c r="BF158" s="141" t="s">
        <v>381</v>
      </c>
      <c r="BG158" s="141" t="s">
        <v>2301</v>
      </c>
      <c r="BH158" s="141" t="s">
        <v>383</v>
      </c>
      <c r="BI158" s="141" t="s">
        <v>1724</v>
      </c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73"/>
    </row>
    <row r="159" spans="2:105" x14ac:dyDescent="0.25">
      <c r="B159" s="172"/>
      <c r="C159" s="141" t="s">
        <v>2312</v>
      </c>
      <c r="D159" s="141" t="s">
        <v>2313</v>
      </c>
      <c r="E159" s="141" t="s">
        <v>2314</v>
      </c>
      <c r="F159" s="141" t="s">
        <v>1006</v>
      </c>
      <c r="G159" s="141"/>
      <c r="H159" s="141" t="s">
        <v>354</v>
      </c>
      <c r="I159" s="141"/>
      <c r="J159" s="141" t="s">
        <v>355</v>
      </c>
      <c r="K159" s="141" t="s">
        <v>872</v>
      </c>
      <c r="L159" s="141" t="s">
        <v>2315</v>
      </c>
      <c r="M159" s="141" t="s">
        <v>2316</v>
      </c>
      <c r="N159" s="141" t="s">
        <v>355</v>
      </c>
      <c r="O159" s="141" t="s">
        <v>394</v>
      </c>
      <c r="P159" s="141" t="s">
        <v>425</v>
      </c>
      <c r="Q159" s="141" t="s">
        <v>426</v>
      </c>
      <c r="R159" s="141" t="s">
        <v>362</v>
      </c>
      <c r="S159" s="141" t="s">
        <v>427</v>
      </c>
      <c r="T159" s="141" t="s">
        <v>2195</v>
      </c>
      <c r="U159" s="141" t="s">
        <v>2195</v>
      </c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 t="s">
        <v>355</v>
      </c>
      <c r="AL159" s="141" t="s">
        <v>365</v>
      </c>
      <c r="AM159" s="141" t="s">
        <v>355</v>
      </c>
      <c r="AN159" s="141" t="s">
        <v>907</v>
      </c>
      <c r="AO159" s="141" t="s">
        <v>2195</v>
      </c>
      <c r="AP159" s="141" t="s">
        <v>2196</v>
      </c>
      <c r="AQ159" s="141" t="s">
        <v>2197</v>
      </c>
      <c r="AR159" s="141" t="s">
        <v>369</v>
      </c>
      <c r="AS159" s="141" t="s">
        <v>1295</v>
      </c>
      <c r="AT159" s="141"/>
      <c r="AU159" s="141" t="s">
        <v>2315</v>
      </c>
      <c r="AV159" s="141" t="s">
        <v>907</v>
      </c>
      <c r="AW159" s="141" t="s">
        <v>2317</v>
      </c>
      <c r="AX159" s="141" t="s">
        <v>656</v>
      </c>
      <c r="AY159" s="141" t="s">
        <v>2318</v>
      </c>
      <c r="AZ159" s="141" t="s">
        <v>658</v>
      </c>
      <c r="BA159" s="141" t="s">
        <v>2319</v>
      </c>
      <c r="BB159" s="141" t="s">
        <v>660</v>
      </c>
      <c r="BC159" s="141" t="s">
        <v>1176</v>
      </c>
      <c r="BD159" s="141" t="s">
        <v>901</v>
      </c>
      <c r="BE159" s="141" t="s">
        <v>2320</v>
      </c>
      <c r="BF159" s="141" t="s">
        <v>381</v>
      </c>
      <c r="BG159" s="141" t="s">
        <v>2321</v>
      </c>
      <c r="BH159" s="141" t="s">
        <v>383</v>
      </c>
      <c r="BI159" s="141" t="s">
        <v>2322</v>
      </c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73"/>
    </row>
    <row r="160" spans="2:105" x14ac:dyDescent="0.25">
      <c r="B160" s="172"/>
      <c r="C160" s="141" t="s">
        <v>2323</v>
      </c>
      <c r="D160" s="141" t="s">
        <v>2324</v>
      </c>
      <c r="E160" s="141" t="s">
        <v>2325</v>
      </c>
      <c r="F160" s="141" t="s">
        <v>2021</v>
      </c>
      <c r="G160" s="141"/>
      <c r="H160" s="141" t="s">
        <v>354</v>
      </c>
      <c r="I160" s="141"/>
      <c r="J160" s="141" t="s">
        <v>355</v>
      </c>
      <c r="K160" s="141" t="s">
        <v>2326</v>
      </c>
      <c r="L160" s="141" t="s">
        <v>2327</v>
      </c>
      <c r="M160" s="141" t="s">
        <v>2328</v>
      </c>
      <c r="N160" s="141" t="s">
        <v>355</v>
      </c>
      <c r="O160" s="141"/>
      <c r="P160" s="141"/>
      <c r="Q160" s="141"/>
      <c r="R160" s="141"/>
      <c r="S160" s="141" t="s">
        <v>427</v>
      </c>
      <c r="T160" s="141" t="s">
        <v>2195</v>
      </c>
      <c r="U160" s="141" t="s">
        <v>2195</v>
      </c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 t="s">
        <v>355</v>
      </c>
      <c r="AL160" s="141" t="s">
        <v>365</v>
      </c>
      <c r="AM160" s="141" t="s">
        <v>355</v>
      </c>
      <c r="AN160" s="141" t="s">
        <v>907</v>
      </c>
      <c r="AO160" s="141" t="s">
        <v>2195</v>
      </c>
      <c r="AP160" s="141" t="s">
        <v>2196</v>
      </c>
      <c r="AQ160" s="141" t="s">
        <v>2197</v>
      </c>
      <c r="AR160" s="141" t="s">
        <v>369</v>
      </c>
      <c r="AS160" s="141" t="s">
        <v>1309</v>
      </c>
      <c r="AT160" s="141"/>
      <c r="AU160" s="141" t="s">
        <v>2327</v>
      </c>
      <c r="AV160" s="141" t="s">
        <v>907</v>
      </c>
      <c r="AW160" s="141" t="s">
        <v>2329</v>
      </c>
      <c r="AX160" s="141" t="s">
        <v>656</v>
      </c>
      <c r="AY160" s="141" t="s">
        <v>2330</v>
      </c>
      <c r="AZ160" s="141" t="s">
        <v>658</v>
      </c>
      <c r="BA160" s="141" t="s">
        <v>2331</v>
      </c>
      <c r="BB160" s="141" t="s">
        <v>660</v>
      </c>
      <c r="BC160" s="141" t="s">
        <v>2332</v>
      </c>
      <c r="BD160" s="141" t="s">
        <v>901</v>
      </c>
      <c r="BE160" s="141" t="s">
        <v>1287</v>
      </c>
      <c r="BF160" s="141" t="s">
        <v>381</v>
      </c>
      <c r="BG160" s="141" t="s">
        <v>2333</v>
      </c>
      <c r="BH160" s="141" t="s">
        <v>383</v>
      </c>
      <c r="BI160" s="141" t="s">
        <v>2334</v>
      </c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73"/>
    </row>
    <row r="161" spans="2:105" x14ac:dyDescent="0.25">
      <c r="B161" s="172"/>
      <c r="C161" s="141" t="s">
        <v>2335</v>
      </c>
      <c r="D161" s="141" t="s">
        <v>660</v>
      </c>
      <c r="E161" s="141" t="s">
        <v>2336</v>
      </c>
      <c r="F161" s="141" t="s">
        <v>1867</v>
      </c>
      <c r="G161" s="141"/>
      <c r="H161" s="141" t="s">
        <v>354</v>
      </c>
      <c r="I161" s="141"/>
      <c r="J161" s="141" t="s">
        <v>355</v>
      </c>
      <c r="K161" s="141" t="s">
        <v>964</v>
      </c>
      <c r="L161" s="141" t="s">
        <v>2337</v>
      </c>
      <c r="M161" s="141" t="s">
        <v>2338</v>
      </c>
      <c r="N161" s="141" t="s">
        <v>355</v>
      </c>
      <c r="O161" s="141" t="s">
        <v>370</v>
      </c>
      <c r="P161" s="141" t="s">
        <v>529</v>
      </c>
      <c r="Q161" s="141" t="s">
        <v>530</v>
      </c>
      <c r="R161" s="141" t="s">
        <v>362</v>
      </c>
      <c r="S161" s="141" t="s">
        <v>427</v>
      </c>
      <c r="T161" s="141" t="s">
        <v>2195</v>
      </c>
      <c r="U161" s="141" t="s">
        <v>2195</v>
      </c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 t="s">
        <v>355</v>
      </c>
      <c r="AL161" s="141" t="s">
        <v>365</v>
      </c>
      <c r="AM161" s="141" t="s">
        <v>355</v>
      </c>
      <c r="AN161" s="141" t="s">
        <v>907</v>
      </c>
      <c r="AO161" s="141" t="s">
        <v>2195</v>
      </c>
      <c r="AP161" s="141" t="s">
        <v>2196</v>
      </c>
      <c r="AQ161" s="141" t="s">
        <v>2197</v>
      </c>
      <c r="AR161" s="141" t="s">
        <v>369</v>
      </c>
      <c r="AS161" s="141" t="s">
        <v>1325</v>
      </c>
      <c r="AT161" s="141"/>
      <c r="AU161" s="141" t="s">
        <v>2337</v>
      </c>
      <c r="AV161" s="141" t="s">
        <v>907</v>
      </c>
      <c r="AW161" s="141" t="s">
        <v>2339</v>
      </c>
      <c r="AX161" s="141" t="s">
        <v>656</v>
      </c>
      <c r="AY161" s="141" t="s">
        <v>2340</v>
      </c>
      <c r="AZ161" s="141" t="s">
        <v>658</v>
      </c>
      <c r="BA161" s="141" t="s">
        <v>2341</v>
      </c>
      <c r="BB161" s="141" t="s">
        <v>660</v>
      </c>
      <c r="BC161" s="141" t="s">
        <v>2342</v>
      </c>
      <c r="BD161" s="141" t="s">
        <v>901</v>
      </c>
      <c r="BE161" s="141" t="s">
        <v>2343</v>
      </c>
      <c r="BF161" s="141" t="s">
        <v>381</v>
      </c>
      <c r="BG161" s="141" t="s">
        <v>2344</v>
      </c>
      <c r="BH161" s="141" t="s">
        <v>383</v>
      </c>
      <c r="BI161" s="141" t="s">
        <v>2345</v>
      </c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73"/>
    </row>
    <row r="162" spans="2:105" x14ac:dyDescent="0.25">
      <c r="B162" s="172"/>
      <c r="C162" s="141" t="s">
        <v>2346</v>
      </c>
      <c r="D162" s="141" t="s">
        <v>2347</v>
      </c>
      <c r="E162" s="141" t="s">
        <v>2348</v>
      </c>
      <c r="F162" s="141" t="s">
        <v>1195</v>
      </c>
      <c r="G162" s="141"/>
      <c r="H162" s="141" t="s">
        <v>354</v>
      </c>
      <c r="I162" s="141"/>
      <c r="J162" s="141" t="s">
        <v>355</v>
      </c>
      <c r="K162" s="141" t="s">
        <v>856</v>
      </c>
      <c r="L162" s="141" t="s">
        <v>2349</v>
      </c>
      <c r="M162" s="141" t="s">
        <v>2350</v>
      </c>
      <c r="N162" s="141" t="s">
        <v>355</v>
      </c>
      <c r="O162" s="141" t="s">
        <v>409</v>
      </c>
      <c r="P162" s="141" t="s">
        <v>410</v>
      </c>
      <c r="Q162" s="141" t="s">
        <v>410</v>
      </c>
      <c r="R162" s="141" t="s">
        <v>362</v>
      </c>
      <c r="S162" s="141" t="s">
        <v>427</v>
      </c>
      <c r="T162" s="141" t="s">
        <v>2195</v>
      </c>
      <c r="U162" s="141" t="s">
        <v>2195</v>
      </c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 t="s">
        <v>355</v>
      </c>
      <c r="AL162" s="141" t="s">
        <v>365</v>
      </c>
      <c r="AM162" s="141" t="s">
        <v>355</v>
      </c>
      <c r="AN162" s="141" t="s">
        <v>907</v>
      </c>
      <c r="AO162" s="141" t="s">
        <v>2195</v>
      </c>
      <c r="AP162" s="141" t="s">
        <v>2196</v>
      </c>
      <c r="AQ162" s="141" t="s">
        <v>2197</v>
      </c>
      <c r="AR162" s="141" t="s">
        <v>369</v>
      </c>
      <c r="AS162" s="141" t="s">
        <v>1340</v>
      </c>
      <c r="AT162" s="141"/>
      <c r="AU162" s="141" t="s">
        <v>2349</v>
      </c>
      <c r="AV162" s="141" t="s">
        <v>907</v>
      </c>
      <c r="AW162" s="141" t="s">
        <v>2351</v>
      </c>
      <c r="AX162" s="141" t="s">
        <v>656</v>
      </c>
      <c r="AY162" s="141" t="s">
        <v>2352</v>
      </c>
      <c r="AZ162" s="141" t="s">
        <v>658</v>
      </c>
      <c r="BA162" s="141" t="s">
        <v>2353</v>
      </c>
      <c r="BB162" s="141" t="s">
        <v>660</v>
      </c>
      <c r="BC162" s="141" t="s">
        <v>2354</v>
      </c>
      <c r="BD162" s="141" t="s">
        <v>901</v>
      </c>
      <c r="BE162" s="141" t="s">
        <v>2355</v>
      </c>
      <c r="BF162" s="141" t="s">
        <v>381</v>
      </c>
      <c r="BG162" s="141" t="s">
        <v>2356</v>
      </c>
      <c r="BH162" s="141" t="s">
        <v>383</v>
      </c>
      <c r="BI162" s="141" t="s">
        <v>2357</v>
      </c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73"/>
    </row>
    <row r="163" spans="2:105" x14ac:dyDescent="0.25">
      <c r="B163" s="172"/>
      <c r="C163" s="141"/>
      <c r="D163" s="141" t="s">
        <v>2358</v>
      </c>
      <c r="E163" s="141"/>
      <c r="F163" s="141" t="s">
        <v>467</v>
      </c>
      <c r="G163" s="141"/>
      <c r="H163" s="141" t="s">
        <v>354</v>
      </c>
      <c r="I163" s="141"/>
      <c r="J163" s="141" t="s">
        <v>355</v>
      </c>
      <c r="K163" s="141" t="s">
        <v>2359</v>
      </c>
      <c r="L163" s="141"/>
      <c r="M163" s="141"/>
      <c r="N163" s="141" t="s">
        <v>355</v>
      </c>
      <c r="O163" s="141"/>
      <c r="P163" s="141"/>
      <c r="Q163" s="141"/>
      <c r="R163" s="141"/>
      <c r="S163" s="141" t="s">
        <v>427</v>
      </c>
      <c r="T163" s="141" t="s">
        <v>2195</v>
      </c>
      <c r="U163" s="141" t="s">
        <v>2195</v>
      </c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 t="s">
        <v>355</v>
      </c>
      <c r="AL163" s="141" t="s">
        <v>365</v>
      </c>
      <c r="AM163" s="141" t="s">
        <v>355</v>
      </c>
      <c r="AN163" s="141" t="s">
        <v>907</v>
      </c>
      <c r="AO163" s="141" t="s">
        <v>2195</v>
      </c>
      <c r="AP163" s="141" t="s">
        <v>2196</v>
      </c>
      <c r="AQ163" s="141" t="s">
        <v>2197</v>
      </c>
      <c r="AR163" s="141" t="s">
        <v>369</v>
      </c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73"/>
    </row>
    <row r="164" spans="2:105" x14ac:dyDescent="0.25">
      <c r="B164" s="172"/>
      <c r="C164" s="141"/>
      <c r="D164" s="141" t="s">
        <v>2360</v>
      </c>
      <c r="E164" s="141" t="s">
        <v>475</v>
      </c>
      <c r="F164" s="141" t="s">
        <v>2245</v>
      </c>
      <c r="G164" s="141"/>
      <c r="H164" s="141" t="s">
        <v>354</v>
      </c>
      <c r="I164" s="141"/>
      <c r="J164" s="141" t="s">
        <v>355</v>
      </c>
      <c r="K164" s="141" t="s">
        <v>2361</v>
      </c>
      <c r="L164" s="141"/>
      <c r="M164" s="141"/>
      <c r="N164" s="141" t="s">
        <v>370</v>
      </c>
      <c r="O164" s="141" t="s">
        <v>442</v>
      </c>
      <c r="P164" s="141" t="s">
        <v>478</v>
      </c>
      <c r="Q164" s="141" t="s">
        <v>479</v>
      </c>
      <c r="R164" s="141" t="s">
        <v>362</v>
      </c>
      <c r="S164" s="141" t="s">
        <v>427</v>
      </c>
      <c r="T164" s="141" t="s">
        <v>2195</v>
      </c>
      <c r="U164" s="141" t="s">
        <v>2195</v>
      </c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 t="s">
        <v>355</v>
      </c>
      <c r="AL164" s="141" t="s">
        <v>365</v>
      </c>
      <c r="AM164" s="141" t="s">
        <v>355</v>
      </c>
      <c r="AN164" s="141" t="s">
        <v>907</v>
      </c>
      <c r="AO164" s="141" t="s">
        <v>2195</v>
      </c>
      <c r="AP164" s="141" t="s">
        <v>2196</v>
      </c>
      <c r="AQ164" s="141" t="s">
        <v>2197</v>
      </c>
      <c r="AR164" s="141" t="s">
        <v>369</v>
      </c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73"/>
    </row>
    <row r="165" spans="2:105" x14ac:dyDescent="0.25">
      <c r="B165" s="172"/>
      <c r="C165" s="141" t="s">
        <v>2362</v>
      </c>
      <c r="D165" s="141" t="s">
        <v>2363</v>
      </c>
      <c r="E165" s="141" t="s">
        <v>1610</v>
      </c>
      <c r="F165" s="141" t="s">
        <v>438</v>
      </c>
      <c r="G165" s="141"/>
      <c r="H165" s="141" t="s">
        <v>354</v>
      </c>
      <c r="I165" s="141"/>
      <c r="J165" s="141" t="s">
        <v>355</v>
      </c>
      <c r="K165" s="141" t="s">
        <v>2364</v>
      </c>
      <c r="L165" s="141" t="s">
        <v>2365</v>
      </c>
      <c r="M165" s="141" t="s">
        <v>2366</v>
      </c>
      <c r="N165" s="141" t="s">
        <v>355</v>
      </c>
      <c r="O165" s="141" t="s">
        <v>359</v>
      </c>
      <c r="P165" s="141" t="s">
        <v>360</v>
      </c>
      <c r="Q165" s="141" t="s">
        <v>361</v>
      </c>
      <c r="R165" s="141" t="s">
        <v>362</v>
      </c>
      <c r="S165" s="141" t="s">
        <v>359</v>
      </c>
      <c r="T165" s="141" t="s">
        <v>2367</v>
      </c>
      <c r="U165" s="141" t="s">
        <v>2367</v>
      </c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 t="s">
        <v>355</v>
      </c>
      <c r="AL165" s="141" t="s">
        <v>365</v>
      </c>
      <c r="AM165" s="141" t="s">
        <v>355</v>
      </c>
      <c r="AN165" s="141" t="s">
        <v>379</v>
      </c>
      <c r="AO165" s="141" t="s">
        <v>2367</v>
      </c>
      <c r="AP165" s="141" t="s">
        <v>2368</v>
      </c>
      <c r="AQ165" s="141" t="s">
        <v>2369</v>
      </c>
      <c r="AR165" s="141" t="s">
        <v>392</v>
      </c>
      <c r="AS165" s="141" t="s">
        <v>370</v>
      </c>
      <c r="AT165" s="141"/>
      <c r="AU165" s="141" t="s">
        <v>2365</v>
      </c>
      <c r="AV165" s="141" t="s">
        <v>662</v>
      </c>
      <c r="AW165" s="141" t="s">
        <v>1577</v>
      </c>
      <c r="AX165" s="141" t="s">
        <v>656</v>
      </c>
      <c r="AY165" s="141" t="s">
        <v>2370</v>
      </c>
      <c r="AZ165" s="141" t="s">
        <v>658</v>
      </c>
      <c r="BA165" s="141" t="s">
        <v>2371</v>
      </c>
      <c r="BB165" s="141" t="s">
        <v>660</v>
      </c>
      <c r="BC165" s="141" t="s">
        <v>2372</v>
      </c>
      <c r="BD165" s="141" t="s">
        <v>913</v>
      </c>
      <c r="BE165" s="141" t="s">
        <v>2128</v>
      </c>
      <c r="BF165" s="141" t="s">
        <v>383</v>
      </c>
      <c r="BG165" s="141" t="s">
        <v>2373</v>
      </c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73"/>
    </row>
    <row r="166" spans="2:105" x14ac:dyDescent="0.25">
      <c r="B166" s="172"/>
      <c r="C166" s="141" t="s">
        <v>2374</v>
      </c>
      <c r="D166" s="141" t="s">
        <v>782</v>
      </c>
      <c r="E166" s="141" t="s">
        <v>2375</v>
      </c>
      <c r="F166" s="141" t="s">
        <v>2376</v>
      </c>
      <c r="G166" s="141"/>
      <c r="H166" s="141" t="s">
        <v>354</v>
      </c>
      <c r="I166" s="141"/>
      <c r="J166" s="141" t="s">
        <v>355</v>
      </c>
      <c r="K166" s="141" t="s">
        <v>544</v>
      </c>
      <c r="L166" s="141" t="s">
        <v>2377</v>
      </c>
      <c r="M166" s="141" t="s">
        <v>2378</v>
      </c>
      <c r="N166" s="141" t="s">
        <v>355</v>
      </c>
      <c r="O166" s="141" t="s">
        <v>394</v>
      </c>
      <c r="P166" s="141" t="s">
        <v>425</v>
      </c>
      <c r="Q166" s="141" t="s">
        <v>426</v>
      </c>
      <c r="R166" s="141" t="s">
        <v>362</v>
      </c>
      <c r="S166" s="141" t="s">
        <v>359</v>
      </c>
      <c r="T166" s="141" t="s">
        <v>2367</v>
      </c>
      <c r="U166" s="141" t="s">
        <v>2367</v>
      </c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 t="s">
        <v>355</v>
      </c>
      <c r="AL166" s="141" t="s">
        <v>365</v>
      </c>
      <c r="AM166" s="141" t="s">
        <v>355</v>
      </c>
      <c r="AN166" s="141" t="s">
        <v>379</v>
      </c>
      <c r="AO166" s="141" t="s">
        <v>2367</v>
      </c>
      <c r="AP166" s="141" t="s">
        <v>2368</v>
      </c>
      <c r="AQ166" s="141" t="s">
        <v>2369</v>
      </c>
      <c r="AR166" s="141" t="s">
        <v>392</v>
      </c>
      <c r="AS166" s="141" t="s">
        <v>394</v>
      </c>
      <c r="AT166" s="141"/>
      <c r="AU166" s="141" t="s">
        <v>2377</v>
      </c>
      <c r="AV166" s="141" t="s">
        <v>662</v>
      </c>
      <c r="AW166" s="141" t="s">
        <v>2379</v>
      </c>
      <c r="AX166" s="141" t="s">
        <v>656</v>
      </c>
      <c r="AY166" s="141" t="s">
        <v>2380</v>
      </c>
      <c r="AZ166" s="141" t="s">
        <v>658</v>
      </c>
      <c r="BA166" s="141" t="s">
        <v>2381</v>
      </c>
      <c r="BB166" s="141" t="s">
        <v>660</v>
      </c>
      <c r="BC166" s="141" t="s">
        <v>2382</v>
      </c>
      <c r="BD166" s="141" t="s">
        <v>913</v>
      </c>
      <c r="BE166" s="141" t="s">
        <v>2383</v>
      </c>
      <c r="BF166" s="141" t="s">
        <v>383</v>
      </c>
      <c r="BG166" s="141" t="s">
        <v>2384</v>
      </c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73"/>
    </row>
    <row r="167" spans="2:105" x14ac:dyDescent="0.25">
      <c r="B167" s="172"/>
      <c r="C167" s="141" t="s">
        <v>2385</v>
      </c>
      <c r="D167" s="141" t="s">
        <v>2386</v>
      </c>
      <c r="E167" s="141" t="s">
        <v>2387</v>
      </c>
      <c r="F167" s="141" t="s">
        <v>1029</v>
      </c>
      <c r="G167" s="141"/>
      <c r="H167" s="141" t="s">
        <v>354</v>
      </c>
      <c r="I167" s="141"/>
      <c r="J167" s="141" t="s">
        <v>355</v>
      </c>
      <c r="K167" s="141" t="s">
        <v>687</v>
      </c>
      <c r="L167" s="141" t="s">
        <v>2388</v>
      </c>
      <c r="M167" s="141" t="s">
        <v>2389</v>
      </c>
      <c r="N167" s="141" t="s">
        <v>355</v>
      </c>
      <c r="O167" s="141" t="s">
        <v>394</v>
      </c>
      <c r="P167" s="141" t="s">
        <v>425</v>
      </c>
      <c r="Q167" s="141" t="s">
        <v>426</v>
      </c>
      <c r="R167" s="141" t="s">
        <v>362</v>
      </c>
      <c r="S167" s="141" t="s">
        <v>359</v>
      </c>
      <c r="T167" s="141" t="s">
        <v>2367</v>
      </c>
      <c r="U167" s="141" t="s">
        <v>2367</v>
      </c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 t="s">
        <v>355</v>
      </c>
      <c r="AL167" s="141" t="s">
        <v>365</v>
      </c>
      <c r="AM167" s="141" t="s">
        <v>355</v>
      </c>
      <c r="AN167" s="141" t="s">
        <v>379</v>
      </c>
      <c r="AO167" s="141" t="s">
        <v>2367</v>
      </c>
      <c r="AP167" s="141" t="s">
        <v>2368</v>
      </c>
      <c r="AQ167" s="141" t="s">
        <v>2369</v>
      </c>
      <c r="AR167" s="141" t="s">
        <v>392</v>
      </c>
      <c r="AS167" s="141" t="s">
        <v>359</v>
      </c>
      <c r="AT167" s="141"/>
      <c r="AU167" s="141" t="s">
        <v>2388</v>
      </c>
      <c r="AV167" s="141" t="s">
        <v>662</v>
      </c>
      <c r="AW167" s="141" t="s">
        <v>2390</v>
      </c>
      <c r="AX167" s="141" t="s">
        <v>656</v>
      </c>
      <c r="AY167" s="141" t="s">
        <v>2391</v>
      </c>
      <c r="AZ167" s="141" t="s">
        <v>658</v>
      </c>
      <c r="BA167" s="141" t="s">
        <v>2392</v>
      </c>
      <c r="BB167" s="141" t="s">
        <v>660</v>
      </c>
      <c r="BC167" s="141" t="s">
        <v>974</v>
      </c>
      <c r="BD167" s="141" t="s">
        <v>913</v>
      </c>
      <c r="BE167" s="141" t="s">
        <v>2393</v>
      </c>
      <c r="BF167" s="141" t="s">
        <v>383</v>
      </c>
      <c r="BG167" s="141" t="s">
        <v>2394</v>
      </c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73"/>
    </row>
    <row r="168" spans="2:105" x14ac:dyDescent="0.25">
      <c r="B168" s="172"/>
      <c r="C168" s="141"/>
      <c r="D168" s="141" t="s">
        <v>2395</v>
      </c>
      <c r="E168" s="141"/>
      <c r="F168" s="141" t="s">
        <v>467</v>
      </c>
      <c r="G168" s="141"/>
      <c r="H168" s="141" t="s">
        <v>354</v>
      </c>
      <c r="I168" s="141"/>
      <c r="J168" s="141" t="s">
        <v>355</v>
      </c>
      <c r="K168" s="141" t="s">
        <v>2396</v>
      </c>
      <c r="L168" s="141"/>
      <c r="M168" s="141"/>
      <c r="N168" s="141" t="s">
        <v>355</v>
      </c>
      <c r="O168" s="141"/>
      <c r="P168" s="141"/>
      <c r="Q168" s="141"/>
      <c r="R168" s="141"/>
      <c r="S168" s="141" t="s">
        <v>359</v>
      </c>
      <c r="T168" s="141" t="s">
        <v>2367</v>
      </c>
      <c r="U168" s="141" t="s">
        <v>2367</v>
      </c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 t="s">
        <v>355</v>
      </c>
      <c r="AL168" s="141" t="s">
        <v>365</v>
      </c>
      <c r="AM168" s="141" t="s">
        <v>355</v>
      </c>
      <c r="AN168" s="141" t="s">
        <v>379</v>
      </c>
      <c r="AO168" s="141" t="s">
        <v>2367</v>
      </c>
      <c r="AP168" s="141" t="s">
        <v>2368</v>
      </c>
      <c r="AQ168" s="141" t="s">
        <v>2369</v>
      </c>
      <c r="AR168" s="141" t="s">
        <v>392</v>
      </c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73"/>
    </row>
    <row r="169" spans="2:105" x14ac:dyDescent="0.25">
      <c r="B169" s="172"/>
      <c r="C169" s="141"/>
      <c r="D169" s="141" t="s">
        <v>2397</v>
      </c>
      <c r="E169" s="141"/>
      <c r="F169" s="141" t="s">
        <v>467</v>
      </c>
      <c r="G169" s="141"/>
      <c r="H169" s="141" t="s">
        <v>354</v>
      </c>
      <c r="I169" s="141"/>
      <c r="J169" s="141" t="s">
        <v>355</v>
      </c>
      <c r="K169" s="141" t="s">
        <v>510</v>
      </c>
      <c r="L169" s="141"/>
      <c r="M169" s="141"/>
      <c r="N169" s="141" t="s">
        <v>355</v>
      </c>
      <c r="O169" s="141"/>
      <c r="P169" s="141"/>
      <c r="Q169" s="141"/>
      <c r="R169" s="141"/>
      <c r="S169" s="141" t="s">
        <v>359</v>
      </c>
      <c r="T169" s="141" t="s">
        <v>2367</v>
      </c>
      <c r="U169" s="141" t="s">
        <v>2367</v>
      </c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 t="s">
        <v>355</v>
      </c>
      <c r="AL169" s="141" t="s">
        <v>365</v>
      </c>
      <c r="AM169" s="141" t="s">
        <v>355</v>
      </c>
      <c r="AN169" s="141" t="s">
        <v>379</v>
      </c>
      <c r="AO169" s="141" t="s">
        <v>2367</v>
      </c>
      <c r="AP169" s="141" t="s">
        <v>2368</v>
      </c>
      <c r="AQ169" s="141" t="s">
        <v>2369</v>
      </c>
      <c r="AR169" s="141" t="s">
        <v>392</v>
      </c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1"/>
      <c r="BR169" s="141"/>
      <c r="BS169" s="141"/>
      <c r="BT169" s="141"/>
      <c r="BU169" s="141"/>
      <c r="BV169" s="141"/>
      <c r="BW169" s="141"/>
      <c r="BX169" s="141"/>
      <c r="BY169" s="141"/>
      <c r="BZ169" s="141"/>
      <c r="CA169" s="141"/>
      <c r="CB169" s="141"/>
      <c r="CC169" s="141"/>
      <c r="CD169" s="141"/>
      <c r="CE169" s="141"/>
      <c r="CF169" s="141"/>
      <c r="CG169" s="141"/>
      <c r="CH169" s="141"/>
      <c r="CI169" s="141"/>
      <c r="CJ169" s="141"/>
      <c r="CK169" s="141"/>
      <c r="CL169" s="141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73"/>
    </row>
    <row r="170" spans="2:105" x14ac:dyDescent="0.25">
      <c r="B170" s="172"/>
      <c r="C170" s="141" t="s">
        <v>2398</v>
      </c>
      <c r="D170" s="141" t="s">
        <v>2399</v>
      </c>
      <c r="E170" s="141" t="s">
        <v>2400</v>
      </c>
      <c r="F170" s="141" t="s">
        <v>2267</v>
      </c>
      <c r="G170" s="141"/>
      <c r="H170" s="141" t="s">
        <v>354</v>
      </c>
      <c r="I170" s="141"/>
      <c r="J170" s="141" t="s">
        <v>355</v>
      </c>
      <c r="K170" s="141" t="s">
        <v>2268</v>
      </c>
      <c r="L170" s="141" t="s">
        <v>2401</v>
      </c>
      <c r="M170" s="141" t="s">
        <v>2402</v>
      </c>
      <c r="N170" s="141" t="s">
        <v>355</v>
      </c>
      <c r="O170" s="141" t="s">
        <v>409</v>
      </c>
      <c r="P170" s="141" t="s">
        <v>410</v>
      </c>
      <c r="Q170" s="141" t="s">
        <v>410</v>
      </c>
      <c r="R170" s="141" t="s">
        <v>362</v>
      </c>
      <c r="S170" s="141" t="s">
        <v>507</v>
      </c>
      <c r="T170" s="141" t="s">
        <v>2403</v>
      </c>
      <c r="U170" s="141" t="s">
        <v>2403</v>
      </c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 t="s">
        <v>355</v>
      </c>
      <c r="AL170" s="141" t="s">
        <v>365</v>
      </c>
      <c r="AM170" s="141" t="s">
        <v>355</v>
      </c>
      <c r="AN170" s="141" t="s">
        <v>371</v>
      </c>
      <c r="AO170" s="141" t="s">
        <v>2403</v>
      </c>
      <c r="AP170" s="141" t="s">
        <v>2368</v>
      </c>
      <c r="AQ170" s="141" t="s">
        <v>2369</v>
      </c>
      <c r="AR170" s="141" t="s">
        <v>392</v>
      </c>
      <c r="AS170" s="141" t="s">
        <v>370</v>
      </c>
      <c r="AT170" s="141"/>
      <c r="AU170" s="141" t="s">
        <v>2401</v>
      </c>
      <c r="AV170" s="141" t="s">
        <v>662</v>
      </c>
      <c r="AW170" s="141" t="s">
        <v>2404</v>
      </c>
      <c r="AX170" s="141" t="s">
        <v>656</v>
      </c>
      <c r="AY170" s="141" t="s">
        <v>2405</v>
      </c>
      <c r="AZ170" s="141" t="s">
        <v>658</v>
      </c>
      <c r="BA170" s="141" t="s">
        <v>2406</v>
      </c>
      <c r="BB170" s="141" t="s">
        <v>660</v>
      </c>
      <c r="BC170" s="141" t="s">
        <v>2407</v>
      </c>
      <c r="BD170" s="141" t="s">
        <v>913</v>
      </c>
      <c r="BE170" s="141" t="s">
        <v>2408</v>
      </c>
      <c r="BF170" s="141" t="s">
        <v>383</v>
      </c>
      <c r="BG170" s="141" t="s">
        <v>2409</v>
      </c>
      <c r="BH170" s="141"/>
      <c r="BI170" s="141"/>
      <c r="BJ170" s="141"/>
      <c r="BK170" s="141"/>
      <c r="BL170" s="141"/>
      <c r="BM170" s="141"/>
      <c r="BN170" s="141"/>
      <c r="BO170" s="141"/>
      <c r="BP170" s="141"/>
      <c r="BQ170" s="141"/>
      <c r="BR170" s="141"/>
      <c r="BS170" s="141"/>
      <c r="BT170" s="141"/>
      <c r="BU170" s="141"/>
      <c r="BV170" s="141"/>
      <c r="BW170" s="141"/>
      <c r="BX170" s="141"/>
      <c r="BY170" s="141"/>
      <c r="BZ170" s="141"/>
      <c r="CA170" s="141"/>
      <c r="CB170" s="141"/>
      <c r="CC170" s="141"/>
      <c r="CD170" s="141"/>
      <c r="CE170" s="141"/>
      <c r="CF170" s="141"/>
      <c r="CG170" s="141"/>
      <c r="CH170" s="141"/>
      <c r="CI170" s="141"/>
      <c r="CJ170" s="141"/>
      <c r="CK170" s="141"/>
      <c r="CL170" s="141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73"/>
    </row>
    <row r="171" spans="2:105" x14ac:dyDescent="0.25">
      <c r="B171" s="172"/>
      <c r="C171" s="141" t="s">
        <v>2410</v>
      </c>
      <c r="D171" s="141" t="s">
        <v>2411</v>
      </c>
      <c r="E171" s="141" t="s">
        <v>2412</v>
      </c>
      <c r="F171" s="141" t="s">
        <v>2413</v>
      </c>
      <c r="G171" s="141"/>
      <c r="H171" s="141" t="s">
        <v>354</v>
      </c>
      <c r="I171" s="141"/>
      <c r="J171" s="141" t="s">
        <v>355</v>
      </c>
      <c r="K171" s="141" t="s">
        <v>716</v>
      </c>
      <c r="L171" s="141" t="s">
        <v>2414</v>
      </c>
      <c r="M171" s="141" t="s">
        <v>2415</v>
      </c>
      <c r="N171" s="141" t="s">
        <v>355</v>
      </c>
      <c r="O171" s="141" t="s">
        <v>427</v>
      </c>
      <c r="P171" s="141" t="s">
        <v>455</v>
      </c>
      <c r="Q171" s="141" t="s">
        <v>456</v>
      </c>
      <c r="R171" s="141" t="s">
        <v>362</v>
      </c>
      <c r="S171" s="141" t="s">
        <v>507</v>
      </c>
      <c r="T171" s="141" t="s">
        <v>2403</v>
      </c>
      <c r="U171" s="141" t="s">
        <v>2403</v>
      </c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 t="s">
        <v>355</v>
      </c>
      <c r="AL171" s="141" t="s">
        <v>365</v>
      </c>
      <c r="AM171" s="141" t="s">
        <v>355</v>
      </c>
      <c r="AN171" s="141" t="s">
        <v>371</v>
      </c>
      <c r="AO171" s="141" t="s">
        <v>2403</v>
      </c>
      <c r="AP171" s="141" t="s">
        <v>2368</v>
      </c>
      <c r="AQ171" s="141" t="s">
        <v>2369</v>
      </c>
      <c r="AR171" s="141" t="s">
        <v>392</v>
      </c>
      <c r="AS171" s="141" t="s">
        <v>394</v>
      </c>
      <c r="AT171" s="141"/>
      <c r="AU171" s="141" t="s">
        <v>2414</v>
      </c>
      <c r="AV171" s="141" t="s">
        <v>662</v>
      </c>
      <c r="AW171" s="141" t="s">
        <v>399</v>
      </c>
      <c r="AX171" s="141" t="s">
        <v>656</v>
      </c>
      <c r="AY171" s="141" t="s">
        <v>1415</v>
      </c>
      <c r="AZ171" s="141" t="s">
        <v>658</v>
      </c>
      <c r="BA171" s="141" t="s">
        <v>2416</v>
      </c>
      <c r="BB171" s="141" t="s">
        <v>660</v>
      </c>
      <c r="BC171" s="141" t="s">
        <v>2417</v>
      </c>
      <c r="BD171" s="141" t="s">
        <v>913</v>
      </c>
      <c r="BE171" s="141" t="s">
        <v>2418</v>
      </c>
      <c r="BF171" s="141" t="s">
        <v>383</v>
      </c>
      <c r="BG171" s="141" t="s">
        <v>2419</v>
      </c>
      <c r="BH171" s="141"/>
      <c r="BI171" s="141"/>
      <c r="BJ171" s="141"/>
      <c r="BK171" s="141"/>
      <c r="BL171" s="141"/>
      <c r="BM171" s="141"/>
      <c r="BN171" s="141"/>
      <c r="BO171" s="141"/>
      <c r="BP171" s="141"/>
      <c r="BQ171" s="141"/>
      <c r="BR171" s="141"/>
      <c r="BS171" s="141"/>
      <c r="BT171" s="141"/>
      <c r="BU171" s="141"/>
      <c r="BV171" s="141"/>
      <c r="BW171" s="141"/>
      <c r="BX171" s="141"/>
      <c r="BY171" s="141"/>
      <c r="BZ171" s="141"/>
      <c r="CA171" s="141"/>
      <c r="CB171" s="141"/>
      <c r="CC171" s="141"/>
      <c r="CD171" s="141"/>
      <c r="CE171" s="141"/>
      <c r="CF171" s="141"/>
      <c r="CG171" s="141"/>
      <c r="CH171" s="141"/>
      <c r="CI171" s="141"/>
      <c r="CJ171" s="141"/>
      <c r="CK171" s="141"/>
      <c r="CL171" s="141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73"/>
    </row>
    <row r="172" spans="2:105" x14ac:dyDescent="0.25">
      <c r="B172" s="172"/>
      <c r="C172" s="141"/>
      <c r="D172" s="141" t="s">
        <v>2420</v>
      </c>
      <c r="E172" s="141"/>
      <c r="F172" s="141" t="s">
        <v>467</v>
      </c>
      <c r="G172" s="141"/>
      <c r="H172" s="141" t="s">
        <v>354</v>
      </c>
      <c r="I172" s="141"/>
      <c r="J172" s="141" t="s">
        <v>355</v>
      </c>
      <c r="K172" s="141" t="s">
        <v>646</v>
      </c>
      <c r="L172" s="141"/>
      <c r="M172" s="141"/>
      <c r="N172" s="141" t="s">
        <v>355</v>
      </c>
      <c r="O172" s="141"/>
      <c r="P172" s="141"/>
      <c r="Q172" s="141"/>
      <c r="R172" s="141"/>
      <c r="S172" s="141" t="s">
        <v>507</v>
      </c>
      <c r="T172" s="141" t="s">
        <v>2403</v>
      </c>
      <c r="U172" s="141" t="s">
        <v>2403</v>
      </c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 t="s">
        <v>355</v>
      </c>
      <c r="AL172" s="141" t="s">
        <v>365</v>
      </c>
      <c r="AM172" s="141" t="s">
        <v>355</v>
      </c>
      <c r="AN172" s="141" t="s">
        <v>371</v>
      </c>
      <c r="AO172" s="141" t="s">
        <v>2403</v>
      </c>
      <c r="AP172" s="141" t="s">
        <v>2368</v>
      </c>
      <c r="AQ172" s="141" t="s">
        <v>2369</v>
      </c>
      <c r="AR172" s="141" t="s">
        <v>392</v>
      </c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  <c r="BN172" s="141"/>
      <c r="BO172" s="141"/>
      <c r="BP172" s="141"/>
      <c r="BQ172" s="141"/>
      <c r="BR172" s="141"/>
      <c r="BS172" s="141"/>
      <c r="BT172" s="141"/>
      <c r="BU172" s="141"/>
      <c r="BV172" s="141"/>
      <c r="BW172" s="141"/>
      <c r="BX172" s="141"/>
      <c r="BY172" s="141"/>
      <c r="BZ172" s="141"/>
      <c r="CA172" s="141"/>
      <c r="CB172" s="141"/>
      <c r="CC172" s="141"/>
      <c r="CD172" s="141"/>
      <c r="CE172" s="141"/>
      <c r="CF172" s="141"/>
      <c r="CG172" s="141"/>
      <c r="CH172" s="141"/>
      <c r="CI172" s="141"/>
      <c r="CJ172" s="141"/>
      <c r="CK172" s="141"/>
      <c r="CL172" s="141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73"/>
    </row>
    <row r="173" spans="2:105" x14ac:dyDescent="0.25">
      <c r="B173" s="172"/>
      <c r="C173" s="141"/>
      <c r="D173" s="141" t="s">
        <v>2421</v>
      </c>
      <c r="E173" s="141"/>
      <c r="F173" s="141" t="s">
        <v>467</v>
      </c>
      <c r="G173" s="141"/>
      <c r="H173" s="141" t="s">
        <v>354</v>
      </c>
      <c r="I173" s="141"/>
      <c r="J173" s="141" t="s">
        <v>355</v>
      </c>
      <c r="K173" s="141" t="s">
        <v>1141</v>
      </c>
      <c r="L173" s="141"/>
      <c r="M173" s="141"/>
      <c r="N173" s="141" t="s">
        <v>355</v>
      </c>
      <c r="O173" s="141"/>
      <c r="P173" s="141"/>
      <c r="Q173" s="141"/>
      <c r="R173" s="141"/>
      <c r="S173" s="141" t="s">
        <v>507</v>
      </c>
      <c r="T173" s="141" t="s">
        <v>2403</v>
      </c>
      <c r="U173" s="141" t="s">
        <v>2403</v>
      </c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 t="s">
        <v>355</v>
      </c>
      <c r="AL173" s="141" t="s">
        <v>365</v>
      </c>
      <c r="AM173" s="141" t="s">
        <v>355</v>
      </c>
      <c r="AN173" s="141" t="s">
        <v>371</v>
      </c>
      <c r="AO173" s="141" t="s">
        <v>2403</v>
      </c>
      <c r="AP173" s="141" t="s">
        <v>2368</v>
      </c>
      <c r="AQ173" s="141" t="s">
        <v>2369</v>
      </c>
      <c r="AR173" s="141" t="s">
        <v>392</v>
      </c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1"/>
      <c r="BY173" s="141"/>
      <c r="BZ173" s="141"/>
      <c r="CA173" s="141"/>
      <c r="CB173" s="141"/>
      <c r="CC173" s="141"/>
      <c r="CD173" s="141"/>
      <c r="CE173" s="141"/>
      <c r="CF173" s="141"/>
      <c r="CG173" s="141"/>
      <c r="CH173" s="141"/>
      <c r="CI173" s="141"/>
      <c r="CJ173" s="141"/>
      <c r="CK173" s="141"/>
      <c r="CL173" s="141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73"/>
    </row>
    <row r="174" spans="2:105" x14ac:dyDescent="0.25">
      <c r="B174" s="172"/>
      <c r="C174" s="141" t="s">
        <v>2422</v>
      </c>
      <c r="D174" s="141" t="s">
        <v>2423</v>
      </c>
      <c r="E174" s="141" t="s">
        <v>2424</v>
      </c>
      <c r="F174" s="141" t="s">
        <v>2425</v>
      </c>
      <c r="G174" s="141"/>
      <c r="H174" s="141" t="s">
        <v>354</v>
      </c>
      <c r="I174" s="141"/>
      <c r="J174" s="141" t="s">
        <v>355</v>
      </c>
      <c r="K174" s="141" t="s">
        <v>2049</v>
      </c>
      <c r="L174" s="141" t="s">
        <v>2426</v>
      </c>
      <c r="M174" s="141" t="s">
        <v>1224</v>
      </c>
      <c r="N174" s="141" t="s">
        <v>355</v>
      </c>
      <c r="O174" s="141" t="s">
        <v>370</v>
      </c>
      <c r="P174" s="141" t="s">
        <v>529</v>
      </c>
      <c r="Q174" s="141" t="s">
        <v>530</v>
      </c>
      <c r="R174" s="141" t="s">
        <v>362</v>
      </c>
      <c r="S174" s="141" t="s">
        <v>1411</v>
      </c>
      <c r="T174" s="141" t="s">
        <v>2427</v>
      </c>
      <c r="U174" s="141" t="s">
        <v>2427</v>
      </c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 t="s">
        <v>355</v>
      </c>
      <c r="AL174" s="141" t="s">
        <v>365</v>
      </c>
      <c r="AM174" s="141" t="s">
        <v>355</v>
      </c>
      <c r="AN174" s="141" t="s">
        <v>782</v>
      </c>
      <c r="AO174" s="141" t="s">
        <v>2427</v>
      </c>
      <c r="AP174" s="141" t="s">
        <v>2428</v>
      </c>
      <c r="AQ174" s="141" t="s">
        <v>655</v>
      </c>
      <c r="AR174" s="141" t="s">
        <v>491</v>
      </c>
      <c r="AS174" s="141" t="s">
        <v>370</v>
      </c>
      <c r="AT174" s="141"/>
      <c r="AU174" s="141" t="s">
        <v>2426</v>
      </c>
      <c r="AV174" s="141" t="s">
        <v>490</v>
      </c>
      <c r="AW174" s="141" t="s">
        <v>2429</v>
      </c>
      <c r="AX174" s="141" t="s">
        <v>662</v>
      </c>
      <c r="AY174" s="141" t="s">
        <v>2430</v>
      </c>
      <c r="AZ174" s="141" t="s">
        <v>658</v>
      </c>
      <c r="BA174" s="141" t="s">
        <v>2212</v>
      </c>
      <c r="BB174" s="141" t="s">
        <v>911</v>
      </c>
      <c r="BC174" s="141" t="s">
        <v>2381</v>
      </c>
      <c r="BD174" s="141" t="s">
        <v>498</v>
      </c>
      <c r="BE174" s="141" t="s">
        <v>2431</v>
      </c>
      <c r="BF174" s="141" t="s">
        <v>500</v>
      </c>
      <c r="BG174" s="141" t="s">
        <v>1754</v>
      </c>
      <c r="BH174" s="141" t="s">
        <v>901</v>
      </c>
      <c r="BI174" s="141" t="s">
        <v>2432</v>
      </c>
      <c r="BJ174" s="141" t="s">
        <v>788</v>
      </c>
      <c r="BK174" s="141" t="s">
        <v>2433</v>
      </c>
      <c r="BL174" s="141" t="s">
        <v>383</v>
      </c>
      <c r="BM174" s="141" t="s">
        <v>2434</v>
      </c>
      <c r="BN174" s="141"/>
      <c r="BO174" s="141"/>
      <c r="BP174" s="141"/>
      <c r="BQ174" s="141"/>
      <c r="BR174" s="141"/>
      <c r="BS174" s="141"/>
      <c r="BT174" s="141"/>
      <c r="BU174" s="141"/>
      <c r="BV174" s="141"/>
      <c r="BW174" s="141"/>
      <c r="BX174" s="141"/>
      <c r="BY174" s="141"/>
      <c r="BZ174" s="141"/>
      <c r="CA174" s="141"/>
      <c r="CB174" s="141"/>
      <c r="CC174" s="141"/>
      <c r="CD174" s="141"/>
      <c r="CE174" s="141"/>
      <c r="CF174" s="141"/>
      <c r="CG174" s="141"/>
      <c r="CH174" s="141"/>
      <c r="CI174" s="141"/>
      <c r="CJ174" s="141"/>
      <c r="CK174" s="141"/>
      <c r="CL174" s="141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73"/>
    </row>
    <row r="175" spans="2:105" x14ac:dyDescent="0.25">
      <c r="B175" s="172"/>
      <c r="C175" s="141" t="s">
        <v>2435</v>
      </c>
      <c r="D175" s="141" t="s">
        <v>1340</v>
      </c>
      <c r="E175" s="141" t="s">
        <v>2436</v>
      </c>
      <c r="F175" s="141" t="s">
        <v>2437</v>
      </c>
      <c r="G175" s="141"/>
      <c r="H175" s="141" t="s">
        <v>354</v>
      </c>
      <c r="I175" s="141"/>
      <c r="J175" s="141" t="s">
        <v>355</v>
      </c>
      <c r="K175" s="141" t="s">
        <v>2060</v>
      </c>
      <c r="L175" s="141" t="s">
        <v>2438</v>
      </c>
      <c r="M175" s="141" t="s">
        <v>2439</v>
      </c>
      <c r="N175" s="141" t="s">
        <v>355</v>
      </c>
      <c r="O175" s="141" t="s">
        <v>370</v>
      </c>
      <c r="P175" s="141" t="s">
        <v>529</v>
      </c>
      <c r="Q175" s="141" t="s">
        <v>530</v>
      </c>
      <c r="R175" s="141" t="s">
        <v>362</v>
      </c>
      <c r="S175" s="141" t="s">
        <v>1411</v>
      </c>
      <c r="T175" s="141" t="s">
        <v>2427</v>
      </c>
      <c r="U175" s="141" t="s">
        <v>2427</v>
      </c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 t="s">
        <v>355</v>
      </c>
      <c r="AL175" s="141" t="s">
        <v>365</v>
      </c>
      <c r="AM175" s="141" t="s">
        <v>355</v>
      </c>
      <c r="AN175" s="141" t="s">
        <v>782</v>
      </c>
      <c r="AO175" s="141" t="s">
        <v>2427</v>
      </c>
      <c r="AP175" s="141" t="s">
        <v>2428</v>
      </c>
      <c r="AQ175" s="141" t="s">
        <v>655</v>
      </c>
      <c r="AR175" s="141" t="s">
        <v>491</v>
      </c>
      <c r="AS175" s="141" t="s">
        <v>394</v>
      </c>
      <c r="AT175" s="141"/>
      <c r="AU175" s="141" t="s">
        <v>2438</v>
      </c>
      <c r="AV175" s="141" t="s">
        <v>490</v>
      </c>
      <c r="AW175" s="141" t="s">
        <v>2440</v>
      </c>
      <c r="AX175" s="141" t="s">
        <v>662</v>
      </c>
      <c r="AY175" s="141" t="s">
        <v>2441</v>
      </c>
      <c r="AZ175" s="141" t="s">
        <v>658</v>
      </c>
      <c r="BA175" s="141" t="s">
        <v>2442</v>
      </c>
      <c r="BB175" s="141" t="s">
        <v>911</v>
      </c>
      <c r="BC175" s="141" t="s">
        <v>2055</v>
      </c>
      <c r="BD175" s="141" t="s">
        <v>498</v>
      </c>
      <c r="BE175" s="141" t="s">
        <v>857</v>
      </c>
      <c r="BF175" s="141" t="s">
        <v>500</v>
      </c>
      <c r="BG175" s="141" t="s">
        <v>2443</v>
      </c>
      <c r="BH175" s="141" t="s">
        <v>901</v>
      </c>
      <c r="BI175" s="141" t="s">
        <v>1314</v>
      </c>
      <c r="BJ175" s="141" t="s">
        <v>788</v>
      </c>
      <c r="BK175" s="141" t="s">
        <v>2444</v>
      </c>
      <c r="BL175" s="141" t="s">
        <v>383</v>
      </c>
      <c r="BM175" s="141" t="s">
        <v>2445</v>
      </c>
      <c r="BN175" s="141"/>
      <c r="BO175" s="141"/>
      <c r="BP175" s="141"/>
      <c r="BQ175" s="141"/>
      <c r="BR175" s="141"/>
      <c r="BS175" s="141"/>
      <c r="BT175" s="141"/>
      <c r="BU175" s="141"/>
      <c r="BV175" s="141"/>
      <c r="BW175" s="141"/>
      <c r="BX175" s="141"/>
      <c r="BY175" s="141"/>
      <c r="BZ175" s="141"/>
      <c r="CA175" s="141"/>
      <c r="CB175" s="141"/>
      <c r="CC175" s="141"/>
      <c r="CD175" s="141"/>
      <c r="CE175" s="141"/>
      <c r="CF175" s="141"/>
      <c r="CG175" s="141"/>
      <c r="CH175" s="141"/>
      <c r="CI175" s="141"/>
      <c r="CJ175" s="141"/>
      <c r="CK175" s="141"/>
      <c r="CL175" s="141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73"/>
    </row>
    <row r="176" spans="2:105" x14ac:dyDescent="0.25">
      <c r="B176" s="172"/>
      <c r="C176" s="141" t="s">
        <v>2446</v>
      </c>
      <c r="D176" s="141" t="s">
        <v>442</v>
      </c>
      <c r="E176" s="141" t="s">
        <v>2447</v>
      </c>
      <c r="F176" s="141" t="s">
        <v>2448</v>
      </c>
      <c r="G176" s="141"/>
      <c r="H176" s="141" t="s">
        <v>354</v>
      </c>
      <c r="I176" s="141"/>
      <c r="J176" s="141" t="s">
        <v>355</v>
      </c>
      <c r="K176" s="141" t="s">
        <v>622</v>
      </c>
      <c r="L176" s="141" t="s">
        <v>2449</v>
      </c>
      <c r="M176" s="141" t="s">
        <v>2450</v>
      </c>
      <c r="N176" s="141" t="s">
        <v>355</v>
      </c>
      <c r="O176" s="141" t="s">
        <v>370</v>
      </c>
      <c r="P176" s="141" t="s">
        <v>529</v>
      </c>
      <c r="Q176" s="141" t="s">
        <v>530</v>
      </c>
      <c r="R176" s="141" t="s">
        <v>362</v>
      </c>
      <c r="S176" s="141" t="s">
        <v>1411</v>
      </c>
      <c r="T176" s="141" t="s">
        <v>2427</v>
      </c>
      <c r="U176" s="141" t="s">
        <v>2427</v>
      </c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 t="s">
        <v>355</v>
      </c>
      <c r="AL176" s="141" t="s">
        <v>365</v>
      </c>
      <c r="AM176" s="141" t="s">
        <v>355</v>
      </c>
      <c r="AN176" s="141" t="s">
        <v>782</v>
      </c>
      <c r="AO176" s="141" t="s">
        <v>2427</v>
      </c>
      <c r="AP176" s="141" t="s">
        <v>2428</v>
      </c>
      <c r="AQ176" s="141" t="s">
        <v>655</v>
      </c>
      <c r="AR176" s="141" t="s">
        <v>491</v>
      </c>
      <c r="AS176" s="141" t="s">
        <v>359</v>
      </c>
      <c r="AT176" s="141"/>
      <c r="AU176" s="141" t="s">
        <v>2449</v>
      </c>
      <c r="AV176" s="141" t="s">
        <v>490</v>
      </c>
      <c r="AW176" s="141" t="s">
        <v>2451</v>
      </c>
      <c r="AX176" s="141" t="s">
        <v>662</v>
      </c>
      <c r="AY176" s="141" t="s">
        <v>1131</v>
      </c>
      <c r="AZ176" s="141" t="s">
        <v>658</v>
      </c>
      <c r="BA176" s="141" t="s">
        <v>1721</v>
      </c>
      <c r="BB176" s="141" t="s">
        <v>911</v>
      </c>
      <c r="BC176" s="141" t="s">
        <v>2452</v>
      </c>
      <c r="BD176" s="141" t="s">
        <v>498</v>
      </c>
      <c r="BE176" s="141" t="s">
        <v>2453</v>
      </c>
      <c r="BF176" s="141" t="s">
        <v>500</v>
      </c>
      <c r="BG176" s="141" t="s">
        <v>995</v>
      </c>
      <c r="BH176" s="141" t="s">
        <v>901</v>
      </c>
      <c r="BI176" s="141" t="s">
        <v>2454</v>
      </c>
      <c r="BJ176" s="141" t="s">
        <v>788</v>
      </c>
      <c r="BK176" s="141" t="s">
        <v>2139</v>
      </c>
      <c r="BL176" s="141" t="s">
        <v>383</v>
      </c>
      <c r="BM176" s="141" t="s">
        <v>2455</v>
      </c>
      <c r="BN176" s="141"/>
      <c r="BO176" s="141"/>
      <c r="BP176" s="141"/>
      <c r="BQ176" s="141"/>
      <c r="BR176" s="141"/>
      <c r="BS176" s="141"/>
      <c r="BT176" s="141"/>
      <c r="BU176" s="141"/>
      <c r="BV176" s="141"/>
      <c r="BW176" s="141"/>
      <c r="BX176" s="141"/>
      <c r="BY176" s="141"/>
      <c r="BZ176" s="141"/>
      <c r="CA176" s="141"/>
      <c r="CB176" s="141"/>
      <c r="CC176" s="141"/>
      <c r="CD176" s="141"/>
      <c r="CE176" s="141"/>
      <c r="CF176" s="141"/>
      <c r="CG176" s="141"/>
      <c r="CH176" s="141"/>
      <c r="CI176" s="141"/>
      <c r="CJ176" s="141"/>
      <c r="CK176" s="141"/>
      <c r="CL176" s="141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73"/>
    </row>
    <row r="177" spans="2:105" x14ac:dyDescent="0.25">
      <c r="B177" s="172"/>
      <c r="C177" s="141" t="s">
        <v>2456</v>
      </c>
      <c r="D177" s="141" t="s">
        <v>1381</v>
      </c>
      <c r="E177" s="141" t="s">
        <v>2457</v>
      </c>
      <c r="F177" s="141" t="s">
        <v>1336</v>
      </c>
      <c r="G177" s="141"/>
      <c r="H177" s="141" t="s">
        <v>354</v>
      </c>
      <c r="I177" s="141"/>
      <c r="J177" s="141" t="s">
        <v>355</v>
      </c>
      <c r="K177" s="141" t="s">
        <v>2458</v>
      </c>
      <c r="L177" s="141" t="s">
        <v>2459</v>
      </c>
      <c r="M177" s="141" t="s">
        <v>2460</v>
      </c>
      <c r="N177" s="141" t="s">
        <v>355</v>
      </c>
      <c r="O177" s="141" t="s">
        <v>427</v>
      </c>
      <c r="P177" s="141" t="s">
        <v>455</v>
      </c>
      <c r="Q177" s="141" t="s">
        <v>456</v>
      </c>
      <c r="R177" s="141" t="s">
        <v>362</v>
      </c>
      <c r="S177" s="141" t="s">
        <v>1411</v>
      </c>
      <c r="T177" s="141" t="s">
        <v>2427</v>
      </c>
      <c r="U177" s="141" t="s">
        <v>2427</v>
      </c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 t="s">
        <v>355</v>
      </c>
      <c r="AL177" s="141" t="s">
        <v>365</v>
      </c>
      <c r="AM177" s="141" t="s">
        <v>355</v>
      </c>
      <c r="AN177" s="141" t="s">
        <v>782</v>
      </c>
      <c r="AO177" s="141" t="s">
        <v>2427</v>
      </c>
      <c r="AP177" s="141" t="s">
        <v>2428</v>
      </c>
      <c r="AQ177" s="141" t="s">
        <v>655</v>
      </c>
      <c r="AR177" s="141" t="s">
        <v>491</v>
      </c>
      <c r="AS177" s="141" t="s">
        <v>427</v>
      </c>
      <c r="AT177" s="141"/>
      <c r="AU177" s="141" t="s">
        <v>2459</v>
      </c>
      <c r="AV177" s="141" t="s">
        <v>490</v>
      </c>
      <c r="AW177" s="141" t="s">
        <v>2461</v>
      </c>
      <c r="AX177" s="141" t="s">
        <v>662</v>
      </c>
      <c r="AY177" s="141" t="s">
        <v>2462</v>
      </c>
      <c r="AZ177" s="141" t="s">
        <v>658</v>
      </c>
      <c r="BA177" s="141" t="s">
        <v>2463</v>
      </c>
      <c r="BB177" s="141" t="s">
        <v>911</v>
      </c>
      <c r="BC177" s="141" t="s">
        <v>566</v>
      </c>
      <c r="BD177" s="141" t="s">
        <v>498</v>
      </c>
      <c r="BE177" s="141" t="s">
        <v>1857</v>
      </c>
      <c r="BF177" s="141" t="s">
        <v>500</v>
      </c>
      <c r="BG177" s="141" t="s">
        <v>2464</v>
      </c>
      <c r="BH177" s="141" t="s">
        <v>901</v>
      </c>
      <c r="BI177" s="141" t="s">
        <v>2465</v>
      </c>
      <c r="BJ177" s="141" t="s">
        <v>788</v>
      </c>
      <c r="BK177" s="141" t="s">
        <v>2466</v>
      </c>
      <c r="BL177" s="141" t="s">
        <v>383</v>
      </c>
      <c r="BM177" s="141" t="s">
        <v>2467</v>
      </c>
      <c r="BN177" s="141"/>
      <c r="BO177" s="141"/>
      <c r="BP177" s="141"/>
      <c r="BQ177" s="141"/>
      <c r="BR177" s="141"/>
      <c r="BS177" s="141"/>
      <c r="BT177" s="141"/>
      <c r="BU177" s="141"/>
      <c r="BV177" s="141"/>
      <c r="BW177" s="141"/>
      <c r="BX177" s="141"/>
      <c r="BY177" s="141"/>
      <c r="BZ177" s="141"/>
      <c r="CA177" s="141"/>
      <c r="CB177" s="141"/>
      <c r="CC177" s="141"/>
      <c r="CD177" s="141"/>
      <c r="CE177" s="141"/>
      <c r="CF177" s="141"/>
      <c r="CG177" s="141"/>
      <c r="CH177" s="141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73"/>
    </row>
    <row r="178" spans="2:105" x14ac:dyDescent="0.25">
      <c r="B178" s="172"/>
      <c r="C178" s="141" t="s">
        <v>2468</v>
      </c>
      <c r="D178" s="141" t="s">
        <v>2469</v>
      </c>
      <c r="E178" s="141" t="s">
        <v>2470</v>
      </c>
      <c r="F178" s="141" t="s">
        <v>2471</v>
      </c>
      <c r="G178" s="141"/>
      <c r="H178" s="141" t="s">
        <v>354</v>
      </c>
      <c r="I178" s="141"/>
      <c r="J178" s="141" t="s">
        <v>355</v>
      </c>
      <c r="K178" s="141" t="s">
        <v>1994</v>
      </c>
      <c r="L178" s="141" t="s">
        <v>2472</v>
      </c>
      <c r="M178" s="141" t="s">
        <v>2473</v>
      </c>
      <c r="N178" s="141" t="s">
        <v>355</v>
      </c>
      <c r="O178" s="141" t="s">
        <v>370</v>
      </c>
      <c r="P178" s="141" t="s">
        <v>529</v>
      </c>
      <c r="Q178" s="141" t="s">
        <v>530</v>
      </c>
      <c r="R178" s="141" t="s">
        <v>362</v>
      </c>
      <c r="S178" s="141" t="s">
        <v>1411</v>
      </c>
      <c r="T178" s="141" t="s">
        <v>2427</v>
      </c>
      <c r="U178" s="141" t="s">
        <v>2427</v>
      </c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 t="s">
        <v>355</v>
      </c>
      <c r="AL178" s="141" t="s">
        <v>365</v>
      </c>
      <c r="AM178" s="141" t="s">
        <v>355</v>
      </c>
      <c r="AN178" s="141" t="s">
        <v>782</v>
      </c>
      <c r="AO178" s="141" t="s">
        <v>2427</v>
      </c>
      <c r="AP178" s="141" t="s">
        <v>2428</v>
      </c>
      <c r="AQ178" s="141" t="s">
        <v>655</v>
      </c>
      <c r="AR178" s="141" t="s">
        <v>491</v>
      </c>
      <c r="AS178" s="141" t="s">
        <v>442</v>
      </c>
      <c r="AT178" s="141"/>
      <c r="AU178" s="141" t="s">
        <v>2472</v>
      </c>
      <c r="AV178" s="141" t="s">
        <v>490</v>
      </c>
      <c r="AW178" s="141" t="s">
        <v>2474</v>
      </c>
      <c r="AX178" s="141" t="s">
        <v>662</v>
      </c>
      <c r="AY178" s="141" t="s">
        <v>2475</v>
      </c>
      <c r="AZ178" s="141" t="s">
        <v>658</v>
      </c>
      <c r="BA178" s="141" t="s">
        <v>2476</v>
      </c>
      <c r="BB178" s="141" t="s">
        <v>911</v>
      </c>
      <c r="BC178" s="141" t="s">
        <v>2477</v>
      </c>
      <c r="BD178" s="141" t="s">
        <v>498</v>
      </c>
      <c r="BE178" s="141" t="s">
        <v>2478</v>
      </c>
      <c r="BF178" s="141" t="s">
        <v>500</v>
      </c>
      <c r="BG178" s="141" t="s">
        <v>2479</v>
      </c>
      <c r="BH178" s="141" t="s">
        <v>901</v>
      </c>
      <c r="BI178" s="141" t="s">
        <v>2480</v>
      </c>
      <c r="BJ178" s="141" t="s">
        <v>788</v>
      </c>
      <c r="BK178" s="141" t="s">
        <v>2481</v>
      </c>
      <c r="BL178" s="141" t="s">
        <v>383</v>
      </c>
      <c r="BM178" s="141" t="s">
        <v>2482</v>
      </c>
      <c r="BN178" s="141"/>
      <c r="BO178" s="141"/>
      <c r="BP178" s="141"/>
      <c r="BQ178" s="141"/>
      <c r="BR178" s="141"/>
      <c r="BS178" s="141"/>
      <c r="BT178" s="141"/>
      <c r="BU178" s="141"/>
      <c r="BV178" s="141"/>
      <c r="BW178" s="141"/>
      <c r="BX178" s="141"/>
      <c r="BY178" s="141"/>
      <c r="BZ178" s="141"/>
      <c r="CA178" s="141"/>
      <c r="CB178" s="141"/>
      <c r="CC178" s="141"/>
      <c r="CD178" s="141"/>
      <c r="CE178" s="141"/>
      <c r="CF178" s="141"/>
      <c r="CG178" s="141"/>
      <c r="CH178" s="141"/>
      <c r="CI178" s="141"/>
      <c r="CJ178" s="141"/>
      <c r="CK178" s="141"/>
      <c r="CL178" s="141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73"/>
    </row>
    <row r="179" spans="2:105" x14ac:dyDescent="0.25">
      <c r="B179" s="172"/>
      <c r="C179" s="141" t="s">
        <v>2483</v>
      </c>
      <c r="D179" s="141" t="s">
        <v>1325</v>
      </c>
      <c r="E179" s="141" t="s">
        <v>2484</v>
      </c>
      <c r="F179" s="141" t="s">
        <v>2485</v>
      </c>
      <c r="G179" s="141"/>
      <c r="H179" s="141" t="s">
        <v>354</v>
      </c>
      <c r="I179" s="141"/>
      <c r="J179" s="141" t="s">
        <v>355</v>
      </c>
      <c r="K179" s="141" t="s">
        <v>883</v>
      </c>
      <c r="L179" s="141" t="s">
        <v>2486</v>
      </c>
      <c r="M179" s="141" t="s">
        <v>2487</v>
      </c>
      <c r="N179" s="141" t="s">
        <v>355</v>
      </c>
      <c r="O179" s="141" t="s">
        <v>370</v>
      </c>
      <c r="P179" s="141" t="s">
        <v>529</v>
      </c>
      <c r="Q179" s="141" t="s">
        <v>530</v>
      </c>
      <c r="R179" s="141" t="s">
        <v>362</v>
      </c>
      <c r="S179" s="141" t="s">
        <v>1411</v>
      </c>
      <c r="T179" s="141" t="s">
        <v>2427</v>
      </c>
      <c r="U179" s="141" t="s">
        <v>2427</v>
      </c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 t="s">
        <v>355</v>
      </c>
      <c r="AL179" s="141" t="s">
        <v>365</v>
      </c>
      <c r="AM179" s="141" t="s">
        <v>355</v>
      </c>
      <c r="AN179" s="141" t="s">
        <v>782</v>
      </c>
      <c r="AO179" s="141" t="s">
        <v>2427</v>
      </c>
      <c r="AP179" s="141" t="s">
        <v>2428</v>
      </c>
      <c r="AQ179" s="141" t="s">
        <v>655</v>
      </c>
      <c r="AR179" s="141" t="s">
        <v>491</v>
      </c>
      <c r="AS179" s="141" t="s">
        <v>392</v>
      </c>
      <c r="AT179" s="141"/>
      <c r="AU179" s="141" t="s">
        <v>2486</v>
      </c>
      <c r="AV179" s="141" t="s">
        <v>490</v>
      </c>
      <c r="AW179" s="141" t="s">
        <v>2488</v>
      </c>
      <c r="AX179" s="141" t="s">
        <v>662</v>
      </c>
      <c r="AY179" s="141" t="s">
        <v>2489</v>
      </c>
      <c r="AZ179" s="141" t="s">
        <v>658</v>
      </c>
      <c r="BA179" s="141" t="s">
        <v>2490</v>
      </c>
      <c r="BB179" s="141" t="s">
        <v>911</v>
      </c>
      <c r="BC179" s="141" t="s">
        <v>2491</v>
      </c>
      <c r="BD179" s="141" t="s">
        <v>498</v>
      </c>
      <c r="BE179" s="141" t="s">
        <v>2492</v>
      </c>
      <c r="BF179" s="141" t="s">
        <v>500</v>
      </c>
      <c r="BG179" s="141" t="s">
        <v>2493</v>
      </c>
      <c r="BH179" s="141" t="s">
        <v>901</v>
      </c>
      <c r="BI179" s="141" t="s">
        <v>2219</v>
      </c>
      <c r="BJ179" s="141" t="s">
        <v>788</v>
      </c>
      <c r="BK179" s="141" t="s">
        <v>2494</v>
      </c>
      <c r="BL179" s="141" t="s">
        <v>383</v>
      </c>
      <c r="BM179" s="141" t="s">
        <v>2495</v>
      </c>
      <c r="BN179" s="141"/>
      <c r="BO179" s="141"/>
      <c r="BP179" s="141"/>
      <c r="BQ179" s="141"/>
      <c r="BR179" s="141"/>
      <c r="BS179" s="141"/>
      <c r="BT179" s="141"/>
      <c r="BU179" s="141"/>
      <c r="BV179" s="141"/>
      <c r="BW179" s="141"/>
      <c r="BX179" s="141"/>
      <c r="BY179" s="141"/>
      <c r="BZ179" s="141"/>
      <c r="CA179" s="141"/>
      <c r="CB179" s="1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73"/>
    </row>
    <row r="180" spans="2:105" x14ac:dyDescent="0.25">
      <c r="B180" s="172"/>
      <c r="C180" s="141" t="s">
        <v>2496</v>
      </c>
      <c r="D180" s="141" t="s">
        <v>2497</v>
      </c>
      <c r="E180" s="141" t="s">
        <v>2498</v>
      </c>
      <c r="F180" s="141" t="s">
        <v>2499</v>
      </c>
      <c r="G180" s="141"/>
      <c r="H180" s="141" t="s">
        <v>354</v>
      </c>
      <c r="I180" s="141"/>
      <c r="J180" s="141" t="s">
        <v>355</v>
      </c>
      <c r="K180" s="141" t="s">
        <v>2008</v>
      </c>
      <c r="L180" s="141" t="s">
        <v>2500</v>
      </c>
      <c r="M180" s="141" t="s">
        <v>2501</v>
      </c>
      <c r="N180" s="141" t="s">
        <v>355</v>
      </c>
      <c r="O180" s="141" t="s">
        <v>394</v>
      </c>
      <c r="P180" s="141" t="s">
        <v>425</v>
      </c>
      <c r="Q180" s="141" t="s">
        <v>426</v>
      </c>
      <c r="R180" s="141" t="s">
        <v>362</v>
      </c>
      <c r="S180" s="141" t="s">
        <v>1411</v>
      </c>
      <c r="T180" s="141" t="s">
        <v>2427</v>
      </c>
      <c r="U180" s="141" t="s">
        <v>2427</v>
      </c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 t="s">
        <v>355</v>
      </c>
      <c r="AL180" s="141" t="s">
        <v>365</v>
      </c>
      <c r="AM180" s="141" t="s">
        <v>355</v>
      </c>
      <c r="AN180" s="141" t="s">
        <v>782</v>
      </c>
      <c r="AO180" s="141" t="s">
        <v>2427</v>
      </c>
      <c r="AP180" s="141" t="s">
        <v>2428</v>
      </c>
      <c r="AQ180" s="141" t="s">
        <v>655</v>
      </c>
      <c r="AR180" s="141" t="s">
        <v>491</v>
      </c>
      <c r="AS180" s="141" t="s">
        <v>369</v>
      </c>
      <c r="AT180" s="141"/>
      <c r="AU180" s="141" t="s">
        <v>2500</v>
      </c>
      <c r="AV180" s="141" t="s">
        <v>490</v>
      </c>
      <c r="AW180" s="141" t="s">
        <v>2502</v>
      </c>
      <c r="AX180" s="141" t="s">
        <v>662</v>
      </c>
      <c r="AY180" s="141" t="s">
        <v>2503</v>
      </c>
      <c r="AZ180" s="141" t="s">
        <v>658</v>
      </c>
      <c r="BA180" s="141" t="s">
        <v>2504</v>
      </c>
      <c r="BB180" s="141" t="s">
        <v>911</v>
      </c>
      <c r="BC180" s="141" t="s">
        <v>1511</v>
      </c>
      <c r="BD180" s="141" t="s">
        <v>498</v>
      </c>
      <c r="BE180" s="141" t="s">
        <v>2505</v>
      </c>
      <c r="BF180" s="141" t="s">
        <v>500</v>
      </c>
      <c r="BG180" s="141" t="s">
        <v>468</v>
      </c>
      <c r="BH180" s="141" t="s">
        <v>901</v>
      </c>
      <c r="BI180" s="141" t="s">
        <v>2506</v>
      </c>
      <c r="BJ180" s="141" t="s">
        <v>788</v>
      </c>
      <c r="BK180" s="141" t="s">
        <v>2507</v>
      </c>
      <c r="BL180" s="141" t="s">
        <v>383</v>
      </c>
      <c r="BM180" s="141" t="s">
        <v>2508</v>
      </c>
      <c r="BN180" s="141"/>
      <c r="BO180" s="141"/>
      <c r="BP180" s="141"/>
      <c r="BQ180" s="141"/>
      <c r="BR180" s="141"/>
      <c r="BS180" s="141"/>
      <c r="BT180" s="141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1"/>
      <c r="CG180" s="141"/>
      <c r="CH180" s="141"/>
      <c r="CI180" s="141"/>
      <c r="CJ180" s="141"/>
      <c r="CK180" s="141"/>
      <c r="CL180" s="141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73"/>
    </row>
    <row r="181" spans="2:105" x14ac:dyDescent="0.25">
      <c r="B181" s="172"/>
      <c r="C181" s="141" t="s">
        <v>2509</v>
      </c>
      <c r="D181" s="141" t="s">
        <v>2510</v>
      </c>
      <c r="E181" s="141" t="s">
        <v>644</v>
      </c>
      <c r="F181" s="141" t="s">
        <v>2511</v>
      </c>
      <c r="G181" s="141"/>
      <c r="H181" s="141" t="s">
        <v>354</v>
      </c>
      <c r="I181" s="141"/>
      <c r="J181" s="141" t="s">
        <v>355</v>
      </c>
      <c r="K181" s="141" t="s">
        <v>406</v>
      </c>
      <c r="L181" s="141" t="s">
        <v>2512</v>
      </c>
      <c r="M181" s="141" t="s">
        <v>2513</v>
      </c>
      <c r="N181" s="141" t="s">
        <v>355</v>
      </c>
      <c r="O181" s="141" t="s">
        <v>394</v>
      </c>
      <c r="P181" s="141" t="s">
        <v>425</v>
      </c>
      <c r="Q181" s="141" t="s">
        <v>426</v>
      </c>
      <c r="R181" s="141" t="s">
        <v>362</v>
      </c>
      <c r="S181" s="141" t="s">
        <v>1411</v>
      </c>
      <c r="T181" s="141" t="s">
        <v>2427</v>
      </c>
      <c r="U181" s="141" t="s">
        <v>2427</v>
      </c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 t="s">
        <v>355</v>
      </c>
      <c r="AL181" s="141" t="s">
        <v>365</v>
      </c>
      <c r="AM181" s="141" t="s">
        <v>355</v>
      </c>
      <c r="AN181" s="141" t="s">
        <v>782</v>
      </c>
      <c r="AO181" s="141" t="s">
        <v>2427</v>
      </c>
      <c r="AP181" s="141" t="s">
        <v>2428</v>
      </c>
      <c r="AQ181" s="141" t="s">
        <v>655</v>
      </c>
      <c r="AR181" s="141" t="s">
        <v>491</v>
      </c>
      <c r="AS181" s="141" t="s">
        <v>409</v>
      </c>
      <c r="AT181" s="141"/>
      <c r="AU181" s="141" t="s">
        <v>2512</v>
      </c>
      <c r="AV181" s="141" t="s">
        <v>490</v>
      </c>
      <c r="AW181" s="141" t="s">
        <v>2514</v>
      </c>
      <c r="AX181" s="141" t="s">
        <v>662</v>
      </c>
      <c r="AY181" s="141" t="s">
        <v>1145</v>
      </c>
      <c r="AZ181" s="141" t="s">
        <v>658</v>
      </c>
      <c r="BA181" s="141" t="s">
        <v>2515</v>
      </c>
      <c r="BB181" s="141" t="s">
        <v>911</v>
      </c>
      <c r="BC181" s="141" t="s">
        <v>2516</v>
      </c>
      <c r="BD181" s="141" t="s">
        <v>498</v>
      </c>
      <c r="BE181" s="141" t="s">
        <v>2517</v>
      </c>
      <c r="BF181" s="141" t="s">
        <v>500</v>
      </c>
      <c r="BG181" s="141" t="s">
        <v>2518</v>
      </c>
      <c r="BH181" s="141" t="s">
        <v>901</v>
      </c>
      <c r="BI181" s="141" t="s">
        <v>2519</v>
      </c>
      <c r="BJ181" s="141" t="s">
        <v>788</v>
      </c>
      <c r="BK181" s="141" t="s">
        <v>2520</v>
      </c>
      <c r="BL181" s="141" t="s">
        <v>383</v>
      </c>
      <c r="BM181" s="141" t="s">
        <v>2521</v>
      </c>
      <c r="BN181" s="141"/>
      <c r="BO181" s="141"/>
      <c r="BP181" s="141"/>
      <c r="BQ181" s="141"/>
      <c r="BR181" s="141"/>
      <c r="BS181" s="141"/>
      <c r="BT181" s="141"/>
      <c r="BU181" s="141"/>
      <c r="BV181" s="141"/>
      <c r="BW181" s="141"/>
      <c r="BX181" s="141"/>
      <c r="BY181" s="141"/>
      <c r="BZ181" s="141"/>
      <c r="CA181" s="141"/>
      <c r="CB181" s="141"/>
      <c r="CC181" s="141"/>
      <c r="CD181" s="141"/>
      <c r="CE181" s="141"/>
      <c r="CF181" s="141"/>
      <c r="CG181" s="141"/>
      <c r="CH181" s="141"/>
      <c r="CI181" s="141"/>
      <c r="CJ181" s="141"/>
      <c r="CK181" s="141"/>
      <c r="CL181" s="141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73"/>
    </row>
    <row r="182" spans="2:105" x14ac:dyDescent="0.25">
      <c r="B182" s="172"/>
      <c r="C182" s="141" t="s">
        <v>2522</v>
      </c>
      <c r="D182" s="141" t="s">
        <v>2523</v>
      </c>
      <c r="E182" s="141" t="s">
        <v>2524</v>
      </c>
      <c r="F182" s="141" t="s">
        <v>2525</v>
      </c>
      <c r="G182" s="141"/>
      <c r="H182" s="141" t="s">
        <v>354</v>
      </c>
      <c r="I182" s="141"/>
      <c r="J182" s="141" t="s">
        <v>355</v>
      </c>
      <c r="K182" s="141" t="s">
        <v>2526</v>
      </c>
      <c r="L182" s="141" t="s">
        <v>2527</v>
      </c>
      <c r="M182" s="141" t="s">
        <v>2528</v>
      </c>
      <c r="N182" s="141" t="s">
        <v>355</v>
      </c>
      <c r="O182" s="141" t="s">
        <v>394</v>
      </c>
      <c r="P182" s="141" t="s">
        <v>425</v>
      </c>
      <c r="Q182" s="141" t="s">
        <v>426</v>
      </c>
      <c r="R182" s="141" t="s">
        <v>362</v>
      </c>
      <c r="S182" s="141" t="s">
        <v>1411</v>
      </c>
      <c r="T182" s="141" t="s">
        <v>2427</v>
      </c>
      <c r="U182" s="141" t="s">
        <v>2427</v>
      </c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 t="s">
        <v>355</v>
      </c>
      <c r="AL182" s="141" t="s">
        <v>365</v>
      </c>
      <c r="AM182" s="141" t="s">
        <v>355</v>
      </c>
      <c r="AN182" s="141" t="s">
        <v>782</v>
      </c>
      <c r="AO182" s="141" t="s">
        <v>2427</v>
      </c>
      <c r="AP182" s="141" t="s">
        <v>2428</v>
      </c>
      <c r="AQ182" s="141" t="s">
        <v>655</v>
      </c>
      <c r="AR182" s="141" t="s">
        <v>491</v>
      </c>
      <c r="AS182" s="141" t="s">
        <v>491</v>
      </c>
      <c r="AT182" s="141"/>
      <c r="AU182" s="141" t="s">
        <v>2527</v>
      </c>
      <c r="AV182" s="141" t="s">
        <v>490</v>
      </c>
      <c r="AW182" s="141" t="s">
        <v>2529</v>
      </c>
      <c r="AX182" s="141" t="s">
        <v>662</v>
      </c>
      <c r="AY182" s="141" t="s">
        <v>1769</v>
      </c>
      <c r="AZ182" s="141" t="s">
        <v>658</v>
      </c>
      <c r="BA182" s="141" t="s">
        <v>2530</v>
      </c>
      <c r="BB182" s="141" t="s">
        <v>911</v>
      </c>
      <c r="BC182" s="141" t="s">
        <v>1640</v>
      </c>
      <c r="BD182" s="141" t="s">
        <v>498</v>
      </c>
      <c r="BE182" s="141" t="s">
        <v>803</v>
      </c>
      <c r="BF182" s="141" t="s">
        <v>500</v>
      </c>
      <c r="BG182" s="141" t="s">
        <v>2531</v>
      </c>
      <c r="BH182" s="141" t="s">
        <v>901</v>
      </c>
      <c r="BI182" s="141" t="s">
        <v>2532</v>
      </c>
      <c r="BJ182" s="141" t="s">
        <v>788</v>
      </c>
      <c r="BK182" s="141" t="s">
        <v>2533</v>
      </c>
      <c r="BL182" s="141" t="s">
        <v>383</v>
      </c>
      <c r="BM182" s="141" t="s">
        <v>2534</v>
      </c>
      <c r="BN182" s="141"/>
      <c r="BO182" s="141"/>
      <c r="BP182" s="141"/>
      <c r="BQ182" s="141"/>
      <c r="BR182" s="141"/>
      <c r="BS182" s="141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41"/>
      <c r="CJ182" s="141"/>
      <c r="CK182" s="141"/>
      <c r="CL182" s="141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73"/>
    </row>
    <row r="183" spans="2:105" x14ac:dyDescent="0.25">
      <c r="B183" s="172"/>
      <c r="C183" s="141" t="s">
        <v>2535</v>
      </c>
      <c r="D183" s="141" t="s">
        <v>392</v>
      </c>
      <c r="E183" s="141" t="s">
        <v>2536</v>
      </c>
      <c r="F183" s="141" t="s">
        <v>2537</v>
      </c>
      <c r="G183" s="141"/>
      <c r="H183" s="141" t="s">
        <v>354</v>
      </c>
      <c r="I183" s="141"/>
      <c r="J183" s="141" t="s">
        <v>355</v>
      </c>
      <c r="K183" s="141" t="s">
        <v>2071</v>
      </c>
      <c r="L183" s="141" t="s">
        <v>2538</v>
      </c>
      <c r="M183" s="141" t="s">
        <v>2539</v>
      </c>
      <c r="N183" s="141" t="s">
        <v>355</v>
      </c>
      <c r="O183" s="141" t="s">
        <v>370</v>
      </c>
      <c r="P183" s="141" t="s">
        <v>529</v>
      </c>
      <c r="Q183" s="141" t="s">
        <v>530</v>
      </c>
      <c r="R183" s="141" t="s">
        <v>362</v>
      </c>
      <c r="S183" s="141" t="s">
        <v>1411</v>
      </c>
      <c r="T183" s="141" t="s">
        <v>2427</v>
      </c>
      <c r="U183" s="141" t="s">
        <v>2427</v>
      </c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 t="s">
        <v>355</v>
      </c>
      <c r="AL183" s="141" t="s">
        <v>365</v>
      </c>
      <c r="AM183" s="141" t="s">
        <v>355</v>
      </c>
      <c r="AN183" s="141" t="s">
        <v>782</v>
      </c>
      <c r="AO183" s="141" t="s">
        <v>2427</v>
      </c>
      <c r="AP183" s="141" t="s">
        <v>2428</v>
      </c>
      <c r="AQ183" s="141" t="s">
        <v>655</v>
      </c>
      <c r="AR183" s="141" t="s">
        <v>491</v>
      </c>
      <c r="AS183" s="141" t="s">
        <v>486</v>
      </c>
      <c r="AT183" s="141"/>
      <c r="AU183" s="141" t="s">
        <v>2538</v>
      </c>
      <c r="AV183" s="141" t="s">
        <v>490</v>
      </c>
      <c r="AW183" s="141" t="s">
        <v>2540</v>
      </c>
      <c r="AX183" s="141" t="s">
        <v>662</v>
      </c>
      <c r="AY183" s="141" t="s">
        <v>2541</v>
      </c>
      <c r="AZ183" s="141" t="s">
        <v>658</v>
      </c>
      <c r="BA183" s="141" t="s">
        <v>2542</v>
      </c>
      <c r="BB183" s="141" t="s">
        <v>911</v>
      </c>
      <c r="BC183" s="141" t="s">
        <v>2543</v>
      </c>
      <c r="BD183" s="141" t="s">
        <v>498</v>
      </c>
      <c r="BE183" s="141" t="s">
        <v>2544</v>
      </c>
      <c r="BF183" s="141" t="s">
        <v>500</v>
      </c>
      <c r="BG183" s="141" t="s">
        <v>2545</v>
      </c>
      <c r="BH183" s="141" t="s">
        <v>901</v>
      </c>
      <c r="BI183" s="141" t="s">
        <v>2546</v>
      </c>
      <c r="BJ183" s="141" t="s">
        <v>788</v>
      </c>
      <c r="BK183" s="141" t="s">
        <v>2547</v>
      </c>
      <c r="BL183" s="141" t="s">
        <v>383</v>
      </c>
      <c r="BM183" s="141" t="s">
        <v>2548</v>
      </c>
      <c r="BN183" s="141"/>
      <c r="BO183" s="141"/>
      <c r="BP183" s="141"/>
      <c r="BQ183" s="141"/>
      <c r="BR183" s="141"/>
      <c r="BS183" s="141"/>
      <c r="BT183" s="141"/>
      <c r="BU183" s="141"/>
      <c r="BV183" s="141"/>
      <c r="BW183" s="141"/>
      <c r="BX183" s="1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41"/>
      <c r="CJ183" s="141"/>
      <c r="CK183" s="141"/>
      <c r="CL183" s="141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73"/>
    </row>
    <row r="184" spans="2:105" x14ac:dyDescent="0.25">
      <c r="B184" s="172"/>
      <c r="C184" s="141" t="s">
        <v>2549</v>
      </c>
      <c r="D184" s="141" t="s">
        <v>2550</v>
      </c>
      <c r="E184" s="141" t="s">
        <v>2551</v>
      </c>
      <c r="F184" s="141" t="s">
        <v>2425</v>
      </c>
      <c r="G184" s="141"/>
      <c r="H184" s="141" t="s">
        <v>354</v>
      </c>
      <c r="I184" s="141"/>
      <c r="J184" s="141" t="s">
        <v>355</v>
      </c>
      <c r="K184" s="141" t="s">
        <v>477</v>
      </c>
      <c r="L184" s="141" t="s">
        <v>2552</v>
      </c>
      <c r="M184" s="141" t="s">
        <v>2553</v>
      </c>
      <c r="N184" s="141" t="s">
        <v>355</v>
      </c>
      <c r="O184" s="141" t="s">
        <v>394</v>
      </c>
      <c r="P184" s="141" t="s">
        <v>425</v>
      </c>
      <c r="Q184" s="141" t="s">
        <v>426</v>
      </c>
      <c r="R184" s="141" t="s">
        <v>362</v>
      </c>
      <c r="S184" s="141" t="s">
        <v>1411</v>
      </c>
      <c r="T184" s="141" t="s">
        <v>2427</v>
      </c>
      <c r="U184" s="141" t="s">
        <v>2427</v>
      </c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 t="s">
        <v>355</v>
      </c>
      <c r="AL184" s="141" t="s">
        <v>365</v>
      </c>
      <c r="AM184" s="141" t="s">
        <v>355</v>
      </c>
      <c r="AN184" s="141" t="s">
        <v>782</v>
      </c>
      <c r="AO184" s="141" t="s">
        <v>2427</v>
      </c>
      <c r="AP184" s="141" t="s">
        <v>2428</v>
      </c>
      <c r="AQ184" s="141" t="s">
        <v>655</v>
      </c>
      <c r="AR184" s="141" t="s">
        <v>491</v>
      </c>
      <c r="AS184" s="141" t="s">
        <v>363</v>
      </c>
      <c r="AT184" s="141"/>
      <c r="AU184" s="141" t="s">
        <v>2552</v>
      </c>
      <c r="AV184" s="141" t="s">
        <v>490</v>
      </c>
      <c r="AW184" s="141" t="s">
        <v>2554</v>
      </c>
      <c r="AX184" s="141" t="s">
        <v>662</v>
      </c>
      <c r="AY184" s="141" t="s">
        <v>2555</v>
      </c>
      <c r="AZ184" s="141" t="s">
        <v>658</v>
      </c>
      <c r="BA184" s="141" t="s">
        <v>2556</v>
      </c>
      <c r="BB184" s="141" t="s">
        <v>911</v>
      </c>
      <c r="BC184" s="141" t="s">
        <v>2557</v>
      </c>
      <c r="BD184" s="141" t="s">
        <v>498</v>
      </c>
      <c r="BE184" s="141" t="s">
        <v>2558</v>
      </c>
      <c r="BF184" s="141" t="s">
        <v>500</v>
      </c>
      <c r="BG184" s="141" t="s">
        <v>2559</v>
      </c>
      <c r="BH184" s="141" t="s">
        <v>901</v>
      </c>
      <c r="BI184" s="141" t="s">
        <v>2560</v>
      </c>
      <c r="BJ184" s="141" t="s">
        <v>788</v>
      </c>
      <c r="BK184" s="141" t="s">
        <v>2561</v>
      </c>
      <c r="BL184" s="141" t="s">
        <v>383</v>
      </c>
      <c r="BM184" s="141" t="s">
        <v>2562</v>
      </c>
      <c r="BN184" s="141"/>
      <c r="BO184" s="141"/>
      <c r="BP184" s="141"/>
      <c r="BQ184" s="141"/>
      <c r="BR184" s="141"/>
      <c r="BS184" s="141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141"/>
      <c r="CJ184" s="141"/>
      <c r="CK184" s="141"/>
      <c r="CL184" s="141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73"/>
    </row>
    <row r="185" spans="2:105" x14ac:dyDescent="0.25">
      <c r="B185" s="172"/>
      <c r="C185" s="141" t="s">
        <v>2563</v>
      </c>
      <c r="D185" s="141" t="s">
        <v>2564</v>
      </c>
      <c r="E185" s="141" t="s">
        <v>1351</v>
      </c>
      <c r="F185" s="141" t="s">
        <v>2565</v>
      </c>
      <c r="G185" s="141"/>
      <c r="H185" s="141" t="s">
        <v>354</v>
      </c>
      <c r="I185" s="141"/>
      <c r="J185" s="141" t="s">
        <v>355</v>
      </c>
      <c r="K185" s="141" t="s">
        <v>2188</v>
      </c>
      <c r="L185" s="141" t="s">
        <v>2566</v>
      </c>
      <c r="M185" s="141" t="s">
        <v>2567</v>
      </c>
      <c r="N185" s="141" t="s">
        <v>355</v>
      </c>
      <c r="O185" s="141" t="s">
        <v>409</v>
      </c>
      <c r="P185" s="141" t="s">
        <v>410</v>
      </c>
      <c r="Q185" s="141" t="s">
        <v>410</v>
      </c>
      <c r="R185" s="141" t="s">
        <v>362</v>
      </c>
      <c r="S185" s="141" t="s">
        <v>1411</v>
      </c>
      <c r="T185" s="141" t="s">
        <v>2427</v>
      </c>
      <c r="U185" s="141" t="s">
        <v>2427</v>
      </c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 t="s">
        <v>355</v>
      </c>
      <c r="AL185" s="141" t="s">
        <v>365</v>
      </c>
      <c r="AM185" s="141" t="s">
        <v>355</v>
      </c>
      <c r="AN185" s="141" t="s">
        <v>782</v>
      </c>
      <c r="AO185" s="141" t="s">
        <v>2427</v>
      </c>
      <c r="AP185" s="141" t="s">
        <v>2428</v>
      </c>
      <c r="AQ185" s="141" t="s">
        <v>655</v>
      </c>
      <c r="AR185" s="141" t="s">
        <v>491</v>
      </c>
      <c r="AS185" s="141" t="s">
        <v>1280</v>
      </c>
      <c r="AT185" s="141"/>
      <c r="AU185" s="141" t="s">
        <v>2566</v>
      </c>
      <c r="AV185" s="141" t="s">
        <v>490</v>
      </c>
      <c r="AW185" s="141" t="s">
        <v>2568</v>
      </c>
      <c r="AX185" s="141" t="s">
        <v>662</v>
      </c>
      <c r="AY185" s="141" t="s">
        <v>2569</v>
      </c>
      <c r="AZ185" s="141" t="s">
        <v>658</v>
      </c>
      <c r="BA185" s="141" t="s">
        <v>2570</v>
      </c>
      <c r="BB185" s="141" t="s">
        <v>911</v>
      </c>
      <c r="BC185" s="141" t="s">
        <v>2571</v>
      </c>
      <c r="BD185" s="141" t="s">
        <v>498</v>
      </c>
      <c r="BE185" s="141" t="s">
        <v>2572</v>
      </c>
      <c r="BF185" s="141" t="s">
        <v>500</v>
      </c>
      <c r="BG185" s="141" t="s">
        <v>2573</v>
      </c>
      <c r="BH185" s="141" t="s">
        <v>901</v>
      </c>
      <c r="BI185" s="141" t="s">
        <v>2574</v>
      </c>
      <c r="BJ185" s="141" t="s">
        <v>788</v>
      </c>
      <c r="BK185" s="141" t="s">
        <v>2575</v>
      </c>
      <c r="BL185" s="141" t="s">
        <v>383</v>
      </c>
      <c r="BM185" s="141" t="s">
        <v>2576</v>
      </c>
      <c r="BN185" s="141"/>
      <c r="BO185" s="141"/>
      <c r="BP185" s="141"/>
      <c r="BQ185" s="141"/>
      <c r="BR185" s="141"/>
      <c r="BS185" s="141"/>
      <c r="BT185" s="141"/>
      <c r="BU185" s="141"/>
      <c r="BV185" s="141"/>
      <c r="BW185" s="141"/>
      <c r="BX185" s="141"/>
      <c r="BY185" s="1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73"/>
    </row>
    <row r="186" spans="2:105" x14ac:dyDescent="0.25">
      <c r="B186" s="172"/>
      <c r="C186" s="141" t="s">
        <v>2577</v>
      </c>
      <c r="D186" s="141" t="s">
        <v>359</v>
      </c>
      <c r="E186" s="141" t="s">
        <v>2578</v>
      </c>
      <c r="F186" s="141" t="s">
        <v>2537</v>
      </c>
      <c r="G186" s="141"/>
      <c r="H186" s="141" t="s">
        <v>354</v>
      </c>
      <c r="I186" s="141"/>
      <c r="J186" s="141" t="s">
        <v>355</v>
      </c>
      <c r="K186" s="141" t="s">
        <v>1049</v>
      </c>
      <c r="L186" s="141"/>
      <c r="M186" s="141"/>
      <c r="N186" s="141" t="s">
        <v>370</v>
      </c>
      <c r="O186" s="141" t="s">
        <v>370</v>
      </c>
      <c r="P186" s="141" t="s">
        <v>529</v>
      </c>
      <c r="Q186" s="141" t="s">
        <v>530</v>
      </c>
      <c r="R186" s="141" t="s">
        <v>362</v>
      </c>
      <c r="S186" s="141" t="s">
        <v>1411</v>
      </c>
      <c r="T186" s="141" t="s">
        <v>2427</v>
      </c>
      <c r="U186" s="141" t="s">
        <v>2427</v>
      </c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 t="s">
        <v>355</v>
      </c>
      <c r="AL186" s="141" t="s">
        <v>365</v>
      </c>
      <c r="AM186" s="141" t="s">
        <v>355</v>
      </c>
      <c r="AN186" s="141" t="s">
        <v>782</v>
      </c>
      <c r="AO186" s="141" t="s">
        <v>2427</v>
      </c>
      <c r="AP186" s="141" t="s">
        <v>2428</v>
      </c>
      <c r="AQ186" s="141" t="s">
        <v>655</v>
      </c>
      <c r="AR186" s="141" t="s">
        <v>491</v>
      </c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1"/>
      <c r="BO186" s="141"/>
      <c r="BP186" s="141"/>
      <c r="BQ186" s="141"/>
      <c r="BR186" s="141"/>
      <c r="BS186" s="141"/>
      <c r="BT186" s="141"/>
      <c r="BU186" s="141"/>
      <c r="BV186" s="141"/>
      <c r="BW186" s="141"/>
      <c r="BX186" s="141"/>
      <c r="BY186" s="141"/>
      <c r="BZ186" s="141"/>
      <c r="CA186" s="141"/>
      <c r="CB186" s="141"/>
      <c r="CC186" s="141"/>
      <c r="CD186" s="1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73"/>
    </row>
    <row r="187" spans="2:105" x14ac:dyDescent="0.25">
      <c r="B187" s="172"/>
      <c r="C187" s="141" t="s">
        <v>2579</v>
      </c>
      <c r="D187" s="141" t="s">
        <v>379</v>
      </c>
      <c r="E187" s="141" t="s">
        <v>2580</v>
      </c>
      <c r="F187" s="141" t="s">
        <v>2581</v>
      </c>
      <c r="G187" s="141"/>
      <c r="H187" s="141" t="s">
        <v>354</v>
      </c>
      <c r="I187" s="141"/>
      <c r="J187" s="141" t="s">
        <v>355</v>
      </c>
      <c r="K187" s="141" t="s">
        <v>2097</v>
      </c>
      <c r="L187" s="141" t="s">
        <v>2582</v>
      </c>
      <c r="M187" s="141" t="s">
        <v>2583</v>
      </c>
      <c r="N187" s="141" t="s">
        <v>359</v>
      </c>
      <c r="O187" s="141"/>
      <c r="P187" s="141"/>
      <c r="Q187" s="141"/>
      <c r="R187" s="141"/>
      <c r="S187" s="141" t="s">
        <v>1411</v>
      </c>
      <c r="T187" s="141" t="s">
        <v>2427</v>
      </c>
      <c r="U187" s="141" t="s">
        <v>2427</v>
      </c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 t="s">
        <v>355</v>
      </c>
      <c r="AL187" s="141" t="s">
        <v>365</v>
      </c>
      <c r="AM187" s="141" t="s">
        <v>355</v>
      </c>
      <c r="AN187" s="141" t="s">
        <v>782</v>
      </c>
      <c r="AO187" s="141" t="s">
        <v>2427</v>
      </c>
      <c r="AP187" s="141" t="s">
        <v>2428</v>
      </c>
      <c r="AQ187" s="141" t="s">
        <v>655</v>
      </c>
      <c r="AR187" s="141" t="s">
        <v>491</v>
      </c>
      <c r="AS187" s="141"/>
      <c r="AT187" s="141"/>
      <c r="AU187" s="141" t="s">
        <v>2582</v>
      </c>
      <c r="AV187" s="141" t="s">
        <v>490</v>
      </c>
      <c r="AW187" s="141" t="s">
        <v>2568</v>
      </c>
      <c r="AX187" s="141"/>
      <c r="AY187" s="141"/>
      <c r="AZ187" s="141" t="s">
        <v>658</v>
      </c>
      <c r="BA187" s="141" t="s">
        <v>2584</v>
      </c>
      <c r="BB187" s="141" t="s">
        <v>911</v>
      </c>
      <c r="BC187" s="141" t="s">
        <v>2585</v>
      </c>
      <c r="BD187" s="141" t="s">
        <v>498</v>
      </c>
      <c r="BE187" s="141" t="s">
        <v>2586</v>
      </c>
      <c r="BF187" s="141" t="s">
        <v>500</v>
      </c>
      <c r="BG187" s="141" t="s">
        <v>711</v>
      </c>
      <c r="BH187" s="141" t="s">
        <v>901</v>
      </c>
      <c r="BI187" s="141" t="s">
        <v>1845</v>
      </c>
      <c r="BJ187" s="141" t="s">
        <v>788</v>
      </c>
      <c r="BK187" s="141" t="s">
        <v>2587</v>
      </c>
      <c r="BL187" s="141" t="s">
        <v>383</v>
      </c>
      <c r="BM187" s="141" t="s">
        <v>2588</v>
      </c>
      <c r="BN187" s="141"/>
      <c r="BO187" s="141"/>
      <c r="BP187" s="141"/>
      <c r="BQ187" s="141"/>
      <c r="BR187" s="141"/>
      <c r="BS187" s="141"/>
      <c r="BT187" s="141"/>
      <c r="BU187" s="141"/>
      <c r="BV187" s="141"/>
      <c r="BW187" s="141"/>
      <c r="BX187" s="141"/>
      <c r="BY187" s="141"/>
      <c r="BZ187" s="141"/>
      <c r="CA187" s="141"/>
      <c r="CB187" s="141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73"/>
    </row>
    <row r="188" spans="2:105" x14ac:dyDescent="0.25">
      <c r="B188" s="172"/>
      <c r="C188" s="141" t="s">
        <v>2589</v>
      </c>
      <c r="D188" s="141" t="s">
        <v>2590</v>
      </c>
      <c r="E188" s="141" t="s">
        <v>2591</v>
      </c>
      <c r="F188" s="141" t="s">
        <v>525</v>
      </c>
      <c r="G188" s="141"/>
      <c r="H188" s="141" t="s">
        <v>354</v>
      </c>
      <c r="I188" s="141"/>
      <c r="J188" s="141" t="s">
        <v>355</v>
      </c>
      <c r="K188" s="141" t="s">
        <v>1956</v>
      </c>
      <c r="L188" s="141"/>
      <c r="M188" s="141"/>
      <c r="N188" s="141" t="s">
        <v>370</v>
      </c>
      <c r="O188" s="141" t="s">
        <v>370</v>
      </c>
      <c r="P188" s="141" t="s">
        <v>529</v>
      </c>
      <c r="Q188" s="141" t="s">
        <v>530</v>
      </c>
      <c r="R188" s="141" t="s">
        <v>362</v>
      </c>
      <c r="S188" s="141" t="s">
        <v>1411</v>
      </c>
      <c r="T188" s="141" t="s">
        <v>2427</v>
      </c>
      <c r="U188" s="141" t="s">
        <v>2427</v>
      </c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 t="s">
        <v>355</v>
      </c>
      <c r="AL188" s="141" t="s">
        <v>365</v>
      </c>
      <c r="AM188" s="141" t="s">
        <v>355</v>
      </c>
      <c r="AN188" s="141" t="s">
        <v>782</v>
      </c>
      <c r="AO188" s="141" t="s">
        <v>2427</v>
      </c>
      <c r="AP188" s="141" t="s">
        <v>2428</v>
      </c>
      <c r="AQ188" s="141" t="s">
        <v>655</v>
      </c>
      <c r="AR188" s="141" t="s">
        <v>491</v>
      </c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41"/>
      <c r="BS188" s="141"/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73"/>
    </row>
    <row r="189" spans="2:105" x14ac:dyDescent="0.25">
      <c r="B189" s="172"/>
      <c r="C189" s="141" t="s">
        <v>2592</v>
      </c>
      <c r="D189" s="141" t="s">
        <v>2593</v>
      </c>
      <c r="E189" s="141" t="s">
        <v>2594</v>
      </c>
      <c r="F189" s="141" t="s">
        <v>2595</v>
      </c>
      <c r="G189" s="141"/>
      <c r="H189" s="141" t="s">
        <v>354</v>
      </c>
      <c r="I189" s="141"/>
      <c r="J189" s="141" t="s">
        <v>355</v>
      </c>
      <c r="K189" s="141" t="s">
        <v>1945</v>
      </c>
      <c r="L189" s="141" t="s">
        <v>2596</v>
      </c>
      <c r="M189" s="141" t="s">
        <v>2597</v>
      </c>
      <c r="N189" s="141" t="s">
        <v>359</v>
      </c>
      <c r="O189" s="141" t="s">
        <v>394</v>
      </c>
      <c r="P189" s="141" t="s">
        <v>425</v>
      </c>
      <c r="Q189" s="141" t="s">
        <v>426</v>
      </c>
      <c r="R189" s="141" t="s">
        <v>362</v>
      </c>
      <c r="S189" s="141" t="s">
        <v>1411</v>
      </c>
      <c r="T189" s="141" t="s">
        <v>2427</v>
      </c>
      <c r="U189" s="141" t="s">
        <v>2427</v>
      </c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 t="s">
        <v>355</v>
      </c>
      <c r="AL189" s="141" t="s">
        <v>365</v>
      </c>
      <c r="AM189" s="141" t="s">
        <v>355</v>
      </c>
      <c r="AN189" s="141" t="s">
        <v>782</v>
      </c>
      <c r="AO189" s="141" t="s">
        <v>2427</v>
      </c>
      <c r="AP189" s="141" t="s">
        <v>2428</v>
      </c>
      <c r="AQ189" s="141" t="s">
        <v>655</v>
      </c>
      <c r="AR189" s="141" t="s">
        <v>491</v>
      </c>
      <c r="AS189" s="141"/>
      <c r="AT189" s="141"/>
      <c r="AU189" s="141" t="s">
        <v>2596</v>
      </c>
      <c r="AV189" s="141" t="s">
        <v>490</v>
      </c>
      <c r="AW189" s="141" t="s">
        <v>2598</v>
      </c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 t="s">
        <v>383</v>
      </c>
      <c r="BM189" s="141" t="s">
        <v>2599</v>
      </c>
      <c r="BN189" s="141"/>
      <c r="BO189" s="141"/>
      <c r="BP189" s="141"/>
      <c r="BQ189" s="141"/>
      <c r="BR189" s="141"/>
      <c r="BS189" s="141"/>
      <c r="BT189" s="141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1"/>
      <c r="CG189" s="141"/>
      <c r="CH189" s="141"/>
      <c r="CI189" s="141"/>
      <c r="CJ189" s="141"/>
      <c r="CK189" s="141"/>
      <c r="CL189" s="141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73"/>
    </row>
    <row r="190" spans="2:105" x14ac:dyDescent="0.25">
      <c r="B190" s="172"/>
      <c r="C190" s="141" t="s">
        <v>2600</v>
      </c>
      <c r="D190" s="141" t="s">
        <v>2601</v>
      </c>
      <c r="E190" s="141" t="s">
        <v>2524</v>
      </c>
      <c r="F190" s="141" t="s">
        <v>2602</v>
      </c>
      <c r="G190" s="141"/>
      <c r="H190" s="141" t="s">
        <v>354</v>
      </c>
      <c r="I190" s="141"/>
      <c r="J190" s="141" t="s">
        <v>355</v>
      </c>
      <c r="K190" s="141" t="s">
        <v>1906</v>
      </c>
      <c r="L190" s="141" t="s">
        <v>2603</v>
      </c>
      <c r="M190" s="141" t="s">
        <v>2604</v>
      </c>
      <c r="N190" s="141" t="s">
        <v>359</v>
      </c>
      <c r="O190" s="141" t="s">
        <v>394</v>
      </c>
      <c r="P190" s="141" t="s">
        <v>425</v>
      </c>
      <c r="Q190" s="141" t="s">
        <v>426</v>
      </c>
      <c r="R190" s="141" t="s">
        <v>362</v>
      </c>
      <c r="S190" s="141" t="s">
        <v>1411</v>
      </c>
      <c r="T190" s="141" t="s">
        <v>2427</v>
      </c>
      <c r="U190" s="141" t="s">
        <v>2427</v>
      </c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 t="s">
        <v>355</v>
      </c>
      <c r="AL190" s="141" t="s">
        <v>365</v>
      </c>
      <c r="AM190" s="141" t="s">
        <v>355</v>
      </c>
      <c r="AN190" s="141" t="s">
        <v>782</v>
      </c>
      <c r="AO190" s="141" t="s">
        <v>2427</v>
      </c>
      <c r="AP190" s="141" t="s">
        <v>2428</v>
      </c>
      <c r="AQ190" s="141" t="s">
        <v>655</v>
      </c>
      <c r="AR190" s="141" t="s">
        <v>491</v>
      </c>
      <c r="AS190" s="141"/>
      <c r="AT190" s="141"/>
      <c r="AU190" s="141" t="s">
        <v>2603</v>
      </c>
      <c r="AV190" s="141" t="s">
        <v>490</v>
      </c>
      <c r="AW190" s="141" t="s">
        <v>2605</v>
      </c>
      <c r="AX190" s="141" t="s">
        <v>662</v>
      </c>
      <c r="AY190" s="141" t="s">
        <v>2489</v>
      </c>
      <c r="AZ190" s="141" t="s">
        <v>658</v>
      </c>
      <c r="BA190" s="141" t="s">
        <v>2606</v>
      </c>
      <c r="BB190" s="141" t="s">
        <v>911</v>
      </c>
      <c r="BC190" s="141" t="s">
        <v>2353</v>
      </c>
      <c r="BD190" s="141" t="s">
        <v>498</v>
      </c>
      <c r="BE190" s="141" t="s">
        <v>932</v>
      </c>
      <c r="BF190" s="141"/>
      <c r="BG190" s="141"/>
      <c r="BH190" s="141" t="s">
        <v>901</v>
      </c>
      <c r="BI190" s="141" t="s">
        <v>2607</v>
      </c>
      <c r="BJ190" s="141" t="s">
        <v>788</v>
      </c>
      <c r="BK190" s="141" t="s">
        <v>2608</v>
      </c>
      <c r="BL190" s="141" t="s">
        <v>383</v>
      </c>
      <c r="BM190" s="141" t="s">
        <v>1994</v>
      </c>
      <c r="BN190" s="141"/>
      <c r="BO190" s="141"/>
      <c r="BP190" s="141"/>
      <c r="BQ190" s="141"/>
      <c r="BR190" s="141"/>
      <c r="BS190" s="141"/>
      <c r="BT190" s="141"/>
      <c r="BU190" s="141"/>
      <c r="BV190" s="141"/>
      <c r="BW190" s="141"/>
      <c r="BX190" s="141"/>
      <c r="BY190" s="141"/>
      <c r="BZ190" s="141"/>
      <c r="CA190" s="141"/>
      <c r="CB190" s="141"/>
      <c r="CC190" s="141"/>
      <c r="CD190" s="141"/>
      <c r="CE190" s="141"/>
      <c r="CF190" s="141"/>
      <c r="CG190" s="141"/>
      <c r="CH190" s="141"/>
      <c r="CI190" s="141"/>
      <c r="CJ190" s="141"/>
      <c r="CK190" s="141"/>
      <c r="CL190" s="141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73"/>
    </row>
    <row r="191" spans="2:105" x14ac:dyDescent="0.25">
      <c r="B191" s="172"/>
      <c r="C191" s="141" t="s">
        <v>2609</v>
      </c>
      <c r="D191" s="141" t="s">
        <v>2610</v>
      </c>
      <c r="E191" s="141" t="s">
        <v>2611</v>
      </c>
      <c r="F191" s="141" t="s">
        <v>2612</v>
      </c>
      <c r="G191" s="141"/>
      <c r="H191" s="141" t="s">
        <v>354</v>
      </c>
      <c r="I191" s="141"/>
      <c r="J191" s="141" t="s">
        <v>355</v>
      </c>
      <c r="K191" s="141" t="s">
        <v>1879</v>
      </c>
      <c r="L191" s="141"/>
      <c r="M191" s="141"/>
      <c r="N191" s="141" t="s">
        <v>370</v>
      </c>
      <c r="O191" s="141" t="s">
        <v>394</v>
      </c>
      <c r="P191" s="141" t="s">
        <v>425</v>
      </c>
      <c r="Q191" s="141" t="s">
        <v>426</v>
      </c>
      <c r="R191" s="141" t="s">
        <v>362</v>
      </c>
      <c r="S191" s="141" t="s">
        <v>1411</v>
      </c>
      <c r="T191" s="141" t="s">
        <v>2427</v>
      </c>
      <c r="U191" s="141" t="s">
        <v>2427</v>
      </c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 t="s">
        <v>355</v>
      </c>
      <c r="AL191" s="141" t="s">
        <v>365</v>
      </c>
      <c r="AM191" s="141" t="s">
        <v>355</v>
      </c>
      <c r="AN191" s="141" t="s">
        <v>782</v>
      </c>
      <c r="AO191" s="141" t="s">
        <v>2427</v>
      </c>
      <c r="AP191" s="141" t="s">
        <v>2428</v>
      </c>
      <c r="AQ191" s="141" t="s">
        <v>655</v>
      </c>
      <c r="AR191" s="141" t="s">
        <v>491</v>
      </c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1"/>
      <c r="BO191" s="141"/>
      <c r="BP191" s="141"/>
      <c r="BQ191" s="141"/>
      <c r="BR191" s="141"/>
      <c r="BS191" s="141"/>
      <c r="BT191" s="141"/>
      <c r="BU191" s="141"/>
      <c r="BV191" s="141"/>
      <c r="BW191" s="141"/>
      <c r="BX191" s="141"/>
      <c r="BY191" s="141"/>
      <c r="BZ191" s="141"/>
      <c r="CA191" s="141"/>
      <c r="CB191" s="141"/>
      <c r="CC191" s="141"/>
      <c r="CD191" s="141"/>
      <c r="CE191" s="141"/>
      <c r="CF191" s="141"/>
      <c r="CG191" s="141"/>
      <c r="CH191" s="141"/>
      <c r="CI191" s="141"/>
      <c r="CJ191" s="141"/>
      <c r="CK191" s="141"/>
      <c r="CL191" s="141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73"/>
    </row>
    <row r="192" spans="2:105" x14ac:dyDescent="0.25">
      <c r="B192" s="172"/>
      <c r="C192" s="141" t="s">
        <v>2613</v>
      </c>
      <c r="D192" s="141" t="s">
        <v>2614</v>
      </c>
      <c r="E192" s="141" t="s">
        <v>2615</v>
      </c>
      <c r="F192" s="141" t="s">
        <v>438</v>
      </c>
      <c r="G192" s="141"/>
      <c r="H192" s="141" t="s">
        <v>354</v>
      </c>
      <c r="I192" s="141"/>
      <c r="J192" s="141" t="s">
        <v>355</v>
      </c>
      <c r="K192" s="141" t="s">
        <v>2143</v>
      </c>
      <c r="L192" s="141" t="s">
        <v>2596</v>
      </c>
      <c r="M192" s="141" t="s">
        <v>2616</v>
      </c>
      <c r="N192" s="141" t="s">
        <v>359</v>
      </c>
      <c r="O192" s="141" t="s">
        <v>394</v>
      </c>
      <c r="P192" s="141" t="s">
        <v>425</v>
      </c>
      <c r="Q192" s="141" t="s">
        <v>426</v>
      </c>
      <c r="R192" s="141" t="s">
        <v>362</v>
      </c>
      <c r="S192" s="141" t="s">
        <v>1411</v>
      </c>
      <c r="T192" s="141" t="s">
        <v>2427</v>
      </c>
      <c r="U192" s="141" t="s">
        <v>2427</v>
      </c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 t="s">
        <v>355</v>
      </c>
      <c r="AL192" s="141" t="s">
        <v>365</v>
      </c>
      <c r="AM192" s="141" t="s">
        <v>355</v>
      </c>
      <c r="AN192" s="141" t="s">
        <v>782</v>
      </c>
      <c r="AO192" s="141" t="s">
        <v>2427</v>
      </c>
      <c r="AP192" s="141" t="s">
        <v>2428</v>
      </c>
      <c r="AQ192" s="141" t="s">
        <v>655</v>
      </c>
      <c r="AR192" s="141" t="s">
        <v>491</v>
      </c>
      <c r="AS192" s="141"/>
      <c r="AT192" s="141"/>
      <c r="AU192" s="141" t="s">
        <v>2596</v>
      </c>
      <c r="AV192" s="141" t="s">
        <v>490</v>
      </c>
      <c r="AW192" s="141" t="s">
        <v>2617</v>
      </c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1"/>
      <c r="BO192" s="141"/>
      <c r="BP192" s="141"/>
      <c r="BQ192" s="141"/>
      <c r="BR192" s="141"/>
      <c r="BS192" s="141"/>
      <c r="BT192" s="141"/>
      <c r="BU192" s="141"/>
      <c r="BV192" s="141"/>
      <c r="BW192" s="141"/>
      <c r="BX192" s="141"/>
      <c r="BY192" s="141"/>
      <c r="BZ192" s="141"/>
      <c r="CA192" s="141"/>
      <c r="CB192" s="141"/>
      <c r="CC192" s="141"/>
      <c r="CD192" s="141"/>
      <c r="CE192" s="141"/>
      <c r="CF192" s="141"/>
      <c r="CG192" s="141"/>
      <c r="CH192" s="141"/>
      <c r="CI192" s="141"/>
      <c r="CJ192" s="141"/>
      <c r="CK192" s="141"/>
      <c r="CL192" s="141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73"/>
    </row>
    <row r="193" spans="2:105" x14ac:dyDescent="0.25">
      <c r="B193" s="172"/>
      <c r="C193" s="141"/>
      <c r="D193" s="141" t="s">
        <v>2618</v>
      </c>
      <c r="E193" s="141" t="s">
        <v>2619</v>
      </c>
      <c r="F193" s="141" t="s">
        <v>509</v>
      </c>
      <c r="G193" s="141"/>
      <c r="H193" s="141" t="s">
        <v>354</v>
      </c>
      <c r="I193" s="141"/>
      <c r="J193" s="141" t="s">
        <v>355</v>
      </c>
      <c r="K193" s="141" t="s">
        <v>2121</v>
      </c>
      <c r="L193" s="141"/>
      <c r="M193" s="141"/>
      <c r="N193" s="141" t="s">
        <v>370</v>
      </c>
      <c r="O193" s="141"/>
      <c r="P193" s="141"/>
      <c r="Q193" s="141"/>
      <c r="R193" s="141"/>
      <c r="S193" s="141" t="s">
        <v>1411</v>
      </c>
      <c r="T193" s="141" t="s">
        <v>2427</v>
      </c>
      <c r="U193" s="141" t="s">
        <v>2427</v>
      </c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 t="s">
        <v>355</v>
      </c>
      <c r="AL193" s="141" t="s">
        <v>365</v>
      </c>
      <c r="AM193" s="141" t="s">
        <v>355</v>
      </c>
      <c r="AN193" s="141" t="s">
        <v>782</v>
      </c>
      <c r="AO193" s="141" t="s">
        <v>2427</v>
      </c>
      <c r="AP193" s="141" t="s">
        <v>2428</v>
      </c>
      <c r="AQ193" s="141" t="s">
        <v>655</v>
      </c>
      <c r="AR193" s="141" t="s">
        <v>491</v>
      </c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1"/>
      <c r="BO193" s="141"/>
      <c r="BP193" s="141"/>
      <c r="BQ193" s="141"/>
      <c r="BR193" s="141"/>
      <c r="BS193" s="141"/>
      <c r="BT193" s="141"/>
      <c r="BU193" s="141"/>
      <c r="BV193" s="141"/>
      <c r="BW193" s="141"/>
      <c r="BX193" s="141"/>
      <c r="BY193" s="141"/>
      <c r="BZ193" s="141"/>
      <c r="CA193" s="141"/>
      <c r="CB193" s="141"/>
      <c r="CC193" s="141"/>
      <c r="CD193" s="141"/>
      <c r="CE193" s="141"/>
      <c r="CF193" s="141"/>
      <c r="CG193" s="141"/>
      <c r="CH193" s="141"/>
      <c r="CI193" s="141"/>
      <c r="CJ193" s="141"/>
      <c r="CK193" s="141"/>
      <c r="CL193" s="141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73"/>
    </row>
    <row r="194" spans="2:105" x14ac:dyDescent="0.25">
      <c r="B194" s="172"/>
      <c r="C194" s="141" t="s">
        <v>2620</v>
      </c>
      <c r="D194" s="141" t="s">
        <v>2621</v>
      </c>
      <c r="E194" s="141" t="s">
        <v>2387</v>
      </c>
      <c r="F194" s="141" t="s">
        <v>1497</v>
      </c>
      <c r="G194" s="141"/>
      <c r="H194" s="141" t="s">
        <v>354</v>
      </c>
      <c r="I194" s="141"/>
      <c r="J194" s="141" t="s">
        <v>355</v>
      </c>
      <c r="K194" s="141" t="s">
        <v>454</v>
      </c>
      <c r="L194" s="141"/>
      <c r="M194" s="141"/>
      <c r="N194" s="141" t="s">
        <v>355</v>
      </c>
      <c r="O194" s="141" t="s">
        <v>409</v>
      </c>
      <c r="P194" s="141" t="s">
        <v>410</v>
      </c>
      <c r="Q194" s="141" t="s">
        <v>410</v>
      </c>
      <c r="R194" s="141" t="s">
        <v>362</v>
      </c>
      <c r="S194" s="141" t="s">
        <v>1411</v>
      </c>
      <c r="T194" s="141" t="s">
        <v>2427</v>
      </c>
      <c r="U194" s="141" t="s">
        <v>2427</v>
      </c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 t="s">
        <v>355</v>
      </c>
      <c r="AL194" s="141" t="s">
        <v>365</v>
      </c>
      <c r="AM194" s="141" t="s">
        <v>355</v>
      </c>
      <c r="AN194" s="141" t="s">
        <v>782</v>
      </c>
      <c r="AO194" s="141" t="s">
        <v>2427</v>
      </c>
      <c r="AP194" s="141" t="s">
        <v>2428</v>
      </c>
      <c r="AQ194" s="141" t="s">
        <v>655</v>
      </c>
      <c r="AR194" s="141" t="s">
        <v>491</v>
      </c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  <c r="BN194" s="141"/>
      <c r="BO194" s="141"/>
      <c r="BP194" s="141"/>
      <c r="BQ194" s="141"/>
      <c r="BR194" s="141"/>
      <c r="BS194" s="141"/>
      <c r="BT194" s="141"/>
      <c r="BU194" s="141"/>
      <c r="BV194" s="141"/>
      <c r="BW194" s="141"/>
      <c r="BX194" s="141"/>
      <c r="BY194" s="141"/>
      <c r="BZ194" s="141"/>
      <c r="CA194" s="141"/>
      <c r="CB194" s="141"/>
      <c r="CC194" s="141"/>
      <c r="CD194" s="141"/>
      <c r="CE194" s="141"/>
      <c r="CF194" s="141"/>
      <c r="CG194" s="141"/>
      <c r="CH194" s="141"/>
      <c r="CI194" s="141"/>
      <c r="CJ194" s="141"/>
      <c r="CK194" s="141"/>
      <c r="CL194" s="141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73"/>
    </row>
    <row r="195" spans="2:105" x14ac:dyDescent="0.25">
      <c r="B195" s="172"/>
      <c r="C195" s="141" t="s">
        <v>2622</v>
      </c>
      <c r="D195" s="141" t="s">
        <v>383</v>
      </c>
      <c r="E195" s="141" t="s">
        <v>2524</v>
      </c>
      <c r="F195" s="141" t="s">
        <v>2623</v>
      </c>
      <c r="G195" s="141"/>
      <c r="H195" s="141" t="s">
        <v>354</v>
      </c>
      <c r="I195" s="141"/>
      <c r="J195" s="141" t="s">
        <v>355</v>
      </c>
      <c r="K195" s="141" t="s">
        <v>623</v>
      </c>
      <c r="L195" s="141"/>
      <c r="M195" s="141"/>
      <c r="N195" s="141" t="s">
        <v>370</v>
      </c>
      <c r="O195" s="141" t="s">
        <v>394</v>
      </c>
      <c r="P195" s="141" t="s">
        <v>425</v>
      </c>
      <c r="Q195" s="141" t="s">
        <v>426</v>
      </c>
      <c r="R195" s="141" t="s">
        <v>362</v>
      </c>
      <c r="S195" s="141" t="s">
        <v>1411</v>
      </c>
      <c r="T195" s="141" t="s">
        <v>2427</v>
      </c>
      <c r="U195" s="141" t="s">
        <v>2427</v>
      </c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 t="s">
        <v>355</v>
      </c>
      <c r="AL195" s="141" t="s">
        <v>365</v>
      </c>
      <c r="AM195" s="141" t="s">
        <v>355</v>
      </c>
      <c r="AN195" s="141" t="s">
        <v>782</v>
      </c>
      <c r="AO195" s="141" t="s">
        <v>2427</v>
      </c>
      <c r="AP195" s="141" t="s">
        <v>2428</v>
      </c>
      <c r="AQ195" s="141" t="s">
        <v>655</v>
      </c>
      <c r="AR195" s="141" t="s">
        <v>491</v>
      </c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  <c r="BN195" s="141"/>
      <c r="BO195" s="141"/>
      <c r="BP195" s="141"/>
      <c r="BQ195" s="141"/>
      <c r="BR195" s="141"/>
      <c r="BS195" s="141"/>
      <c r="BT195" s="141"/>
      <c r="BU195" s="141"/>
      <c r="BV195" s="141"/>
      <c r="BW195" s="141"/>
      <c r="BX195" s="141"/>
      <c r="BY195" s="141"/>
      <c r="BZ195" s="141"/>
      <c r="CA195" s="141"/>
      <c r="CB195" s="141"/>
      <c r="CC195" s="141"/>
      <c r="CD195" s="141"/>
      <c r="CE195" s="141"/>
      <c r="CF195" s="141"/>
      <c r="CG195" s="141"/>
      <c r="CH195" s="141"/>
      <c r="CI195" s="141"/>
      <c r="CJ195" s="141"/>
      <c r="CK195" s="141"/>
      <c r="CL195" s="141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73"/>
    </row>
    <row r="196" spans="2:105" x14ac:dyDescent="0.25">
      <c r="B196" s="172"/>
      <c r="C196" s="141" t="s">
        <v>2624</v>
      </c>
      <c r="D196" s="141" t="s">
        <v>2625</v>
      </c>
      <c r="E196" s="141" t="s">
        <v>2626</v>
      </c>
      <c r="F196" s="141" t="s">
        <v>2525</v>
      </c>
      <c r="G196" s="141"/>
      <c r="H196" s="141" t="s">
        <v>354</v>
      </c>
      <c r="I196" s="141"/>
      <c r="J196" s="141" t="s">
        <v>355</v>
      </c>
      <c r="K196" s="141" t="s">
        <v>2176</v>
      </c>
      <c r="L196" s="141"/>
      <c r="M196" s="141"/>
      <c r="N196" s="141" t="s">
        <v>394</v>
      </c>
      <c r="O196" s="141" t="s">
        <v>409</v>
      </c>
      <c r="P196" s="141" t="s">
        <v>410</v>
      </c>
      <c r="Q196" s="141" t="s">
        <v>410</v>
      </c>
      <c r="R196" s="141" t="s">
        <v>362</v>
      </c>
      <c r="S196" s="141" t="s">
        <v>1411</v>
      </c>
      <c r="T196" s="141" t="s">
        <v>2427</v>
      </c>
      <c r="U196" s="141" t="s">
        <v>2427</v>
      </c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 t="s">
        <v>355</v>
      </c>
      <c r="AL196" s="141" t="s">
        <v>365</v>
      </c>
      <c r="AM196" s="141" t="s">
        <v>355</v>
      </c>
      <c r="AN196" s="141" t="s">
        <v>782</v>
      </c>
      <c r="AO196" s="141" t="s">
        <v>2427</v>
      </c>
      <c r="AP196" s="141" t="s">
        <v>2428</v>
      </c>
      <c r="AQ196" s="141" t="s">
        <v>655</v>
      </c>
      <c r="AR196" s="141" t="s">
        <v>491</v>
      </c>
      <c r="AS196" s="141"/>
      <c r="AT196" s="141"/>
      <c r="AU196" s="141"/>
      <c r="AV196" s="141" t="s">
        <v>490</v>
      </c>
      <c r="AW196" s="141" t="s">
        <v>2627</v>
      </c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  <c r="BN196" s="141"/>
      <c r="BO196" s="141"/>
      <c r="BP196" s="141"/>
      <c r="BQ196" s="141"/>
      <c r="BR196" s="141"/>
      <c r="BS196" s="141"/>
      <c r="BT196" s="141"/>
      <c r="BU196" s="141"/>
      <c r="BV196" s="141"/>
      <c r="BW196" s="141"/>
      <c r="BX196" s="141"/>
      <c r="BY196" s="141"/>
      <c r="BZ196" s="141"/>
      <c r="CA196" s="141"/>
      <c r="CB196" s="141"/>
      <c r="CC196" s="141"/>
      <c r="CD196" s="141"/>
      <c r="CE196" s="141"/>
      <c r="CF196" s="141"/>
      <c r="CG196" s="141"/>
      <c r="CH196" s="141"/>
      <c r="CI196" s="141"/>
      <c r="CJ196" s="141"/>
      <c r="CK196" s="141"/>
      <c r="CL196" s="141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73"/>
    </row>
    <row r="197" spans="2:105" x14ac:dyDescent="0.25">
      <c r="B197" s="172"/>
      <c r="C197" s="141"/>
      <c r="D197" s="141" t="s">
        <v>363</v>
      </c>
      <c r="E197" s="141" t="s">
        <v>2628</v>
      </c>
      <c r="F197" s="141" t="s">
        <v>464</v>
      </c>
      <c r="G197" s="141"/>
      <c r="H197" s="141" t="s">
        <v>354</v>
      </c>
      <c r="I197" s="141"/>
      <c r="J197" s="141" t="s">
        <v>355</v>
      </c>
      <c r="K197" s="141" t="s">
        <v>2629</v>
      </c>
      <c r="L197" s="141"/>
      <c r="M197" s="141"/>
      <c r="N197" s="141" t="s">
        <v>370</v>
      </c>
      <c r="O197" s="141"/>
      <c r="P197" s="141"/>
      <c r="Q197" s="141"/>
      <c r="R197" s="141"/>
      <c r="S197" s="141" t="s">
        <v>1411</v>
      </c>
      <c r="T197" s="141" t="s">
        <v>2427</v>
      </c>
      <c r="U197" s="141" t="s">
        <v>2427</v>
      </c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 t="s">
        <v>355</v>
      </c>
      <c r="AL197" s="141" t="s">
        <v>365</v>
      </c>
      <c r="AM197" s="141" t="s">
        <v>355</v>
      </c>
      <c r="AN197" s="141" t="s">
        <v>782</v>
      </c>
      <c r="AO197" s="141" t="s">
        <v>2427</v>
      </c>
      <c r="AP197" s="141" t="s">
        <v>2428</v>
      </c>
      <c r="AQ197" s="141" t="s">
        <v>655</v>
      </c>
      <c r="AR197" s="141" t="s">
        <v>491</v>
      </c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1"/>
      <c r="CG197" s="141"/>
      <c r="CH197" s="141"/>
      <c r="CI197" s="141"/>
      <c r="CJ197" s="141"/>
      <c r="CK197" s="141"/>
      <c r="CL197" s="141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73"/>
    </row>
    <row r="198" spans="2:105" x14ac:dyDescent="0.25">
      <c r="B198" s="172"/>
      <c r="C198" s="141" t="s">
        <v>2630</v>
      </c>
      <c r="D198" s="141" t="s">
        <v>2631</v>
      </c>
      <c r="E198" s="141" t="s">
        <v>2632</v>
      </c>
      <c r="F198" s="141" t="s">
        <v>453</v>
      </c>
      <c r="G198" s="141"/>
      <c r="H198" s="141" t="s">
        <v>354</v>
      </c>
      <c r="I198" s="141"/>
      <c r="J198" s="141" t="s">
        <v>355</v>
      </c>
      <c r="K198" s="141" t="s">
        <v>422</v>
      </c>
      <c r="L198" s="141"/>
      <c r="M198" s="141"/>
      <c r="N198" s="141" t="s">
        <v>370</v>
      </c>
      <c r="O198" s="141" t="s">
        <v>409</v>
      </c>
      <c r="P198" s="141" t="s">
        <v>410</v>
      </c>
      <c r="Q198" s="141" t="s">
        <v>410</v>
      </c>
      <c r="R198" s="141" t="s">
        <v>362</v>
      </c>
      <c r="S198" s="141" t="s">
        <v>1411</v>
      </c>
      <c r="T198" s="141" t="s">
        <v>2427</v>
      </c>
      <c r="U198" s="141" t="s">
        <v>2427</v>
      </c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 t="s">
        <v>355</v>
      </c>
      <c r="AL198" s="141" t="s">
        <v>365</v>
      </c>
      <c r="AM198" s="141" t="s">
        <v>355</v>
      </c>
      <c r="AN198" s="141" t="s">
        <v>782</v>
      </c>
      <c r="AO198" s="141" t="s">
        <v>2427</v>
      </c>
      <c r="AP198" s="141" t="s">
        <v>2428</v>
      </c>
      <c r="AQ198" s="141" t="s">
        <v>655</v>
      </c>
      <c r="AR198" s="141" t="s">
        <v>491</v>
      </c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41"/>
      <c r="BX198" s="141"/>
      <c r="BY198" s="141"/>
      <c r="BZ198" s="141"/>
      <c r="CA198" s="141"/>
      <c r="CB198" s="141"/>
      <c r="CC198" s="141"/>
      <c r="CD198" s="141"/>
      <c r="CE198" s="141"/>
      <c r="CF198" s="141"/>
      <c r="CG198" s="141"/>
      <c r="CH198" s="141"/>
      <c r="CI198" s="141"/>
      <c r="CJ198" s="141"/>
      <c r="CK198" s="141"/>
      <c r="CL198" s="141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73"/>
    </row>
    <row r="199" spans="2:105" x14ac:dyDescent="0.25">
      <c r="B199" s="172"/>
      <c r="C199" s="141" t="s">
        <v>2633</v>
      </c>
      <c r="D199" s="141" t="s">
        <v>903</v>
      </c>
      <c r="E199" s="141" t="s">
        <v>1592</v>
      </c>
      <c r="F199" s="141" t="s">
        <v>2634</v>
      </c>
      <c r="G199" s="141"/>
      <c r="H199" s="141" t="s">
        <v>354</v>
      </c>
      <c r="I199" s="141"/>
      <c r="J199" s="141" t="s">
        <v>355</v>
      </c>
      <c r="K199" s="141" t="s">
        <v>637</v>
      </c>
      <c r="L199" s="141" t="s">
        <v>2635</v>
      </c>
      <c r="M199" s="141" t="s">
        <v>2636</v>
      </c>
      <c r="N199" s="141" t="s">
        <v>355</v>
      </c>
      <c r="O199" s="141" t="s">
        <v>392</v>
      </c>
      <c r="P199" s="141" t="s">
        <v>393</v>
      </c>
      <c r="Q199" s="141" t="s">
        <v>393</v>
      </c>
      <c r="R199" s="141" t="s">
        <v>362</v>
      </c>
      <c r="S199" s="141" t="s">
        <v>1397</v>
      </c>
      <c r="T199" s="141" t="s">
        <v>2637</v>
      </c>
      <c r="U199" s="141" t="s">
        <v>2637</v>
      </c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 t="s">
        <v>355</v>
      </c>
      <c r="AL199" s="141" t="s">
        <v>365</v>
      </c>
      <c r="AM199" s="141" t="s">
        <v>355</v>
      </c>
      <c r="AN199" s="141" t="s">
        <v>2638</v>
      </c>
      <c r="AO199" s="141" t="s">
        <v>2637</v>
      </c>
      <c r="AP199" s="141" t="s">
        <v>367</v>
      </c>
      <c r="AQ199" s="141" t="s">
        <v>368</v>
      </c>
      <c r="AR199" s="141" t="s">
        <v>369</v>
      </c>
      <c r="AS199" s="141" t="s">
        <v>370</v>
      </c>
      <c r="AT199" s="141"/>
      <c r="AU199" s="141" t="s">
        <v>2635</v>
      </c>
      <c r="AV199" s="141" t="s">
        <v>371</v>
      </c>
      <c r="AW199" s="141" t="s">
        <v>2639</v>
      </c>
      <c r="AX199" s="141" t="s">
        <v>373</v>
      </c>
      <c r="AY199" s="141" t="s">
        <v>2640</v>
      </c>
      <c r="AZ199" s="141" t="s">
        <v>375</v>
      </c>
      <c r="BA199" s="141" t="s">
        <v>2641</v>
      </c>
      <c r="BB199" s="141" t="s">
        <v>377</v>
      </c>
      <c r="BC199" s="141" t="s">
        <v>2642</v>
      </c>
      <c r="BD199" s="141" t="s">
        <v>379</v>
      </c>
      <c r="BE199" s="141" t="s">
        <v>2643</v>
      </c>
      <c r="BF199" s="141" t="s">
        <v>381</v>
      </c>
      <c r="BG199" s="141" t="s">
        <v>2644</v>
      </c>
      <c r="BH199" s="141" t="s">
        <v>383</v>
      </c>
      <c r="BI199" s="141" t="s">
        <v>2645</v>
      </c>
      <c r="BJ199" s="141"/>
      <c r="BK199" s="141"/>
      <c r="BL199" s="141"/>
      <c r="BM199" s="141"/>
      <c r="BN199" s="141"/>
      <c r="BO199" s="141"/>
      <c r="BP199" s="141"/>
      <c r="BQ199" s="141"/>
      <c r="BR199" s="141"/>
      <c r="BS199" s="141"/>
      <c r="BT199" s="141"/>
      <c r="BU199" s="141"/>
      <c r="BV199" s="141"/>
      <c r="BW199" s="141"/>
      <c r="BX199" s="141"/>
      <c r="BY199" s="141"/>
      <c r="BZ199" s="141"/>
      <c r="CA199" s="141"/>
      <c r="CB199" s="141"/>
      <c r="CC199" s="141"/>
      <c r="CD199" s="141"/>
      <c r="CE199" s="141"/>
      <c r="CF199" s="141"/>
      <c r="CG199" s="141"/>
      <c r="CH199" s="141"/>
      <c r="CI199" s="141"/>
      <c r="CJ199" s="141"/>
      <c r="CK199" s="141"/>
      <c r="CL199" s="141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73"/>
    </row>
    <row r="200" spans="2:105" x14ac:dyDescent="0.25">
      <c r="B200" s="172"/>
      <c r="C200" s="141" t="s">
        <v>2646</v>
      </c>
      <c r="D200" s="141" t="s">
        <v>909</v>
      </c>
      <c r="E200" s="141" t="s">
        <v>1592</v>
      </c>
      <c r="F200" s="141" t="s">
        <v>2647</v>
      </c>
      <c r="G200" s="141"/>
      <c r="H200" s="141" t="s">
        <v>354</v>
      </c>
      <c r="I200" s="141"/>
      <c r="J200" s="141" t="s">
        <v>355</v>
      </c>
      <c r="K200" s="141" t="s">
        <v>621</v>
      </c>
      <c r="L200" s="141" t="s">
        <v>2648</v>
      </c>
      <c r="M200" s="141" t="s">
        <v>1973</v>
      </c>
      <c r="N200" s="141" t="s">
        <v>355</v>
      </c>
      <c r="O200" s="141" t="s">
        <v>392</v>
      </c>
      <c r="P200" s="141" t="s">
        <v>393</v>
      </c>
      <c r="Q200" s="141" t="s">
        <v>393</v>
      </c>
      <c r="R200" s="141" t="s">
        <v>362</v>
      </c>
      <c r="S200" s="141" t="s">
        <v>1397</v>
      </c>
      <c r="T200" s="141" t="s">
        <v>2637</v>
      </c>
      <c r="U200" s="141" t="s">
        <v>2637</v>
      </c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 t="s">
        <v>355</v>
      </c>
      <c r="AL200" s="141" t="s">
        <v>365</v>
      </c>
      <c r="AM200" s="141" t="s">
        <v>355</v>
      </c>
      <c r="AN200" s="141" t="s">
        <v>2638</v>
      </c>
      <c r="AO200" s="141" t="s">
        <v>2637</v>
      </c>
      <c r="AP200" s="141" t="s">
        <v>367</v>
      </c>
      <c r="AQ200" s="141" t="s">
        <v>368</v>
      </c>
      <c r="AR200" s="141" t="s">
        <v>369</v>
      </c>
      <c r="AS200" s="141" t="s">
        <v>394</v>
      </c>
      <c r="AT200" s="141"/>
      <c r="AU200" s="141" t="s">
        <v>2648</v>
      </c>
      <c r="AV200" s="141" t="s">
        <v>371</v>
      </c>
      <c r="AW200" s="141" t="s">
        <v>2052</v>
      </c>
      <c r="AX200" s="141" t="s">
        <v>373</v>
      </c>
      <c r="AY200" s="141" t="s">
        <v>2649</v>
      </c>
      <c r="AZ200" s="141" t="s">
        <v>375</v>
      </c>
      <c r="BA200" s="141" t="s">
        <v>1266</v>
      </c>
      <c r="BB200" s="141" t="s">
        <v>377</v>
      </c>
      <c r="BC200" s="141" t="s">
        <v>2650</v>
      </c>
      <c r="BD200" s="141" t="s">
        <v>379</v>
      </c>
      <c r="BE200" s="141" t="s">
        <v>2651</v>
      </c>
      <c r="BF200" s="141" t="s">
        <v>381</v>
      </c>
      <c r="BG200" s="141" t="s">
        <v>2652</v>
      </c>
      <c r="BH200" s="141" t="s">
        <v>383</v>
      </c>
      <c r="BI200" s="141" t="s">
        <v>2289</v>
      </c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41"/>
      <c r="BU200" s="141"/>
      <c r="BV200" s="141"/>
      <c r="BW200" s="141"/>
      <c r="BX200" s="141"/>
      <c r="BY200" s="141"/>
      <c r="BZ200" s="141"/>
      <c r="CA200" s="141"/>
      <c r="CB200" s="141"/>
      <c r="CC200" s="141"/>
      <c r="CD200" s="141"/>
      <c r="CE200" s="141"/>
      <c r="CF200" s="141"/>
      <c r="CG200" s="141"/>
      <c r="CH200" s="141"/>
      <c r="CI200" s="141"/>
      <c r="CJ200" s="141"/>
      <c r="CK200" s="141"/>
      <c r="CL200" s="141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73"/>
    </row>
    <row r="201" spans="2:105" x14ac:dyDescent="0.25">
      <c r="B201" s="172"/>
      <c r="C201" s="141" t="s">
        <v>2653</v>
      </c>
      <c r="D201" s="141" t="s">
        <v>773</v>
      </c>
      <c r="E201" s="141" t="s">
        <v>2059</v>
      </c>
      <c r="F201" s="141" t="s">
        <v>2654</v>
      </c>
      <c r="G201" s="141"/>
      <c r="H201" s="141" t="s">
        <v>354</v>
      </c>
      <c r="I201" s="141"/>
      <c r="J201" s="141" t="s">
        <v>355</v>
      </c>
      <c r="K201" s="141" t="s">
        <v>649</v>
      </c>
      <c r="L201" s="141" t="s">
        <v>2655</v>
      </c>
      <c r="M201" s="141" t="s">
        <v>2656</v>
      </c>
      <c r="N201" s="141" t="s">
        <v>355</v>
      </c>
      <c r="O201" s="141" t="s">
        <v>486</v>
      </c>
      <c r="P201" s="141" t="s">
        <v>1631</v>
      </c>
      <c r="Q201" s="141" t="s">
        <v>1632</v>
      </c>
      <c r="R201" s="141" t="s">
        <v>362</v>
      </c>
      <c r="S201" s="141" t="s">
        <v>1397</v>
      </c>
      <c r="T201" s="141" t="s">
        <v>2637</v>
      </c>
      <c r="U201" s="141" t="s">
        <v>2637</v>
      </c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 t="s">
        <v>355</v>
      </c>
      <c r="AL201" s="141" t="s">
        <v>365</v>
      </c>
      <c r="AM201" s="141" t="s">
        <v>355</v>
      </c>
      <c r="AN201" s="141" t="s">
        <v>2638</v>
      </c>
      <c r="AO201" s="141" t="s">
        <v>2637</v>
      </c>
      <c r="AP201" s="141" t="s">
        <v>367</v>
      </c>
      <c r="AQ201" s="141" t="s">
        <v>368</v>
      </c>
      <c r="AR201" s="141" t="s">
        <v>369</v>
      </c>
      <c r="AS201" s="141" t="s">
        <v>359</v>
      </c>
      <c r="AT201" s="141"/>
      <c r="AU201" s="141" t="s">
        <v>2655</v>
      </c>
      <c r="AV201" s="141" t="s">
        <v>371</v>
      </c>
      <c r="AW201" s="141" t="s">
        <v>2657</v>
      </c>
      <c r="AX201" s="141" t="s">
        <v>373</v>
      </c>
      <c r="AY201" s="141" t="s">
        <v>2658</v>
      </c>
      <c r="AZ201" s="141" t="s">
        <v>375</v>
      </c>
      <c r="BA201" s="141" t="s">
        <v>2659</v>
      </c>
      <c r="BB201" s="141" t="s">
        <v>377</v>
      </c>
      <c r="BC201" s="141" t="s">
        <v>2660</v>
      </c>
      <c r="BD201" s="141" t="s">
        <v>379</v>
      </c>
      <c r="BE201" s="141" t="s">
        <v>1936</v>
      </c>
      <c r="BF201" s="141" t="s">
        <v>381</v>
      </c>
      <c r="BG201" s="141" t="s">
        <v>2240</v>
      </c>
      <c r="BH201" s="141" t="s">
        <v>383</v>
      </c>
      <c r="BI201" s="141" t="s">
        <v>2661</v>
      </c>
      <c r="BJ201" s="141"/>
      <c r="BK201" s="141"/>
      <c r="BL201" s="141"/>
      <c r="BM201" s="141"/>
      <c r="BN201" s="141"/>
      <c r="BO201" s="141"/>
      <c r="BP201" s="141"/>
      <c r="BQ201" s="141"/>
      <c r="BR201" s="141"/>
      <c r="BS201" s="141"/>
      <c r="BT201" s="141"/>
      <c r="BU201" s="141"/>
      <c r="BV201" s="141"/>
      <c r="BW201" s="141"/>
      <c r="BX201" s="141"/>
      <c r="BY201" s="141"/>
      <c r="BZ201" s="141"/>
      <c r="CA201" s="141"/>
      <c r="CB201" s="141"/>
      <c r="CC201" s="141"/>
      <c r="CD201" s="141"/>
      <c r="CE201" s="141"/>
      <c r="CF201" s="141"/>
      <c r="CG201" s="141"/>
      <c r="CH201" s="141"/>
      <c r="CI201" s="141"/>
      <c r="CJ201" s="141"/>
      <c r="CK201" s="141"/>
      <c r="CL201" s="141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73"/>
    </row>
    <row r="202" spans="2:105" x14ac:dyDescent="0.25">
      <c r="B202" s="172"/>
      <c r="C202" s="141" t="s">
        <v>2662</v>
      </c>
      <c r="D202" s="141" t="s">
        <v>2663</v>
      </c>
      <c r="E202" s="141" t="s">
        <v>2059</v>
      </c>
      <c r="F202" s="141" t="s">
        <v>2664</v>
      </c>
      <c r="G202" s="141"/>
      <c r="H202" s="141" t="s">
        <v>354</v>
      </c>
      <c r="I202" s="141"/>
      <c r="J202" s="141" t="s">
        <v>355</v>
      </c>
      <c r="K202" s="141" t="s">
        <v>762</v>
      </c>
      <c r="L202" s="141" t="s">
        <v>2665</v>
      </c>
      <c r="M202" s="141" t="s">
        <v>2666</v>
      </c>
      <c r="N202" s="141" t="s">
        <v>355</v>
      </c>
      <c r="O202" s="141" t="s">
        <v>486</v>
      </c>
      <c r="P202" s="141" t="s">
        <v>1631</v>
      </c>
      <c r="Q202" s="141" t="s">
        <v>1632</v>
      </c>
      <c r="R202" s="141" t="s">
        <v>362</v>
      </c>
      <c r="S202" s="141" t="s">
        <v>1397</v>
      </c>
      <c r="T202" s="141" t="s">
        <v>2637</v>
      </c>
      <c r="U202" s="141" t="s">
        <v>2637</v>
      </c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 t="s">
        <v>355</v>
      </c>
      <c r="AL202" s="141" t="s">
        <v>365</v>
      </c>
      <c r="AM202" s="141" t="s">
        <v>355</v>
      </c>
      <c r="AN202" s="141" t="s">
        <v>2638</v>
      </c>
      <c r="AO202" s="141" t="s">
        <v>2637</v>
      </c>
      <c r="AP202" s="141" t="s">
        <v>367</v>
      </c>
      <c r="AQ202" s="141" t="s">
        <v>368</v>
      </c>
      <c r="AR202" s="141" t="s">
        <v>369</v>
      </c>
      <c r="AS202" s="141" t="s">
        <v>427</v>
      </c>
      <c r="AT202" s="141"/>
      <c r="AU202" s="141" t="s">
        <v>2665</v>
      </c>
      <c r="AV202" s="141" t="s">
        <v>371</v>
      </c>
      <c r="AW202" s="141" t="s">
        <v>2667</v>
      </c>
      <c r="AX202" s="141" t="s">
        <v>373</v>
      </c>
      <c r="AY202" s="141" t="s">
        <v>2668</v>
      </c>
      <c r="AZ202" s="141" t="s">
        <v>375</v>
      </c>
      <c r="BA202" s="141" t="s">
        <v>2669</v>
      </c>
      <c r="BB202" s="141" t="s">
        <v>377</v>
      </c>
      <c r="BC202" s="141" t="s">
        <v>2670</v>
      </c>
      <c r="BD202" s="141" t="s">
        <v>379</v>
      </c>
      <c r="BE202" s="141" t="s">
        <v>2671</v>
      </c>
      <c r="BF202" s="141" t="s">
        <v>381</v>
      </c>
      <c r="BG202" s="141" t="s">
        <v>1618</v>
      </c>
      <c r="BH202" s="141" t="s">
        <v>383</v>
      </c>
      <c r="BI202" s="141" t="s">
        <v>1458</v>
      </c>
      <c r="BJ202" s="141"/>
      <c r="BK202" s="141"/>
      <c r="BL202" s="141"/>
      <c r="BM202" s="141"/>
      <c r="BN202" s="141"/>
      <c r="BO202" s="141"/>
      <c r="BP202" s="141"/>
      <c r="BQ202" s="141"/>
      <c r="BR202" s="141"/>
      <c r="BS202" s="141"/>
      <c r="BT202" s="141"/>
      <c r="BU202" s="141"/>
      <c r="BV202" s="141"/>
      <c r="BW202" s="141"/>
      <c r="BX202" s="141"/>
      <c r="BY202" s="141"/>
      <c r="BZ202" s="141"/>
      <c r="CA202" s="141"/>
      <c r="CB202" s="141"/>
      <c r="CC202" s="141"/>
      <c r="CD202" s="141"/>
      <c r="CE202" s="141"/>
      <c r="CF202" s="141"/>
      <c r="CG202" s="141"/>
      <c r="CH202" s="141"/>
      <c r="CI202" s="141"/>
      <c r="CJ202" s="141"/>
      <c r="CK202" s="141"/>
      <c r="CL202" s="141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73"/>
    </row>
    <row r="203" spans="2:105" x14ac:dyDescent="0.25">
      <c r="B203" s="172"/>
      <c r="C203" s="141" t="s">
        <v>2672</v>
      </c>
      <c r="D203" s="141" t="s">
        <v>2673</v>
      </c>
      <c r="E203" s="141" t="s">
        <v>2674</v>
      </c>
      <c r="F203" s="141" t="s">
        <v>2675</v>
      </c>
      <c r="G203" s="141"/>
      <c r="H203" s="141" t="s">
        <v>354</v>
      </c>
      <c r="I203" s="141"/>
      <c r="J203" s="141" t="s">
        <v>355</v>
      </c>
      <c r="K203" s="141" t="s">
        <v>1564</v>
      </c>
      <c r="L203" s="141" t="s">
        <v>2676</v>
      </c>
      <c r="M203" s="141" t="s">
        <v>2677</v>
      </c>
      <c r="N203" s="141" t="s">
        <v>355</v>
      </c>
      <c r="O203" s="141" t="s">
        <v>394</v>
      </c>
      <c r="P203" s="141" t="s">
        <v>425</v>
      </c>
      <c r="Q203" s="141" t="s">
        <v>426</v>
      </c>
      <c r="R203" s="141" t="s">
        <v>362</v>
      </c>
      <c r="S203" s="141" t="s">
        <v>1397</v>
      </c>
      <c r="T203" s="141" t="s">
        <v>2637</v>
      </c>
      <c r="U203" s="141" t="s">
        <v>2637</v>
      </c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 t="s">
        <v>355</v>
      </c>
      <c r="AL203" s="141" t="s">
        <v>365</v>
      </c>
      <c r="AM203" s="141" t="s">
        <v>355</v>
      </c>
      <c r="AN203" s="141" t="s">
        <v>2638</v>
      </c>
      <c r="AO203" s="141" t="s">
        <v>2637</v>
      </c>
      <c r="AP203" s="141" t="s">
        <v>367</v>
      </c>
      <c r="AQ203" s="141" t="s">
        <v>368</v>
      </c>
      <c r="AR203" s="141" t="s">
        <v>369</v>
      </c>
      <c r="AS203" s="141" t="s">
        <v>442</v>
      </c>
      <c r="AT203" s="141"/>
      <c r="AU203" s="141" t="s">
        <v>2676</v>
      </c>
      <c r="AV203" s="141" t="s">
        <v>371</v>
      </c>
      <c r="AW203" s="141" t="s">
        <v>2678</v>
      </c>
      <c r="AX203" s="141" t="s">
        <v>373</v>
      </c>
      <c r="AY203" s="141" t="s">
        <v>2540</v>
      </c>
      <c r="AZ203" s="141" t="s">
        <v>375</v>
      </c>
      <c r="BA203" s="141" t="s">
        <v>2679</v>
      </c>
      <c r="BB203" s="141" t="s">
        <v>377</v>
      </c>
      <c r="BC203" s="141" t="s">
        <v>533</v>
      </c>
      <c r="BD203" s="141" t="s">
        <v>379</v>
      </c>
      <c r="BE203" s="141" t="s">
        <v>2680</v>
      </c>
      <c r="BF203" s="141" t="s">
        <v>381</v>
      </c>
      <c r="BG203" s="141" t="s">
        <v>1296</v>
      </c>
      <c r="BH203" s="141" t="s">
        <v>383</v>
      </c>
      <c r="BI203" s="141" t="s">
        <v>2681</v>
      </c>
      <c r="BJ203" s="141"/>
      <c r="BK203" s="141"/>
      <c r="BL203" s="141"/>
      <c r="BM203" s="141"/>
      <c r="BN203" s="141"/>
      <c r="BO203" s="141"/>
      <c r="BP203" s="141"/>
      <c r="BQ203" s="141"/>
      <c r="BR203" s="141"/>
      <c r="BS203" s="141"/>
      <c r="BT203" s="141"/>
      <c r="BU203" s="141"/>
      <c r="BV203" s="141"/>
      <c r="BW203" s="141"/>
      <c r="BX203" s="141"/>
      <c r="BY203" s="141"/>
      <c r="BZ203" s="141"/>
      <c r="CA203" s="141"/>
      <c r="CB203" s="141"/>
      <c r="CC203" s="141"/>
      <c r="CD203" s="141"/>
      <c r="CE203" s="141"/>
      <c r="CF203" s="141"/>
      <c r="CG203" s="141"/>
      <c r="CH203" s="141"/>
      <c r="CI203" s="141"/>
      <c r="CJ203" s="141"/>
      <c r="CK203" s="141"/>
      <c r="CL203" s="141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73"/>
    </row>
    <row r="204" spans="2:105" x14ac:dyDescent="0.25">
      <c r="B204" s="172"/>
      <c r="C204" s="141" t="s">
        <v>2682</v>
      </c>
      <c r="D204" s="141" t="s">
        <v>2683</v>
      </c>
      <c r="E204" s="141" t="s">
        <v>2059</v>
      </c>
      <c r="F204" s="141" t="s">
        <v>2684</v>
      </c>
      <c r="G204" s="141"/>
      <c r="H204" s="141" t="s">
        <v>354</v>
      </c>
      <c r="I204" s="141"/>
      <c r="J204" s="141" t="s">
        <v>355</v>
      </c>
      <c r="K204" s="141" t="s">
        <v>735</v>
      </c>
      <c r="L204" s="141" t="s">
        <v>2685</v>
      </c>
      <c r="M204" s="141" t="s">
        <v>2686</v>
      </c>
      <c r="N204" s="141" t="s">
        <v>355</v>
      </c>
      <c r="O204" s="141" t="s">
        <v>486</v>
      </c>
      <c r="P204" s="141" t="s">
        <v>1631</v>
      </c>
      <c r="Q204" s="141" t="s">
        <v>1632</v>
      </c>
      <c r="R204" s="141" t="s">
        <v>362</v>
      </c>
      <c r="S204" s="141" t="s">
        <v>1397</v>
      </c>
      <c r="T204" s="141" t="s">
        <v>2637</v>
      </c>
      <c r="U204" s="141" t="s">
        <v>2637</v>
      </c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 t="s">
        <v>355</v>
      </c>
      <c r="AL204" s="141" t="s">
        <v>365</v>
      </c>
      <c r="AM204" s="141" t="s">
        <v>355</v>
      </c>
      <c r="AN204" s="141" t="s">
        <v>2638</v>
      </c>
      <c r="AO204" s="141" t="s">
        <v>2637</v>
      </c>
      <c r="AP204" s="141" t="s">
        <v>367</v>
      </c>
      <c r="AQ204" s="141" t="s">
        <v>368</v>
      </c>
      <c r="AR204" s="141" t="s">
        <v>369</v>
      </c>
      <c r="AS204" s="141" t="s">
        <v>392</v>
      </c>
      <c r="AT204" s="141"/>
      <c r="AU204" s="141" t="s">
        <v>2685</v>
      </c>
      <c r="AV204" s="141" t="s">
        <v>371</v>
      </c>
      <c r="AW204" s="141" t="s">
        <v>2687</v>
      </c>
      <c r="AX204" s="141" t="s">
        <v>373</v>
      </c>
      <c r="AY204" s="141" t="s">
        <v>443</v>
      </c>
      <c r="AZ204" s="141" t="s">
        <v>375</v>
      </c>
      <c r="BA204" s="141" t="s">
        <v>1383</v>
      </c>
      <c r="BB204" s="141" t="s">
        <v>377</v>
      </c>
      <c r="BC204" s="141" t="s">
        <v>2688</v>
      </c>
      <c r="BD204" s="141" t="s">
        <v>379</v>
      </c>
      <c r="BE204" s="141" t="s">
        <v>2689</v>
      </c>
      <c r="BF204" s="141" t="s">
        <v>381</v>
      </c>
      <c r="BG204" s="141" t="s">
        <v>2690</v>
      </c>
      <c r="BH204" s="141" t="s">
        <v>383</v>
      </c>
      <c r="BI204" s="141" t="s">
        <v>2691</v>
      </c>
      <c r="BJ204" s="141"/>
      <c r="BK204" s="141"/>
      <c r="BL204" s="141"/>
      <c r="BM204" s="141"/>
      <c r="BN204" s="141"/>
      <c r="BO204" s="141"/>
      <c r="BP204" s="141"/>
      <c r="BQ204" s="141"/>
      <c r="BR204" s="141"/>
      <c r="BS204" s="141"/>
      <c r="BT204" s="141"/>
      <c r="BU204" s="141"/>
      <c r="BV204" s="141"/>
      <c r="BW204" s="141"/>
      <c r="BX204" s="141"/>
      <c r="BY204" s="141"/>
      <c r="BZ204" s="141"/>
      <c r="CA204" s="141"/>
      <c r="CB204" s="141"/>
      <c r="CC204" s="141"/>
      <c r="CD204" s="141"/>
      <c r="CE204" s="141"/>
      <c r="CF204" s="141"/>
      <c r="CG204" s="141"/>
      <c r="CH204" s="141"/>
      <c r="CI204" s="141"/>
      <c r="CJ204" s="141"/>
      <c r="CK204" s="141"/>
      <c r="CL204" s="141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73"/>
    </row>
    <row r="205" spans="2:105" x14ac:dyDescent="0.25">
      <c r="B205" s="172"/>
      <c r="C205" s="141" t="s">
        <v>2692</v>
      </c>
      <c r="D205" s="141" t="s">
        <v>913</v>
      </c>
      <c r="E205" s="141" t="s">
        <v>714</v>
      </c>
      <c r="F205" s="141" t="s">
        <v>2525</v>
      </c>
      <c r="G205" s="141"/>
      <c r="H205" s="141" t="s">
        <v>354</v>
      </c>
      <c r="I205" s="141"/>
      <c r="J205" s="141" t="s">
        <v>355</v>
      </c>
      <c r="K205" s="141" t="s">
        <v>2693</v>
      </c>
      <c r="L205" s="141" t="s">
        <v>2694</v>
      </c>
      <c r="M205" s="141" t="s">
        <v>2695</v>
      </c>
      <c r="N205" s="141" t="s">
        <v>355</v>
      </c>
      <c r="O205" s="141" t="s">
        <v>409</v>
      </c>
      <c r="P205" s="141" t="s">
        <v>410</v>
      </c>
      <c r="Q205" s="141" t="s">
        <v>410</v>
      </c>
      <c r="R205" s="141" t="s">
        <v>362</v>
      </c>
      <c r="S205" s="141" t="s">
        <v>1397</v>
      </c>
      <c r="T205" s="141" t="s">
        <v>2637</v>
      </c>
      <c r="U205" s="141" t="s">
        <v>2637</v>
      </c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 t="s">
        <v>355</v>
      </c>
      <c r="AL205" s="141" t="s">
        <v>365</v>
      </c>
      <c r="AM205" s="141" t="s">
        <v>355</v>
      </c>
      <c r="AN205" s="141" t="s">
        <v>2638</v>
      </c>
      <c r="AO205" s="141" t="s">
        <v>2637</v>
      </c>
      <c r="AP205" s="141" t="s">
        <v>367</v>
      </c>
      <c r="AQ205" s="141" t="s">
        <v>368</v>
      </c>
      <c r="AR205" s="141" t="s">
        <v>369</v>
      </c>
      <c r="AS205" s="141" t="s">
        <v>369</v>
      </c>
      <c r="AT205" s="141"/>
      <c r="AU205" s="141" t="s">
        <v>2694</v>
      </c>
      <c r="AV205" s="141" t="s">
        <v>371</v>
      </c>
      <c r="AW205" s="141" t="s">
        <v>2696</v>
      </c>
      <c r="AX205" s="141" t="s">
        <v>373</v>
      </c>
      <c r="AY205" s="141" t="s">
        <v>2697</v>
      </c>
      <c r="AZ205" s="141" t="s">
        <v>375</v>
      </c>
      <c r="BA205" s="141" t="s">
        <v>2698</v>
      </c>
      <c r="BB205" s="141" t="s">
        <v>377</v>
      </c>
      <c r="BC205" s="141" t="s">
        <v>2699</v>
      </c>
      <c r="BD205" s="141" t="s">
        <v>379</v>
      </c>
      <c r="BE205" s="141" t="s">
        <v>2700</v>
      </c>
      <c r="BF205" s="141" t="s">
        <v>381</v>
      </c>
      <c r="BG205" s="141" t="s">
        <v>1163</v>
      </c>
      <c r="BH205" s="141" t="s">
        <v>383</v>
      </c>
      <c r="BI205" s="141" t="s">
        <v>2701</v>
      </c>
      <c r="BJ205" s="141"/>
      <c r="BK205" s="141"/>
      <c r="BL205" s="141"/>
      <c r="BM205" s="141"/>
      <c r="BN205" s="141"/>
      <c r="BO205" s="141"/>
      <c r="BP205" s="141"/>
      <c r="BQ205" s="141"/>
      <c r="BR205" s="141"/>
      <c r="BS205" s="141"/>
      <c r="BT205" s="141"/>
      <c r="BU205" s="141"/>
      <c r="BV205" s="141"/>
      <c r="BW205" s="141"/>
      <c r="BX205" s="141"/>
      <c r="BY205" s="141"/>
      <c r="BZ205" s="141"/>
      <c r="CA205" s="141"/>
      <c r="CB205" s="141"/>
      <c r="CC205" s="141"/>
      <c r="CD205" s="141"/>
      <c r="CE205" s="141"/>
      <c r="CF205" s="141"/>
      <c r="CG205" s="141"/>
      <c r="CH205" s="141"/>
      <c r="CI205" s="141"/>
      <c r="CJ205" s="141"/>
      <c r="CK205" s="141"/>
      <c r="CL205" s="141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73"/>
    </row>
    <row r="206" spans="2:105" x14ac:dyDescent="0.25">
      <c r="B206" s="172"/>
      <c r="C206" s="141" t="s">
        <v>2702</v>
      </c>
      <c r="D206" s="141" t="s">
        <v>2703</v>
      </c>
      <c r="E206" s="141" t="s">
        <v>2626</v>
      </c>
      <c r="F206" s="141" t="s">
        <v>2704</v>
      </c>
      <c r="G206" s="141"/>
      <c r="H206" s="141" t="s">
        <v>354</v>
      </c>
      <c r="I206" s="141"/>
      <c r="J206" s="141" t="s">
        <v>355</v>
      </c>
      <c r="K206" s="141" t="s">
        <v>526</v>
      </c>
      <c r="L206" s="141" t="s">
        <v>2705</v>
      </c>
      <c r="M206" s="141" t="s">
        <v>2706</v>
      </c>
      <c r="N206" s="141" t="s">
        <v>355</v>
      </c>
      <c r="O206" s="141" t="s">
        <v>409</v>
      </c>
      <c r="P206" s="141" t="s">
        <v>410</v>
      </c>
      <c r="Q206" s="141" t="s">
        <v>410</v>
      </c>
      <c r="R206" s="141" t="s">
        <v>362</v>
      </c>
      <c r="S206" s="141" t="s">
        <v>1397</v>
      </c>
      <c r="T206" s="141" t="s">
        <v>2637</v>
      </c>
      <c r="U206" s="141" t="s">
        <v>2637</v>
      </c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 t="s">
        <v>355</v>
      </c>
      <c r="AL206" s="141" t="s">
        <v>365</v>
      </c>
      <c r="AM206" s="141" t="s">
        <v>355</v>
      </c>
      <c r="AN206" s="141" t="s">
        <v>2638</v>
      </c>
      <c r="AO206" s="141" t="s">
        <v>2637</v>
      </c>
      <c r="AP206" s="141" t="s">
        <v>367</v>
      </c>
      <c r="AQ206" s="141" t="s">
        <v>368</v>
      </c>
      <c r="AR206" s="141" t="s">
        <v>369</v>
      </c>
      <c r="AS206" s="141" t="s">
        <v>409</v>
      </c>
      <c r="AT206" s="141"/>
      <c r="AU206" s="141" t="s">
        <v>2705</v>
      </c>
      <c r="AV206" s="141" t="s">
        <v>371</v>
      </c>
      <c r="AW206" s="141" t="s">
        <v>2287</v>
      </c>
      <c r="AX206" s="141" t="s">
        <v>373</v>
      </c>
      <c r="AY206" s="141" t="s">
        <v>2707</v>
      </c>
      <c r="AZ206" s="141" t="s">
        <v>375</v>
      </c>
      <c r="BA206" s="141" t="s">
        <v>2708</v>
      </c>
      <c r="BB206" s="141" t="s">
        <v>377</v>
      </c>
      <c r="BC206" s="141" t="s">
        <v>2709</v>
      </c>
      <c r="BD206" s="141" t="s">
        <v>379</v>
      </c>
      <c r="BE206" s="141" t="s">
        <v>1217</v>
      </c>
      <c r="BF206" s="141" t="s">
        <v>381</v>
      </c>
      <c r="BG206" s="141" t="s">
        <v>2710</v>
      </c>
      <c r="BH206" s="141" t="s">
        <v>383</v>
      </c>
      <c r="BI206" s="141" t="s">
        <v>2711</v>
      </c>
      <c r="BJ206" s="141"/>
      <c r="BK206" s="141"/>
      <c r="BL206" s="141"/>
      <c r="BM206" s="141"/>
      <c r="BN206" s="141"/>
      <c r="BO206" s="141"/>
      <c r="BP206" s="141"/>
      <c r="BQ206" s="141"/>
      <c r="BR206" s="141"/>
      <c r="BS206" s="141"/>
      <c r="BT206" s="141"/>
      <c r="BU206" s="141"/>
      <c r="BV206" s="141"/>
      <c r="BW206" s="141"/>
      <c r="BX206" s="141"/>
      <c r="BY206" s="141"/>
      <c r="BZ206" s="141"/>
      <c r="CA206" s="141"/>
      <c r="CB206" s="141"/>
      <c r="CC206" s="141"/>
      <c r="CD206" s="141"/>
      <c r="CE206" s="141"/>
      <c r="CF206" s="141"/>
      <c r="CG206" s="141"/>
      <c r="CH206" s="141"/>
      <c r="CI206" s="141"/>
      <c r="CJ206" s="141"/>
      <c r="CK206" s="141"/>
      <c r="CL206" s="141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73"/>
    </row>
    <row r="207" spans="2:105" x14ac:dyDescent="0.25">
      <c r="B207" s="172"/>
      <c r="C207" s="141" t="s">
        <v>2712</v>
      </c>
      <c r="D207" s="141" t="s">
        <v>2713</v>
      </c>
      <c r="E207" s="141" t="s">
        <v>1351</v>
      </c>
      <c r="F207" s="141" t="s">
        <v>2714</v>
      </c>
      <c r="G207" s="141"/>
      <c r="H207" s="141" t="s">
        <v>354</v>
      </c>
      <c r="I207" s="141"/>
      <c r="J207" s="141" t="s">
        <v>355</v>
      </c>
      <c r="K207" s="141" t="s">
        <v>2208</v>
      </c>
      <c r="L207" s="141" t="s">
        <v>2715</v>
      </c>
      <c r="M207" s="141" t="s">
        <v>2716</v>
      </c>
      <c r="N207" s="141" t="s">
        <v>355</v>
      </c>
      <c r="O207" s="141" t="s">
        <v>409</v>
      </c>
      <c r="P207" s="141" t="s">
        <v>410</v>
      </c>
      <c r="Q207" s="141" t="s">
        <v>410</v>
      </c>
      <c r="R207" s="141" t="s">
        <v>362</v>
      </c>
      <c r="S207" s="141" t="s">
        <v>1397</v>
      </c>
      <c r="T207" s="141" t="s">
        <v>2637</v>
      </c>
      <c r="U207" s="141" t="s">
        <v>2637</v>
      </c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 t="s">
        <v>355</v>
      </c>
      <c r="AL207" s="141" t="s">
        <v>365</v>
      </c>
      <c r="AM207" s="141" t="s">
        <v>355</v>
      </c>
      <c r="AN207" s="141" t="s">
        <v>2638</v>
      </c>
      <c r="AO207" s="141" t="s">
        <v>2637</v>
      </c>
      <c r="AP207" s="141" t="s">
        <v>367</v>
      </c>
      <c r="AQ207" s="141" t="s">
        <v>368</v>
      </c>
      <c r="AR207" s="141" t="s">
        <v>369</v>
      </c>
      <c r="AS207" s="141" t="s">
        <v>491</v>
      </c>
      <c r="AT207" s="141"/>
      <c r="AU207" s="141" t="s">
        <v>2715</v>
      </c>
      <c r="AV207" s="141" t="s">
        <v>371</v>
      </c>
      <c r="AW207" s="141" t="s">
        <v>2717</v>
      </c>
      <c r="AX207" s="141" t="s">
        <v>373</v>
      </c>
      <c r="AY207" s="141" t="s">
        <v>2718</v>
      </c>
      <c r="AZ207" s="141" t="s">
        <v>375</v>
      </c>
      <c r="BA207" s="141" t="s">
        <v>2719</v>
      </c>
      <c r="BB207" s="141" t="s">
        <v>377</v>
      </c>
      <c r="BC207" s="141" t="s">
        <v>1273</v>
      </c>
      <c r="BD207" s="141" t="s">
        <v>379</v>
      </c>
      <c r="BE207" s="141" t="s">
        <v>2720</v>
      </c>
      <c r="BF207" s="141" t="s">
        <v>381</v>
      </c>
      <c r="BG207" s="141" t="s">
        <v>2721</v>
      </c>
      <c r="BH207" s="141" t="s">
        <v>383</v>
      </c>
      <c r="BI207" s="141" t="s">
        <v>823</v>
      </c>
      <c r="BJ207" s="141"/>
      <c r="BK207" s="141"/>
      <c r="BL207" s="141"/>
      <c r="BM207" s="141"/>
      <c r="BN207" s="141"/>
      <c r="BO207" s="141"/>
      <c r="BP207" s="141"/>
      <c r="BQ207" s="141"/>
      <c r="BR207" s="141"/>
      <c r="BS207" s="141"/>
      <c r="BT207" s="141"/>
      <c r="BU207" s="141"/>
      <c r="BV207" s="141"/>
      <c r="BW207" s="141"/>
      <c r="BX207" s="141"/>
      <c r="BY207" s="141"/>
      <c r="BZ207" s="141"/>
      <c r="CA207" s="141"/>
      <c r="CB207" s="141"/>
      <c r="CC207" s="141"/>
      <c r="CD207" s="141"/>
      <c r="CE207" s="141"/>
      <c r="CF207" s="141"/>
      <c r="CG207" s="141"/>
      <c r="CH207" s="141"/>
      <c r="CI207" s="141"/>
      <c r="CJ207" s="141"/>
      <c r="CK207" s="141"/>
      <c r="CL207" s="141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73"/>
    </row>
    <row r="208" spans="2:105" x14ac:dyDescent="0.25">
      <c r="B208" s="172"/>
      <c r="C208" s="141" t="s">
        <v>2722</v>
      </c>
      <c r="D208" s="141" t="s">
        <v>2723</v>
      </c>
      <c r="E208" s="141" t="s">
        <v>1645</v>
      </c>
      <c r="F208" s="141" t="s">
        <v>2437</v>
      </c>
      <c r="G208" s="141"/>
      <c r="H208" s="141" t="s">
        <v>354</v>
      </c>
      <c r="I208" s="141"/>
      <c r="J208" s="141" t="s">
        <v>355</v>
      </c>
      <c r="K208" s="141" t="s">
        <v>1981</v>
      </c>
      <c r="L208" s="141"/>
      <c r="M208" s="141"/>
      <c r="N208" s="141" t="s">
        <v>370</v>
      </c>
      <c r="O208" s="141" t="s">
        <v>359</v>
      </c>
      <c r="P208" s="141" t="s">
        <v>360</v>
      </c>
      <c r="Q208" s="141" t="s">
        <v>361</v>
      </c>
      <c r="R208" s="141" t="s">
        <v>362</v>
      </c>
      <c r="S208" s="141" t="s">
        <v>1397</v>
      </c>
      <c r="T208" s="141" t="s">
        <v>2637</v>
      </c>
      <c r="U208" s="141" t="s">
        <v>2637</v>
      </c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 t="s">
        <v>355</v>
      </c>
      <c r="AL208" s="141" t="s">
        <v>365</v>
      </c>
      <c r="AM208" s="141" t="s">
        <v>355</v>
      </c>
      <c r="AN208" s="141" t="s">
        <v>2638</v>
      </c>
      <c r="AO208" s="141" t="s">
        <v>2637</v>
      </c>
      <c r="AP208" s="141" t="s">
        <v>367</v>
      </c>
      <c r="AQ208" s="141" t="s">
        <v>368</v>
      </c>
      <c r="AR208" s="141" t="s">
        <v>369</v>
      </c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  <c r="BN208" s="141"/>
      <c r="BO208" s="141"/>
      <c r="BP208" s="141"/>
      <c r="BQ208" s="141"/>
      <c r="BR208" s="141"/>
      <c r="BS208" s="141"/>
      <c r="BT208" s="141"/>
      <c r="BU208" s="141"/>
      <c r="BV208" s="141"/>
      <c r="BW208" s="141"/>
      <c r="BX208" s="141"/>
      <c r="BY208" s="141"/>
      <c r="BZ208" s="141"/>
      <c r="CA208" s="141"/>
      <c r="CB208" s="141"/>
      <c r="CC208" s="141"/>
      <c r="CD208" s="141"/>
      <c r="CE208" s="141"/>
      <c r="CF208" s="141"/>
      <c r="CG208" s="141"/>
      <c r="CH208" s="141"/>
      <c r="CI208" s="141"/>
      <c r="CJ208" s="141"/>
      <c r="CK208" s="141"/>
      <c r="CL208" s="141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73"/>
    </row>
    <row r="209" spans="2:105" x14ac:dyDescent="0.25">
      <c r="B209" s="172"/>
      <c r="C209" s="141" t="s">
        <v>2724</v>
      </c>
      <c r="D209" s="141" t="s">
        <v>2725</v>
      </c>
      <c r="E209" s="141" t="s">
        <v>700</v>
      </c>
      <c r="F209" s="141" t="s">
        <v>2704</v>
      </c>
      <c r="G209" s="141"/>
      <c r="H209" s="141" t="s">
        <v>354</v>
      </c>
      <c r="I209" s="141"/>
      <c r="J209" s="141" t="s">
        <v>355</v>
      </c>
      <c r="K209" s="141" t="s">
        <v>2726</v>
      </c>
      <c r="L209" s="141"/>
      <c r="M209" s="141"/>
      <c r="N209" s="141" t="s">
        <v>370</v>
      </c>
      <c r="O209" s="141" t="s">
        <v>394</v>
      </c>
      <c r="P209" s="141" t="s">
        <v>425</v>
      </c>
      <c r="Q209" s="141" t="s">
        <v>426</v>
      </c>
      <c r="R209" s="141" t="s">
        <v>362</v>
      </c>
      <c r="S209" s="141" t="s">
        <v>1397</v>
      </c>
      <c r="T209" s="141" t="s">
        <v>2637</v>
      </c>
      <c r="U209" s="141" t="s">
        <v>2637</v>
      </c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 t="s">
        <v>355</v>
      </c>
      <c r="AL209" s="141" t="s">
        <v>365</v>
      </c>
      <c r="AM209" s="141" t="s">
        <v>355</v>
      </c>
      <c r="AN209" s="141" t="s">
        <v>2638</v>
      </c>
      <c r="AO209" s="141" t="s">
        <v>2637</v>
      </c>
      <c r="AP209" s="141" t="s">
        <v>367</v>
      </c>
      <c r="AQ209" s="141" t="s">
        <v>368</v>
      </c>
      <c r="AR209" s="141" t="s">
        <v>369</v>
      </c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1"/>
      <c r="BQ209" s="141"/>
      <c r="BR209" s="141"/>
      <c r="BS209" s="141"/>
      <c r="BT209" s="141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1"/>
      <c r="CG209" s="141"/>
      <c r="CH209" s="141"/>
      <c r="CI209" s="141"/>
      <c r="CJ209" s="141"/>
      <c r="CK209" s="141"/>
      <c r="CL209" s="141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73"/>
    </row>
    <row r="210" spans="2:105" x14ac:dyDescent="0.25">
      <c r="B210" s="172"/>
      <c r="C210" s="141"/>
      <c r="D210" s="141" t="s">
        <v>2727</v>
      </c>
      <c r="E210" s="141"/>
      <c r="F210" s="141" t="s">
        <v>467</v>
      </c>
      <c r="G210" s="141"/>
      <c r="H210" s="141" t="s">
        <v>354</v>
      </c>
      <c r="I210" s="141"/>
      <c r="J210" s="141" t="s">
        <v>355</v>
      </c>
      <c r="K210" s="141" t="s">
        <v>581</v>
      </c>
      <c r="L210" s="141"/>
      <c r="M210" s="141"/>
      <c r="N210" s="141" t="s">
        <v>355</v>
      </c>
      <c r="O210" s="141"/>
      <c r="P210" s="141"/>
      <c r="Q210" s="141"/>
      <c r="R210" s="141"/>
      <c r="S210" s="141" t="s">
        <v>1397</v>
      </c>
      <c r="T210" s="141" t="s">
        <v>2637</v>
      </c>
      <c r="U210" s="141" t="s">
        <v>2637</v>
      </c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 t="s">
        <v>355</v>
      </c>
      <c r="AL210" s="141" t="s">
        <v>365</v>
      </c>
      <c r="AM210" s="141" t="s">
        <v>355</v>
      </c>
      <c r="AN210" s="141" t="s">
        <v>2638</v>
      </c>
      <c r="AO210" s="141" t="s">
        <v>2637</v>
      </c>
      <c r="AP210" s="141" t="s">
        <v>367</v>
      </c>
      <c r="AQ210" s="141" t="s">
        <v>368</v>
      </c>
      <c r="AR210" s="141" t="s">
        <v>369</v>
      </c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  <c r="BN210" s="141"/>
      <c r="BO210" s="141"/>
      <c r="BP210" s="141"/>
      <c r="BQ210" s="141"/>
      <c r="BR210" s="141"/>
      <c r="BS210" s="141"/>
      <c r="BT210" s="141"/>
      <c r="BU210" s="141"/>
      <c r="BV210" s="141"/>
      <c r="BW210" s="141"/>
      <c r="BX210" s="141"/>
      <c r="BY210" s="141"/>
      <c r="BZ210" s="141"/>
      <c r="CA210" s="141"/>
      <c r="CB210" s="141"/>
      <c r="CC210" s="141"/>
      <c r="CD210" s="141"/>
      <c r="CE210" s="141"/>
      <c r="CF210" s="141"/>
      <c r="CG210" s="141"/>
      <c r="CH210" s="141"/>
      <c r="CI210" s="141"/>
      <c r="CJ210" s="141"/>
      <c r="CK210" s="141"/>
      <c r="CL210" s="141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73"/>
    </row>
    <row r="211" spans="2:105" x14ac:dyDescent="0.25">
      <c r="B211" s="172"/>
      <c r="C211" s="141" t="s">
        <v>2728</v>
      </c>
      <c r="D211" s="141" t="s">
        <v>2729</v>
      </c>
      <c r="E211" s="141" t="s">
        <v>463</v>
      </c>
      <c r="F211" s="141" t="s">
        <v>2730</v>
      </c>
      <c r="G211" s="141"/>
      <c r="H211" s="141" t="s">
        <v>354</v>
      </c>
      <c r="I211" s="141"/>
      <c r="J211" s="141" t="s">
        <v>355</v>
      </c>
      <c r="K211" s="141" t="s">
        <v>1097</v>
      </c>
      <c r="L211" s="141" t="s">
        <v>2731</v>
      </c>
      <c r="M211" s="141" t="s">
        <v>1014</v>
      </c>
      <c r="N211" s="141" t="s">
        <v>355</v>
      </c>
      <c r="O211" s="141" t="s">
        <v>394</v>
      </c>
      <c r="P211" s="141" t="s">
        <v>425</v>
      </c>
      <c r="Q211" s="141" t="s">
        <v>426</v>
      </c>
      <c r="R211" s="141" t="s">
        <v>362</v>
      </c>
      <c r="S211" s="141" t="s">
        <v>1381</v>
      </c>
      <c r="T211" s="141" t="s">
        <v>2732</v>
      </c>
      <c r="U211" s="141" t="s">
        <v>2732</v>
      </c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 t="s">
        <v>355</v>
      </c>
      <c r="AL211" s="141" t="s">
        <v>365</v>
      </c>
      <c r="AM211" s="141" t="s">
        <v>355</v>
      </c>
      <c r="AN211" s="141" t="s">
        <v>1967</v>
      </c>
      <c r="AO211" s="141" t="s">
        <v>2732</v>
      </c>
      <c r="AP211" s="141" t="s">
        <v>489</v>
      </c>
      <c r="AQ211" s="141" t="s">
        <v>490</v>
      </c>
      <c r="AR211" s="141" t="s">
        <v>491</v>
      </c>
      <c r="AS211" s="141" t="s">
        <v>370</v>
      </c>
      <c r="AT211" s="141"/>
      <c r="AU211" s="141" t="s">
        <v>2731</v>
      </c>
      <c r="AV211" s="141" t="s">
        <v>490</v>
      </c>
      <c r="AW211" s="141" t="s">
        <v>2733</v>
      </c>
      <c r="AX211" s="141" t="s">
        <v>373</v>
      </c>
      <c r="AY211" s="141" t="s">
        <v>2734</v>
      </c>
      <c r="AZ211" s="141" t="s">
        <v>494</v>
      </c>
      <c r="BA211" s="141" t="s">
        <v>2735</v>
      </c>
      <c r="BB211" s="141" t="s">
        <v>496</v>
      </c>
      <c r="BC211" s="141" t="s">
        <v>2736</v>
      </c>
      <c r="BD211" s="141" t="s">
        <v>498</v>
      </c>
      <c r="BE211" s="141" t="s">
        <v>499</v>
      </c>
      <c r="BF211" s="141" t="s">
        <v>500</v>
      </c>
      <c r="BG211" s="141" t="s">
        <v>2737</v>
      </c>
      <c r="BH211" s="141" t="s">
        <v>502</v>
      </c>
      <c r="BI211" s="141" t="s">
        <v>2738</v>
      </c>
      <c r="BJ211" s="141" t="s">
        <v>381</v>
      </c>
      <c r="BK211" s="141" t="s">
        <v>2739</v>
      </c>
      <c r="BL211" s="141" t="s">
        <v>383</v>
      </c>
      <c r="BM211" s="141" t="s">
        <v>2740</v>
      </c>
      <c r="BN211" s="141"/>
      <c r="BO211" s="141"/>
      <c r="BP211" s="141"/>
      <c r="BQ211" s="141"/>
      <c r="BR211" s="141"/>
      <c r="BS211" s="141"/>
      <c r="BT211" s="141"/>
      <c r="BU211" s="141"/>
      <c r="BV211" s="141"/>
      <c r="BW211" s="141"/>
      <c r="BX211" s="141"/>
      <c r="BY211" s="141"/>
      <c r="BZ211" s="141"/>
      <c r="CA211" s="141"/>
      <c r="CB211" s="141"/>
      <c r="CC211" s="141"/>
      <c r="CD211" s="141"/>
      <c r="CE211" s="141"/>
      <c r="CF211" s="141"/>
      <c r="CG211" s="141"/>
      <c r="CH211" s="141"/>
      <c r="CI211" s="141"/>
      <c r="CJ211" s="141"/>
      <c r="CK211" s="141"/>
      <c r="CL211" s="141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73"/>
    </row>
    <row r="212" spans="2:105" x14ac:dyDescent="0.25">
      <c r="B212" s="172"/>
      <c r="C212" s="141" t="s">
        <v>2741</v>
      </c>
      <c r="D212" s="141" t="s">
        <v>2197</v>
      </c>
      <c r="E212" s="141" t="s">
        <v>2387</v>
      </c>
      <c r="F212" s="141" t="s">
        <v>2742</v>
      </c>
      <c r="G212" s="141"/>
      <c r="H212" s="141" t="s">
        <v>354</v>
      </c>
      <c r="I212" s="141"/>
      <c r="J212" s="141" t="s">
        <v>355</v>
      </c>
      <c r="K212" s="141" t="s">
        <v>2171</v>
      </c>
      <c r="L212" s="141" t="s">
        <v>2743</v>
      </c>
      <c r="M212" s="141" t="s">
        <v>2744</v>
      </c>
      <c r="N212" s="141" t="s">
        <v>355</v>
      </c>
      <c r="O212" s="141" t="s">
        <v>394</v>
      </c>
      <c r="P212" s="141" t="s">
        <v>425</v>
      </c>
      <c r="Q212" s="141" t="s">
        <v>426</v>
      </c>
      <c r="R212" s="141" t="s">
        <v>362</v>
      </c>
      <c r="S212" s="141" t="s">
        <v>1381</v>
      </c>
      <c r="T212" s="141" t="s">
        <v>2732</v>
      </c>
      <c r="U212" s="141" t="s">
        <v>2732</v>
      </c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 t="s">
        <v>355</v>
      </c>
      <c r="AL212" s="141" t="s">
        <v>365</v>
      </c>
      <c r="AM212" s="141" t="s">
        <v>355</v>
      </c>
      <c r="AN212" s="141" t="s">
        <v>1967</v>
      </c>
      <c r="AO212" s="141" t="s">
        <v>2732</v>
      </c>
      <c r="AP212" s="141" t="s">
        <v>489</v>
      </c>
      <c r="AQ212" s="141" t="s">
        <v>490</v>
      </c>
      <c r="AR212" s="141" t="s">
        <v>491</v>
      </c>
      <c r="AS212" s="141" t="s">
        <v>394</v>
      </c>
      <c r="AT212" s="141"/>
      <c r="AU212" s="141" t="s">
        <v>2743</v>
      </c>
      <c r="AV212" s="141" t="s">
        <v>490</v>
      </c>
      <c r="AW212" s="141" t="s">
        <v>2745</v>
      </c>
      <c r="AX212" s="141" t="s">
        <v>373</v>
      </c>
      <c r="AY212" s="141" t="s">
        <v>2228</v>
      </c>
      <c r="AZ212" s="141" t="s">
        <v>494</v>
      </c>
      <c r="BA212" s="141" t="s">
        <v>2746</v>
      </c>
      <c r="BB212" s="141" t="s">
        <v>496</v>
      </c>
      <c r="BC212" s="141" t="s">
        <v>948</v>
      </c>
      <c r="BD212" s="141" t="s">
        <v>498</v>
      </c>
      <c r="BE212" s="141" t="s">
        <v>2747</v>
      </c>
      <c r="BF212" s="141" t="s">
        <v>500</v>
      </c>
      <c r="BG212" s="141" t="s">
        <v>2748</v>
      </c>
      <c r="BH212" s="141" t="s">
        <v>502</v>
      </c>
      <c r="BI212" s="141" t="s">
        <v>2749</v>
      </c>
      <c r="BJ212" s="141" t="s">
        <v>381</v>
      </c>
      <c r="BK212" s="141" t="s">
        <v>2750</v>
      </c>
      <c r="BL212" s="141" t="s">
        <v>383</v>
      </c>
      <c r="BM212" s="141" t="s">
        <v>2751</v>
      </c>
      <c r="BN212" s="141"/>
      <c r="BO212" s="141"/>
      <c r="BP212" s="141"/>
      <c r="BQ212" s="141"/>
      <c r="BR212" s="141"/>
      <c r="BS212" s="141"/>
      <c r="BT212" s="141"/>
      <c r="BU212" s="141"/>
      <c r="BV212" s="141"/>
      <c r="BW212" s="141"/>
      <c r="BX212" s="141"/>
      <c r="BY212" s="141"/>
      <c r="BZ212" s="141"/>
      <c r="CA212" s="141"/>
      <c r="CB212" s="141"/>
      <c r="CC212" s="141"/>
      <c r="CD212" s="141"/>
      <c r="CE212" s="141"/>
      <c r="CF212" s="141"/>
      <c r="CG212" s="141"/>
      <c r="CH212" s="141"/>
      <c r="CI212" s="141"/>
      <c r="CJ212" s="141"/>
      <c r="CK212" s="141"/>
      <c r="CL212" s="141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73"/>
    </row>
    <row r="213" spans="2:105" x14ac:dyDescent="0.25">
      <c r="B213" s="172"/>
      <c r="C213" s="141" t="s">
        <v>2752</v>
      </c>
      <c r="D213" s="141" t="s">
        <v>2753</v>
      </c>
      <c r="E213" s="141" t="s">
        <v>1993</v>
      </c>
      <c r="F213" s="141" t="s">
        <v>2565</v>
      </c>
      <c r="G213" s="141"/>
      <c r="H213" s="141" t="s">
        <v>354</v>
      </c>
      <c r="I213" s="141"/>
      <c r="J213" s="141" t="s">
        <v>355</v>
      </c>
      <c r="K213" s="141" t="s">
        <v>2180</v>
      </c>
      <c r="L213" s="141" t="s">
        <v>2754</v>
      </c>
      <c r="M213" s="141" t="s">
        <v>2755</v>
      </c>
      <c r="N213" s="141" t="s">
        <v>355</v>
      </c>
      <c r="O213" s="141" t="s">
        <v>370</v>
      </c>
      <c r="P213" s="141" t="s">
        <v>529</v>
      </c>
      <c r="Q213" s="141" t="s">
        <v>530</v>
      </c>
      <c r="R213" s="141" t="s">
        <v>362</v>
      </c>
      <c r="S213" s="141" t="s">
        <v>1381</v>
      </c>
      <c r="T213" s="141" t="s">
        <v>2732</v>
      </c>
      <c r="U213" s="141" t="s">
        <v>2732</v>
      </c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 t="s">
        <v>355</v>
      </c>
      <c r="AL213" s="141" t="s">
        <v>365</v>
      </c>
      <c r="AM213" s="141" t="s">
        <v>355</v>
      </c>
      <c r="AN213" s="141" t="s">
        <v>1967</v>
      </c>
      <c r="AO213" s="141" t="s">
        <v>2732</v>
      </c>
      <c r="AP213" s="141" t="s">
        <v>489</v>
      </c>
      <c r="AQ213" s="141" t="s">
        <v>490</v>
      </c>
      <c r="AR213" s="141" t="s">
        <v>491</v>
      </c>
      <c r="AS213" s="141" t="s">
        <v>359</v>
      </c>
      <c r="AT213" s="141"/>
      <c r="AU213" s="141" t="s">
        <v>2754</v>
      </c>
      <c r="AV213" s="141" t="s">
        <v>490</v>
      </c>
      <c r="AW213" s="141" t="s">
        <v>2756</v>
      </c>
      <c r="AX213" s="141" t="s">
        <v>373</v>
      </c>
      <c r="AY213" s="141" t="s">
        <v>1784</v>
      </c>
      <c r="AZ213" s="141" t="s">
        <v>494</v>
      </c>
      <c r="BA213" s="141" t="s">
        <v>2757</v>
      </c>
      <c r="BB213" s="141" t="s">
        <v>496</v>
      </c>
      <c r="BC213" s="141" t="s">
        <v>807</v>
      </c>
      <c r="BD213" s="141" t="s">
        <v>498</v>
      </c>
      <c r="BE213" s="141" t="s">
        <v>2758</v>
      </c>
      <c r="BF213" s="141" t="s">
        <v>500</v>
      </c>
      <c r="BG213" s="141" t="s">
        <v>2759</v>
      </c>
      <c r="BH213" s="141" t="s">
        <v>502</v>
      </c>
      <c r="BI213" s="141" t="s">
        <v>2760</v>
      </c>
      <c r="BJ213" s="141" t="s">
        <v>381</v>
      </c>
      <c r="BK213" s="141" t="s">
        <v>1299</v>
      </c>
      <c r="BL213" s="141" t="s">
        <v>383</v>
      </c>
      <c r="BM213" s="141" t="s">
        <v>2761</v>
      </c>
      <c r="BN213" s="141"/>
      <c r="BO213" s="141"/>
      <c r="BP213" s="141"/>
      <c r="BQ213" s="141"/>
      <c r="BR213" s="141"/>
      <c r="BS213" s="141"/>
      <c r="BT213" s="141"/>
      <c r="BU213" s="141"/>
      <c r="BV213" s="141"/>
      <c r="BW213" s="141"/>
      <c r="BX213" s="141"/>
      <c r="BY213" s="141"/>
      <c r="BZ213" s="141"/>
      <c r="CA213" s="141"/>
      <c r="CB213" s="141"/>
      <c r="CC213" s="141"/>
      <c r="CD213" s="141"/>
      <c r="CE213" s="141"/>
      <c r="CF213" s="141"/>
      <c r="CG213" s="141"/>
      <c r="CH213" s="141"/>
      <c r="CI213" s="141"/>
      <c r="CJ213" s="141"/>
      <c r="CK213" s="141"/>
      <c r="CL213" s="141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73"/>
    </row>
    <row r="214" spans="2:105" x14ac:dyDescent="0.25">
      <c r="B214" s="172"/>
      <c r="C214" s="141"/>
      <c r="D214" s="141" t="s">
        <v>2762</v>
      </c>
      <c r="E214" s="141"/>
      <c r="F214" s="141" t="s">
        <v>467</v>
      </c>
      <c r="G214" s="141"/>
      <c r="H214" s="141" t="s">
        <v>354</v>
      </c>
      <c r="I214" s="141"/>
      <c r="J214" s="141" t="s">
        <v>355</v>
      </c>
      <c r="K214" s="141" t="s">
        <v>751</v>
      </c>
      <c r="L214" s="141"/>
      <c r="M214" s="141"/>
      <c r="N214" s="141" t="s">
        <v>355</v>
      </c>
      <c r="O214" s="141"/>
      <c r="P214" s="141"/>
      <c r="Q214" s="141"/>
      <c r="R214" s="141"/>
      <c r="S214" s="141" t="s">
        <v>1381</v>
      </c>
      <c r="T214" s="141" t="s">
        <v>2732</v>
      </c>
      <c r="U214" s="141" t="s">
        <v>2732</v>
      </c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 t="s">
        <v>355</v>
      </c>
      <c r="AL214" s="141" t="s">
        <v>365</v>
      </c>
      <c r="AM214" s="141" t="s">
        <v>355</v>
      </c>
      <c r="AN214" s="141" t="s">
        <v>1967</v>
      </c>
      <c r="AO214" s="141" t="s">
        <v>2732</v>
      </c>
      <c r="AP214" s="141" t="s">
        <v>489</v>
      </c>
      <c r="AQ214" s="141" t="s">
        <v>490</v>
      </c>
      <c r="AR214" s="141" t="s">
        <v>491</v>
      </c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1"/>
      <c r="BQ214" s="141"/>
      <c r="BR214" s="141"/>
      <c r="BS214" s="141"/>
      <c r="BT214" s="141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1"/>
      <c r="CG214" s="141"/>
      <c r="CH214" s="141"/>
      <c r="CI214" s="141"/>
      <c r="CJ214" s="141"/>
      <c r="CK214" s="141"/>
      <c r="CL214" s="141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73"/>
    </row>
    <row r="215" spans="2:105" x14ac:dyDescent="0.25">
      <c r="B215" s="172"/>
      <c r="C215" s="141"/>
      <c r="D215" s="141" t="s">
        <v>2763</v>
      </c>
      <c r="E215" s="141"/>
      <c r="F215" s="141" t="s">
        <v>467</v>
      </c>
      <c r="G215" s="141"/>
      <c r="H215" s="141" t="s">
        <v>354</v>
      </c>
      <c r="I215" s="141"/>
      <c r="J215" s="141" t="s">
        <v>355</v>
      </c>
      <c r="K215" s="141" t="s">
        <v>1981</v>
      </c>
      <c r="L215" s="141"/>
      <c r="M215" s="141"/>
      <c r="N215" s="141" t="s">
        <v>355</v>
      </c>
      <c r="O215" s="141"/>
      <c r="P215" s="141"/>
      <c r="Q215" s="141"/>
      <c r="R215" s="141"/>
      <c r="S215" s="141" t="s">
        <v>1381</v>
      </c>
      <c r="T215" s="141" t="s">
        <v>2732</v>
      </c>
      <c r="U215" s="141" t="s">
        <v>2732</v>
      </c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 t="s">
        <v>355</v>
      </c>
      <c r="AL215" s="141" t="s">
        <v>365</v>
      </c>
      <c r="AM215" s="141" t="s">
        <v>355</v>
      </c>
      <c r="AN215" s="141" t="s">
        <v>1967</v>
      </c>
      <c r="AO215" s="141" t="s">
        <v>2732</v>
      </c>
      <c r="AP215" s="141" t="s">
        <v>489</v>
      </c>
      <c r="AQ215" s="141" t="s">
        <v>490</v>
      </c>
      <c r="AR215" s="141" t="s">
        <v>491</v>
      </c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  <c r="BN215" s="141"/>
      <c r="BO215" s="141"/>
      <c r="BP215" s="141"/>
      <c r="BQ215" s="141"/>
      <c r="BR215" s="141"/>
      <c r="BS215" s="141"/>
      <c r="BT215" s="141"/>
      <c r="BU215" s="141"/>
      <c r="BV215" s="141"/>
      <c r="BW215" s="141"/>
      <c r="BX215" s="141"/>
      <c r="BY215" s="141"/>
      <c r="BZ215" s="141"/>
      <c r="CA215" s="141"/>
      <c r="CB215" s="141"/>
      <c r="CC215" s="141"/>
      <c r="CD215" s="141"/>
      <c r="CE215" s="141"/>
      <c r="CF215" s="141"/>
      <c r="CG215" s="141"/>
      <c r="CH215" s="141"/>
      <c r="CI215" s="141"/>
      <c r="CJ215" s="141"/>
      <c r="CK215" s="141"/>
      <c r="CL215" s="141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73"/>
    </row>
    <row r="216" spans="2:105" x14ac:dyDescent="0.25">
      <c r="B216" s="172"/>
      <c r="C216" s="141" t="s">
        <v>2764</v>
      </c>
      <c r="D216" s="141" t="s">
        <v>2638</v>
      </c>
      <c r="E216" s="141" t="s">
        <v>728</v>
      </c>
      <c r="F216" s="141" t="s">
        <v>2647</v>
      </c>
      <c r="G216" s="141"/>
      <c r="H216" s="141" t="s">
        <v>354</v>
      </c>
      <c r="I216" s="141"/>
      <c r="J216" s="141" t="s">
        <v>355</v>
      </c>
      <c r="K216" s="141" t="s">
        <v>1408</v>
      </c>
      <c r="L216" s="141" t="s">
        <v>2765</v>
      </c>
      <c r="M216" s="141" t="s">
        <v>1298</v>
      </c>
      <c r="N216" s="141" t="s">
        <v>355</v>
      </c>
      <c r="O216" s="141" t="s">
        <v>427</v>
      </c>
      <c r="P216" s="141" t="s">
        <v>455</v>
      </c>
      <c r="Q216" s="141" t="s">
        <v>456</v>
      </c>
      <c r="R216" s="141" t="s">
        <v>362</v>
      </c>
      <c r="S216" s="141" t="s">
        <v>1368</v>
      </c>
      <c r="T216" s="141" t="s">
        <v>2766</v>
      </c>
      <c r="U216" s="141" t="s">
        <v>2766</v>
      </c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 t="s">
        <v>355</v>
      </c>
      <c r="AL216" s="141" t="s">
        <v>365</v>
      </c>
      <c r="AM216" s="141" t="s">
        <v>355</v>
      </c>
      <c r="AN216" s="141" t="s">
        <v>381</v>
      </c>
      <c r="AO216" s="141" t="s">
        <v>2766</v>
      </c>
      <c r="AP216" s="141" t="s">
        <v>2428</v>
      </c>
      <c r="AQ216" s="141" t="s">
        <v>849</v>
      </c>
      <c r="AR216" s="141" t="s">
        <v>409</v>
      </c>
      <c r="AS216" s="141" t="s">
        <v>370</v>
      </c>
      <c r="AT216" s="141"/>
      <c r="AU216" s="141" t="s">
        <v>2765</v>
      </c>
      <c r="AV216" s="141" t="s">
        <v>500</v>
      </c>
      <c r="AW216" s="141" t="s">
        <v>1684</v>
      </c>
      <c r="AX216" s="141" t="s">
        <v>658</v>
      </c>
      <c r="AY216" s="141" t="s">
        <v>2767</v>
      </c>
      <c r="AZ216" s="141" t="s">
        <v>911</v>
      </c>
      <c r="BA216" s="141" t="s">
        <v>1890</v>
      </c>
      <c r="BB216" s="141" t="s">
        <v>498</v>
      </c>
      <c r="BC216" s="141" t="s">
        <v>2064</v>
      </c>
      <c r="BD216" s="141" t="s">
        <v>502</v>
      </c>
      <c r="BE216" s="141" t="s">
        <v>2768</v>
      </c>
      <c r="BF216" s="141" t="s">
        <v>901</v>
      </c>
      <c r="BG216" s="141" t="s">
        <v>651</v>
      </c>
      <c r="BH216" s="141" t="s">
        <v>788</v>
      </c>
      <c r="BI216" s="141" t="s">
        <v>2769</v>
      </c>
      <c r="BJ216" s="141" t="s">
        <v>383</v>
      </c>
      <c r="BK216" s="141" t="s">
        <v>2770</v>
      </c>
      <c r="BL216" s="141"/>
      <c r="BM216" s="141"/>
      <c r="BN216" s="141"/>
      <c r="BO216" s="141"/>
      <c r="BP216" s="141"/>
      <c r="BQ216" s="141"/>
      <c r="BR216" s="141"/>
      <c r="BS216" s="141"/>
      <c r="BT216" s="141"/>
      <c r="BU216" s="141"/>
      <c r="BV216" s="141"/>
      <c r="BW216" s="141"/>
      <c r="BX216" s="141"/>
      <c r="BY216" s="141"/>
      <c r="BZ216" s="141"/>
      <c r="CA216" s="141"/>
      <c r="CB216" s="141"/>
      <c r="CC216" s="141"/>
      <c r="CD216" s="141"/>
      <c r="CE216" s="141"/>
      <c r="CF216" s="141"/>
      <c r="CG216" s="141"/>
      <c r="CH216" s="141"/>
      <c r="CI216" s="141"/>
      <c r="CJ216" s="141"/>
      <c r="CK216" s="141"/>
      <c r="CL216" s="141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73"/>
    </row>
    <row r="217" spans="2:105" x14ac:dyDescent="0.25">
      <c r="B217" s="172"/>
      <c r="C217" s="141" t="s">
        <v>2771</v>
      </c>
      <c r="D217" s="141" t="s">
        <v>2772</v>
      </c>
      <c r="E217" s="141" t="s">
        <v>644</v>
      </c>
      <c r="F217" s="141" t="s">
        <v>2773</v>
      </c>
      <c r="G217" s="141"/>
      <c r="H217" s="141" t="s">
        <v>354</v>
      </c>
      <c r="I217" s="141"/>
      <c r="J217" s="141" t="s">
        <v>355</v>
      </c>
      <c r="K217" s="141" t="s">
        <v>460</v>
      </c>
      <c r="L217" s="141" t="s">
        <v>2774</v>
      </c>
      <c r="M217" s="141" t="s">
        <v>2775</v>
      </c>
      <c r="N217" s="141" t="s">
        <v>355</v>
      </c>
      <c r="O217" s="141" t="s">
        <v>394</v>
      </c>
      <c r="P217" s="141" t="s">
        <v>425</v>
      </c>
      <c r="Q217" s="141" t="s">
        <v>426</v>
      </c>
      <c r="R217" s="141" t="s">
        <v>362</v>
      </c>
      <c r="S217" s="141" t="s">
        <v>1368</v>
      </c>
      <c r="T217" s="141" t="s">
        <v>2766</v>
      </c>
      <c r="U217" s="141" t="s">
        <v>2766</v>
      </c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 t="s">
        <v>355</v>
      </c>
      <c r="AL217" s="141" t="s">
        <v>365</v>
      </c>
      <c r="AM217" s="141" t="s">
        <v>355</v>
      </c>
      <c r="AN217" s="141" t="s">
        <v>381</v>
      </c>
      <c r="AO217" s="141" t="s">
        <v>2766</v>
      </c>
      <c r="AP217" s="141" t="s">
        <v>2428</v>
      </c>
      <c r="AQ217" s="141" t="s">
        <v>849</v>
      </c>
      <c r="AR217" s="141" t="s">
        <v>409</v>
      </c>
      <c r="AS217" s="141" t="s">
        <v>394</v>
      </c>
      <c r="AT217" s="141"/>
      <c r="AU217" s="141" t="s">
        <v>2774</v>
      </c>
      <c r="AV217" s="141" t="s">
        <v>500</v>
      </c>
      <c r="AW217" s="141" t="s">
        <v>2776</v>
      </c>
      <c r="AX217" s="141" t="s">
        <v>658</v>
      </c>
      <c r="AY217" s="141" t="s">
        <v>716</v>
      </c>
      <c r="AZ217" s="141" t="s">
        <v>911</v>
      </c>
      <c r="BA217" s="141" t="s">
        <v>2777</v>
      </c>
      <c r="BB217" s="141" t="s">
        <v>498</v>
      </c>
      <c r="BC217" s="141" t="s">
        <v>2778</v>
      </c>
      <c r="BD217" s="141" t="s">
        <v>502</v>
      </c>
      <c r="BE217" s="141" t="s">
        <v>2031</v>
      </c>
      <c r="BF217" s="141" t="s">
        <v>901</v>
      </c>
      <c r="BG217" s="141" t="s">
        <v>2779</v>
      </c>
      <c r="BH217" s="141" t="s">
        <v>788</v>
      </c>
      <c r="BI217" s="141" t="s">
        <v>2780</v>
      </c>
      <c r="BJ217" s="141" t="s">
        <v>383</v>
      </c>
      <c r="BK217" s="141" t="s">
        <v>2781</v>
      </c>
      <c r="BL217" s="141"/>
      <c r="BM217" s="141"/>
      <c r="BN217" s="141"/>
      <c r="BO217" s="141"/>
      <c r="BP217" s="141"/>
      <c r="BQ217" s="141"/>
      <c r="BR217" s="141"/>
      <c r="BS217" s="141"/>
      <c r="BT217" s="141"/>
      <c r="BU217" s="141"/>
      <c r="BV217" s="141"/>
      <c r="BW217" s="141"/>
      <c r="BX217" s="141"/>
      <c r="BY217" s="141"/>
      <c r="BZ217" s="141"/>
      <c r="CA217" s="141"/>
      <c r="CB217" s="141"/>
      <c r="CC217" s="141"/>
      <c r="CD217" s="141"/>
      <c r="CE217" s="141"/>
      <c r="CF217" s="141"/>
      <c r="CG217" s="141"/>
      <c r="CH217" s="141"/>
      <c r="CI217" s="141"/>
      <c r="CJ217" s="141"/>
      <c r="CK217" s="141"/>
      <c r="CL217" s="141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73"/>
    </row>
    <row r="218" spans="2:105" x14ac:dyDescent="0.25">
      <c r="B218" s="172"/>
      <c r="C218" s="141" t="s">
        <v>2782</v>
      </c>
      <c r="D218" s="141" t="s">
        <v>2783</v>
      </c>
      <c r="E218" s="141" t="s">
        <v>2784</v>
      </c>
      <c r="F218" s="141" t="s">
        <v>2785</v>
      </c>
      <c r="G218" s="141"/>
      <c r="H218" s="141" t="s">
        <v>354</v>
      </c>
      <c r="I218" s="141"/>
      <c r="J218" s="141" t="s">
        <v>355</v>
      </c>
      <c r="K218" s="141" t="s">
        <v>687</v>
      </c>
      <c r="L218" s="141" t="s">
        <v>2786</v>
      </c>
      <c r="M218" s="141" t="s">
        <v>2787</v>
      </c>
      <c r="N218" s="141" t="s">
        <v>355</v>
      </c>
      <c r="O218" s="141" t="s">
        <v>370</v>
      </c>
      <c r="P218" s="141" t="s">
        <v>529</v>
      </c>
      <c r="Q218" s="141" t="s">
        <v>530</v>
      </c>
      <c r="R218" s="141" t="s">
        <v>362</v>
      </c>
      <c r="S218" s="141" t="s">
        <v>1368</v>
      </c>
      <c r="T218" s="141" t="s">
        <v>2766</v>
      </c>
      <c r="U218" s="141" t="s">
        <v>2766</v>
      </c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 t="s">
        <v>355</v>
      </c>
      <c r="AL218" s="141" t="s">
        <v>365</v>
      </c>
      <c r="AM218" s="141" t="s">
        <v>355</v>
      </c>
      <c r="AN218" s="141" t="s">
        <v>381</v>
      </c>
      <c r="AO218" s="141" t="s">
        <v>2766</v>
      </c>
      <c r="AP218" s="141" t="s">
        <v>2428</v>
      </c>
      <c r="AQ218" s="141" t="s">
        <v>849</v>
      </c>
      <c r="AR218" s="141" t="s">
        <v>409</v>
      </c>
      <c r="AS218" s="141" t="s">
        <v>359</v>
      </c>
      <c r="AT218" s="141"/>
      <c r="AU218" s="141" t="s">
        <v>2786</v>
      </c>
      <c r="AV218" s="141" t="s">
        <v>500</v>
      </c>
      <c r="AW218" s="141" t="s">
        <v>2788</v>
      </c>
      <c r="AX218" s="141" t="s">
        <v>658</v>
      </c>
      <c r="AY218" s="141" t="s">
        <v>2789</v>
      </c>
      <c r="AZ218" s="141" t="s">
        <v>911</v>
      </c>
      <c r="BA218" s="141" t="s">
        <v>2790</v>
      </c>
      <c r="BB218" s="141" t="s">
        <v>498</v>
      </c>
      <c r="BC218" s="141" t="s">
        <v>2791</v>
      </c>
      <c r="BD218" s="141" t="s">
        <v>502</v>
      </c>
      <c r="BE218" s="141" t="s">
        <v>2792</v>
      </c>
      <c r="BF218" s="141" t="s">
        <v>901</v>
      </c>
      <c r="BG218" s="141" t="s">
        <v>2793</v>
      </c>
      <c r="BH218" s="141" t="s">
        <v>788</v>
      </c>
      <c r="BI218" s="141" t="s">
        <v>2794</v>
      </c>
      <c r="BJ218" s="141" t="s">
        <v>383</v>
      </c>
      <c r="BK218" s="141" t="s">
        <v>2795</v>
      </c>
      <c r="BL218" s="141"/>
      <c r="BM218" s="141"/>
      <c r="BN218" s="141"/>
      <c r="BO218" s="141"/>
      <c r="BP218" s="141"/>
      <c r="BQ218" s="141"/>
      <c r="BR218" s="141"/>
      <c r="BS218" s="141"/>
      <c r="BT218" s="141"/>
      <c r="BU218" s="141"/>
      <c r="BV218" s="141"/>
      <c r="BW218" s="141"/>
      <c r="BX218" s="141"/>
      <c r="BY218" s="141"/>
      <c r="BZ218" s="141"/>
      <c r="CA218" s="141"/>
      <c r="CB218" s="141"/>
      <c r="CC218" s="141"/>
      <c r="CD218" s="141"/>
      <c r="CE218" s="141"/>
      <c r="CF218" s="141"/>
      <c r="CG218" s="141"/>
      <c r="CH218" s="141"/>
      <c r="CI218" s="141"/>
      <c r="CJ218" s="141"/>
      <c r="CK218" s="141"/>
      <c r="CL218" s="141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73"/>
    </row>
    <row r="219" spans="2:105" x14ac:dyDescent="0.25">
      <c r="B219" s="172"/>
      <c r="C219" s="141" t="s">
        <v>2796</v>
      </c>
      <c r="D219" s="141" t="s">
        <v>786</v>
      </c>
      <c r="E219" s="141" t="s">
        <v>2096</v>
      </c>
      <c r="F219" s="141" t="s">
        <v>2602</v>
      </c>
      <c r="G219" s="141"/>
      <c r="H219" s="141" t="s">
        <v>354</v>
      </c>
      <c r="I219" s="141"/>
      <c r="J219" s="141" t="s">
        <v>355</v>
      </c>
      <c r="K219" s="141" t="s">
        <v>1564</v>
      </c>
      <c r="L219" s="141" t="s">
        <v>1528</v>
      </c>
      <c r="M219" s="141" t="s">
        <v>2797</v>
      </c>
      <c r="N219" s="141" t="s">
        <v>355</v>
      </c>
      <c r="O219" s="141" t="s">
        <v>370</v>
      </c>
      <c r="P219" s="141" t="s">
        <v>529</v>
      </c>
      <c r="Q219" s="141" t="s">
        <v>530</v>
      </c>
      <c r="R219" s="141" t="s">
        <v>362</v>
      </c>
      <c r="S219" s="141" t="s">
        <v>1368</v>
      </c>
      <c r="T219" s="141" t="s">
        <v>2766</v>
      </c>
      <c r="U219" s="141" t="s">
        <v>2766</v>
      </c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 t="s">
        <v>355</v>
      </c>
      <c r="AL219" s="141" t="s">
        <v>365</v>
      </c>
      <c r="AM219" s="141" t="s">
        <v>355</v>
      </c>
      <c r="AN219" s="141" t="s">
        <v>381</v>
      </c>
      <c r="AO219" s="141" t="s">
        <v>2766</v>
      </c>
      <c r="AP219" s="141" t="s">
        <v>2428</v>
      </c>
      <c r="AQ219" s="141" t="s">
        <v>849</v>
      </c>
      <c r="AR219" s="141" t="s">
        <v>409</v>
      </c>
      <c r="AS219" s="141" t="s">
        <v>427</v>
      </c>
      <c r="AT219" s="141"/>
      <c r="AU219" s="141" t="s">
        <v>1528</v>
      </c>
      <c r="AV219" s="141" t="s">
        <v>500</v>
      </c>
      <c r="AW219" s="141" t="s">
        <v>2798</v>
      </c>
      <c r="AX219" s="141" t="s">
        <v>658</v>
      </c>
      <c r="AY219" s="141" t="s">
        <v>2799</v>
      </c>
      <c r="AZ219" s="141" t="s">
        <v>911</v>
      </c>
      <c r="BA219" s="141" t="s">
        <v>2800</v>
      </c>
      <c r="BB219" s="141" t="s">
        <v>498</v>
      </c>
      <c r="BC219" s="141" t="s">
        <v>1297</v>
      </c>
      <c r="BD219" s="141" t="s">
        <v>502</v>
      </c>
      <c r="BE219" s="141" t="s">
        <v>1149</v>
      </c>
      <c r="BF219" s="141" t="s">
        <v>901</v>
      </c>
      <c r="BG219" s="141" t="s">
        <v>2801</v>
      </c>
      <c r="BH219" s="141" t="s">
        <v>788</v>
      </c>
      <c r="BI219" s="141" t="s">
        <v>2150</v>
      </c>
      <c r="BJ219" s="141" t="s">
        <v>383</v>
      </c>
      <c r="BK219" s="141" t="s">
        <v>2453</v>
      </c>
      <c r="BL219" s="141"/>
      <c r="BM219" s="141"/>
      <c r="BN219" s="141"/>
      <c r="BO219" s="141"/>
      <c r="BP219" s="141"/>
      <c r="BQ219" s="141"/>
      <c r="BR219" s="141"/>
      <c r="BS219" s="141"/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73"/>
    </row>
    <row r="220" spans="2:105" x14ac:dyDescent="0.25">
      <c r="B220" s="172"/>
      <c r="C220" s="141" t="s">
        <v>2802</v>
      </c>
      <c r="D220" s="141" t="s">
        <v>2803</v>
      </c>
      <c r="E220" s="141" t="s">
        <v>765</v>
      </c>
      <c r="F220" s="141" t="s">
        <v>2804</v>
      </c>
      <c r="G220" s="141"/>
      <c r="H220" s="141" t="s">
        <v>354</v>
      </c>
      <c r="I220" s="141"/>
      <c r="J220" s="141" t="s">
        <v>355</v>
      </c>
      <c r="K220" s="141" t="s">
        <v>1118</v>
      </c>
      <c r="L220" s="141" t="s">
        <v>2805</v>
      </c>
      <c r="M220" s="141" t="s">
        <v>2806</v>
      </c>
      <c r="N220" s="141" t="s">
        <v>355</v>
      </c>
      <c r="O220" s="141" t="s">
        <v>394</v>
      </c>
      <c r="P220" s="141" t="s">
        <v>425</v>
      </c>
      <c r="Q220" s="141" t="s">
        <v>426</v>
      </c>
      <c r="R220" s="141" t="s">
        <v>362</v>
      </c>
      <c r="S220" s="141" t="s">
        <v>1368</v>
      </c>
      <c r="T220" s="141" t="s">
        <v>2766</v>
      </c>
      <c r="U220" s="141" t="s">
        <v>2766</v>
      </c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 t="s">
        <v>355</v>
      </c>
      <c r="AL220" s="141" t="s">
        <v>365</v>
      </c>
      <c r="AM220" s="141" t="s">
        <v>355</v>
      </c>
      <c r="AN220" s="141" t="s">
        <v>381</v>
      </c>
      <c r="AO220" s="141" t="s">
        <v>2766</v>
      </c>
      <c r="AP220" s="141" t="s">
        <v>2428</v>
      </c>
      <c r="AQ220" s="141" t="s">
        <v>849</v>
      </c>
      <c r="AR220" s="141" t="s">
        <v>409</v>
      </c>
      <c r="AS220" s="141" t="s">
        <v>442</v>
      </c>
      <c r="AT220" s="141"/>
      <c r="AU220" s="141" t="s">
        <v>2805</v>
      </c>
      <c r="AV220" s="141" t="s">
        <v>500</v>
      </c>
      <c r="AW220" s="141" t="s">
        <v>2110</v>
      </c>
      <c r="AX220" s="141" t="s">
        <v>658</v>
      </c>
      <c r="AY220" s="141" t="s">
        <v>1872</v>
      </c>
      <c r="AZ220" s="141" t="s">
        <v>911</v>
      </c>
      <c r="BA220" s="141" t="s">
        <v>2807</v>
      </c>
      <c r="BB220" s="141" t="s">
        <v>498</v>
      </c>
      <c r="BC220" s="141" t="s">
        <v>2054</v>
      </c>
      <c r="BD220" s="141" t="s">
        <v>502</v>
      </c>
      <c r="BE220" s="141" t="s">
        <v>2808</v>
      </c>
      <c r="BF220" s="141" t="s">
        <v>901</v>
      </c>
      <c r="BG220" s="141" t="s">
        <v>2809</v>
      </c>
      <c r="BH220" s="141" t="s">
        <v>788</v>
      </c>
      <c r="BI220" s="141" t="s">
        <v>2810</v>
      </c>
      <c r="BJ220" s="141" t="s">
        <v>383</v>
      </c>
      <c r="BK220" s="141" t="s">
        <v>2811</v>
      </c>
      <c r="BL220" s="141"/>
      <c r="BM220" s="141"/>
      <c r="BN220" s="141"/>
      <c r="BO220" s="141"/>
      <c r="BP220" s="141"/>
      <c r="BQ220" s="141"/>
      <c r="BR220" s="141"/>
      <c r="BS220" s="141"/>
      <c r="BT220" s="141"/>
      <c r="BU220" s="141"/>
      <c r="BV220" s="141"/>
      <c r="BW220" s="141"/>
      <c r="BX220" s="141"/>
      <c r="BY220" s="141"/>
      <c r="BZ220" s="141"/>
      <c r="CA220" s="141"/>
      <c r="CB220" s="141"/>
      <c r="CC220" s="141"/>
      <c r="CD220" s="141"/>
      <c r="CE220" s="141"/>
      <c r="CF220" s="141"/>
      <c r="CG220" s="141"/>
      <c r="CH220" s="141"/>
      <c r="CI220" s="141"/>
      <c r="CJ220" s="141"/>
      <c r="CK220" s="141"/>
      <c r="CL220" s="141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73"/>
    </row>
    <row r="221" spans="2:105" x14ac:dyDescent="0.25">
      <c r="B221" s="172"/>
      <c r="C221" s="141" t="s">
        <v>2812</v>
      </c>
      <c r="D221" s="141" t="s">
        <v>2813</v>
      </c>
      <c r="E221" s="141" t="s">
        <v>2814</v>
      </c>
      <c r="F221" s="141" t="s">
        <v>2815</v>
      </c>
      <c r="G221" s="141"/>
      <c r="H221" s="141" t="s">
        <v>354</v>
      </c>
      <c r="I221" s="141"/>
      <c r="J221" s="141" t="s">
        <v>355</v>
      </c>
      <c r="K221" s="141" t="s">
        <v>762</v>
      </c>
      <c r="L221" s="141" t="s">
        <v>1623</v>
      </c>
      <c r="M221" s="141" t="s">
        <v>2816</v>
      </c>
      <c r="N221" s="141" t="s">
        <v>355</v>
      </c>
      <c r="O221" s="141" t="s">
        <v>370</v>
      </c>
      <c r="P221" s="141" t="s">
        <v>529</v>
      </c>
      <c r="Q221" s="141" t="s">
        <v>530</v>
      </c>
      <c r="R221" s="141" t="s">
        <v>362</v>
      </c>
      <c r="S221" s="141" t="s">
        <v>1368</v>
      </c>
      <c r="T221" s="141" t="s">
        <v>2766</v>
      </c>
      <c r="U221" s="141" t="s">
        <v>2766</v>
      </c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 t="s">
        <v>355</v>
      </c>
      <c r="AL221" s="141" t="s">
        <v>365</v>
      </c>
      <c r="AM221" s="141" t="s">
        <v>355</v>
      </c>
      <c r="AN221" s="141" t="s">
        <v>381</v>
      </c>
      <c r="AO221" s="141" t="s">
        <v>2766</v>
      </c>
      <c r="AP221" s="141" t="s">
        <v>2428</v>
      </c>
      <c r="AQ221" s="141" t="s">
        <v>849</v>
      </c>
      <c r="AR221" s="141" t="s">
        <v>409</v>
      </c>
      <c r="AS221" s="141" t="s">
        <v>392</v>
      </c>
      <c r="AT221" s="141"/>
      <c r="AU221" s="141" t="s">
        <v>1623</v>
      </c>
      <c r="AV221" s="141" t="s">
        <v>500</v>
      </c>
      <c r="AW221" s="141" t="s">
        <v>2817</v>
      </c>
      <c r="AX221" s="141" t="s">
        <v>658</v>
      </c>
      <c r="AY221" s="141" t="s">
        <v>2818</v>
      </c>
      <c r="AZ221" s="141" t="s">
        <v>911</v>
      </c>
      <c r="BA221" s="141" t="s">
        <v>2819</v>
      </c>
      <c r="BB221" s="141" t="s">
        <v>498</v>
      </c>
      <c r="BC221" s="141" t="s">
        <v>2820</v>
      </c>
      <c r="BD221" s="141" t="s">
        <v>502</v>
      </c>
      <c r="BE221" s="141" t="s">
        <v>2821</v>
      </c>
      <c r="BF221" s="141" t="s">
        <v>901</v>
      </c>
      <c r="BG221" s="141" t="s">
        <v>2822</v>
      </c>
      <c r="BH221" s="141" t="s">
        <v>788</v>
      </c>
      <c r="BI221" s="141" t="s">
        <v>2383</v>
      </c>
      <c r="BJ221" s="141" t="s">
        <v>383</v>
      </c>
      <c r="BK221" s="141" t="s">
        <v>2823</v>
      </c>
      <c r="BL221" s="141"/>
      <c r="BM221" s="141"/>
      <c r="BN221" s="141"/>
      <c r="BO221" s="141"/>
      <c r="BP221" s="141"/>
      <c r="BQ221" s="141"/>
      <c r="BR221" s="141"/>
      <c r="BS221" s="141"/>
      <c r="BT221" s="141"/>
      <c r="BU221" s="141"/>
      <c r="BV221" s="141"/>
      <c r="BW221" s="141"/>
      <c r="BX221" s="141"/>
      <c r="BY221" s="141"/>
      <c r="BZ221" s="141"/>
      <c r="CA221" s="141"/>
      <c r="CB221" s="141"/>
      <c r="CC221" s="141"/>
      <c r="CD221" s="141"/>
      <c r="CE221" s="141"/>
      <c r="CF221" s="141"/>
      <c r="CG221" s="141"/>
      <c r="CH221" s="141"/>
      <c r="CI221" s="141"/>
      <c r="CJ221" s="141"/>
      <c r="CK221" s="141"/>
      <c r="CL221" s="141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73"/>
    </row>
    <row r="222" spans="2:105" x14ac:dyDescent="0.25">
      <c r="B222" s="172"/>
      <c r="C222" s="141" t="s">
        <v>2824</v>
      </c>
      <c r="D222" s="141" t="s">
        <v>784</v>
      </c>
      <c r="E222" s="141" t="s">
        <v>573</v>
      </c>
      <c r="F222" s="141" t="s">
        <v>2825</v>
      </c>
      <c r="G222" s="141"/>
      <c r="H222" s="141" t="s">
        <v>354</v>
      </c>
      <c r="I222" s="141"/>
      <c r="J222" s="141" t="s">
        <v>355</v>
      </c>
      <c r="K222" s="141" t="s">
        <v>672</v>
      </c>
      <c r="L222" s="141" t="s">
        <v>2826</v>
      </c>
      <c r="M222" s="141" t="s">
        <v>2827</v>
      </c>
      <c r="N222" s="141" t="s">
        <v>355</v>
      </c>
      <c r="O222" s="141" t="s">
        <v>394</v>
      </c>
      <c r="P222" s="141" t="s">
        <v>425</v>
      </c>
      <c r="Q222" s="141" t="s">
        <v>426</v>
      </c>
      <c r="R222" s="141" t="s">
        <v>362</v>
      </c>
      <c r="S222" s="141" t="s">
        <v>1368</v>
      </c>
      <c r="T222" s="141" t="s">
        <v>2766</v>
      </c>
      <c r="U222" s="141" t="s">
        <v>2766</v>
      </c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 t="s">
        <v>355</v>
      </c>
      <c r="AL222" s="141" t="s">
        <v>365</v>
      </c>
      <c r="AM222" s="141" t="s">
        <v>355</v>
      </c>
      <c r="AN222" s="141" t="s">
        <v>381</v>
      </c>
      <c r="AO222" s="141" t="s">
        <v>2766</v>
      </c>
      <c r="AP222" s="141" t="s">
        <v>2428</v>
      </c>
      <c r="AQ222" s="141" t="s">
        <v>849</v>
      </c>
      <c r="AR222" s="141" t="s">
        <v>409</v>
      </c>
      <c r="AS222" s="141" t="s">
        <v>369</v>
      </c>
      <c r="AT222" s="141"/>
      <c r="AU222" s="141" t="s">
        <v>2826</v>
      </c>
      <c r="AV222" s="141" t="s">
        <v>500</v>
      </c>
      <c r="AW222" s="141" t="s">
        <v>2828</v>
      </c>
      <c r="AX222" s="141" t="s">
        <v>658</v>
      </c>
      <c r="AY222" s="141" t="s">
        <v>661</v>
      </c>
      <c r="AZ222" s="141" t="s">
        <v>911</v>
      </c>
      <c r="BA222" s="141" t="s">
        <v>2829</v>
      </c>
      <c r="BB222" s="141" t="s">
        <v>498</v>
      </c>
      <c r="BC222" s="141" t="s">
        <v>2830</v>
      </c>
      <c r="BD222" s="141" t="s">
        <v>502</v>
      </c>
      <c r="BE222" s="141" t="s">
        <v>1941</v>
      </c>
      <c r="BF222" s="141" t="s">
        <v>901</v>
      </c>
      <c r="BG222" s="141" t="s">
        <v>2831</v>
      </c>
      <c r="BH222" s="141" t="s">
        <v>788</v>
      </c>
      <c r="BI222" s="141" t="s">
        <v>2832</v>
      </c>
      <c r="BJ222" s="141" t="s">
        <v>383</v>
      </c>
      <c r="BK222" s="141" t="s">
        <v>2833</v>
      </c>
      <c r="BL222" s="141"/>
      <c r="BM222" s="141"/>
      <c r="BN222" s="141"/>
      <c r="BO222" s="141"/>
      <c r="BP222" s="141"/>
      <c r="BQ222" s="141"/>
      <c r="BR222" s="141"/>
      <c r="BS222" s="141"/>
      <c r="BT222" s="141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1"/>
      <c r="CG222" s="141"/>
      <c r="CH222" s="141"/>
      <c r="CI222" s="141"/>
      <c r="CJ222" s="141"/>
      <c r="CK222" s="141"/>
      <c r="CL222" s="141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73"/>
    </row>
    <row r="223" spans="2:105" x14ac:dyDescent="0.25">
      <c r="B223" s="172"/>
      <c r="C223" s="141" t="s">
        <v>2834</v>
      </c>
      <c r="D223" s="141" t="s">
        <v>2835</v>
      </c>
      <c r="E223" s="141" t="s">
        <v>2836</v>
      </c>
      <c r="F223" s="141" t="s">
        <v>2837</v>
      </c>
      <c r="G223" s="141"/>
      <c r="H223" s="141" t="s">
        <v>354</v>
      </c>
      <c r="I223" s="141"/>
      <c r="J223" s="141" t="s">
        <v>355</v>
      </c>
      <c r="K223" s="141" t="s">
        <v>755</v>
      </c>
      <c r="L223" s="141" t="s">
        <v>2417</v>
      </c>
      <c r="M223" s="141" t="s">
        <v>2838</v>
      </c>
      <c r="N223" s="141" t="s">
        <v>355</v>
      </c>
      <c r="O223" s="141" t="s">
        <v>359</v>
      </c>
      <c r="P223" s="141" t="s">
        <v>360</v>
      </c>
      <c r="Q223" s="141" t="s">
        <v>361</v>
      </c>
      <c r="R223" s="141" t="s">
        <v>362</v>
      </c>
      <c r="S223" s="141" t="s">
        <v>1368</v>
      </c>
      <c r="T223" s="141" t="s">
        <v>2766</v>
      </c>
      <c r="U223" s="141" t="s">
        <v>2766</v>
      </c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 t="s">
        <v>355</v>
      </c>
      <c r="AL223" s="141" t="s">
        <v>365</v>
      </c>
      <c r="AM223" s="141" t="s">
        <v>355</v>
      </c>
      <c r="AN223" s="141" t="s">
        <v>381</v>
      </c>
      <c r="AO223" s="141" t="s">
        <v>2766</v>
      </c>
      <c r="AP223" s="141" t="s">
        <v>2428</v>
      </c>
      <c r="AQ223" s="141" t="s">
        <v>849</v>
      </c>
      <c r="AR223" s="141" t="s">
        <v>409</v>
      </c>
      <c r="AS223" s="141" t="s">
        <v>409</v>
      </c>
      <c r="AT223" s="141"/>
      <c r="AU223" s="141" t="s">
        <v>2417</v>
      </c>
      <c r="AV223" s="141" t="s">
        <v>500</v>
      </c>
      <c r="AW223" s="141" t="s">
        <v>2839</v>
      </c>
      <c r="AX223" s="141" t="s">
        <v>658</v>
      </c>
      <c r="AY223" s="141" t="s">
        <v>2840</v>
      </c>
      <c r="AZ223" s="141" t="s">
        <v>911</v>
      </c>
      <c r="BA223" s="141" t="s">
        <v>2841</v>
      </c>
      <c r="BB223" s="141" t="s">
        <v>498</v>
      </c>
      <c r="BC223" s="141" t="s">
        <v>1787</v>
      </c>
      <c r="BD223" s="141" t="s">
        <v>502</v>
      </c>
      <c r="BE223" s="141" t="s">
        <v>2842</v>
      </c>
      <c r="BF223" s="141" t="s">
        <v>901</v>
      </c>
      <c r="BG223" s="141" t="s">
        <v>2843</v>
      </c>
      <c r="BH223" s="141" t="s">
        <v>788</v>
      </c>
      <c r="BI223" s="141" t="s">
        <v>914</v>
      </c>
      <c r="BJ223" s="141" t="s">
        <v>383</v>
      </c>
      <c r="BK223" s="141" t="s">
        <v>2844</v>
      </c>
      <c r="BL223" s="141"/>
      <c r="BM223" s="141"/>
      <c r="BN223" s="141"/>
      <c r="BO223" s="141"/>
      <c r="BP223" s="141"/>
      <c r="BQ223" s="141"/>
      <c r="BR223" s="141"/>
      <c r="BS223" s="141"/>
      <c r="BT223" s="141"/>
      <c r="BU223" s="141"/>
      <c r="BV223" s="141"/>
      <c r="BW223" s="141"/>
      <c r="BX223" s="141"/>
      <c r="BY223" s="141"/>
      <c r="BZ223" s="141"/>
      <c r="CA223" s="141"/>
      <c r="CB223" s="141"/>
      <c r="CC223" s="141"/>
      <c r="CD223" s="141"/>
      <c r="CE223" s="141"/>
      <c r="CF223" s="141"/>
      <c r="CG223" s="141"/>
      <c r="CH223" s="141"/>
      <c r="CI223" s="141"/>
      <c r="CJ223" s="141"/>
      <c r="CK223" s="141"/>
      <c r="CL223" s="141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73"/>
    </row>
    <row r="224" spans="2:105" x14ac:dyDescent="0.25">
      <c r="B224" s="172"/>
      <c r="C224" s="141" t="s">
        <v>2845</v>
      </c>
      <c r="D224" s="141" t="s">
        <v>1911</v>
      </c>
      <c r="E224" s="141" t="s">
        <v>2846</v>
      </c>
      <c r="F224" s="141" t="s">
        <v>2847</v>
      </c>
      <c r="G224" s="141"/>
      <c r="H224" s="141" t="s">
        <v>354</v>
      </c>
      <c r="I224" s="141"/>
      <c r="J224" s="141" t="s">
        <v>355</v>
      </c>
      <c r="K224" s="141" t="s">
        <v>716</v>
      </c>
      <c r="L224" s="141" t="s">
        <v>2848</v>
      </c>
      <c r="M224" s="141" t="s">
        <v>2849</v>
      </c>
      <c r="N224" s="141" t="s">
        <v>355</v>
      </c>
      <c r="O224" s="141" t="s">
        <v>370</v>
      </c>
      <c r="P224" s="141" t="s">
        <v>529</v>
      </c>
      <c r="Q224" s="141" t="s">
        <v>530</v>
      </c>
      <c r="R224" s="141" t="s">
        <v>362</v>
      </c>
      <c r="S224" s="141" t="s">
        <v>1368</v>
      </c>
      <c r="T224" s="141" t="s">
        <v>2766</v>
      </c>
      <c r="U224" s="141" t="s">
        <v>2766</v>
      </c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 t="s">
        <v>355</v>
      </c>
      <c r="AL224" s="141" t="s">
        <v>365</v>
      </c>
      <c r="AM224" s="141" t="s">
        <v>355</v>
      </c>
      <c r="AN224" s="141" t="s">
        <v>381</v>
      </c>
      <c r="AO224" s="141" t="s">
        <v>2766</v>
      </c>
      <c r="AP224" s="141" t="s">
        <v>2428</v>
      </c>
      <c r="AQ224" s="141" t="s">
        <v>849</v>
      </c>
      <c r="AR224" s="141" t="s">
        <v>409</v>
      </c>
      <c r="AS224" s="141" t="s">
        <v>491</v>
      </c>
      <c r="AT224" s="141"/>
      <c r="AU224" s="141" t="s">
        <v>2848</v>
      </c>
      <c r="AV224" s="141" t="s">
        <v>500</v>
      </c>
      <c r="AW224" s="141" t="s">
        <v>2850</v>
      </c>
      <c r="AX224" s="141" t="s">
        <v>658</v>
      </c>
      <c r="AY224" s="141" t="s">
        <v>2851</v>
      </c>
      <c r="AZ224" s="141" t="s">
        <v>911</v>
      </c>
      <c r="BA224" s="141" t="s">
        <v>2263</v>
      </c>
      <c r="BB224" s="141" t="s">
        <v>498</v>
      </c>
      <c r="BC224" s="141" t="s">
        <v>1842</v>
      </c>
      <c r="BD224" s="141" t="s">
        <v>502</v>
      </c>
      <c r="BE224" s="141" t="s">
        <v>2852</v>
      </c>
      <c r="BF224" s="141" t="s">
        <v>901</v>
      </c>
      <c r="BG224" s="141" t="s">
        <v>2853</v>
      </c>
      <c r="BH224" s="141" t="s">
        <v>788</v>
      </c>
      <c r="BI224" s="141" t="s">
        <v>2854</v>
      </c>
      <c r="BJ224" s="141" t="s">
        <v>383</v>
      </c>
      <c r="BK224" s="141" t="s">
        <v>2855</v>
      </c>
      <c r="BL224" s="141"/>
      <c r="BM224" s="141"/>
      <c r="BN224" s="141"/>
      <c r="BO224" s="141"/>
      <c r="BP224" s="141"/>
      <c r="BQ224" s="141"/>
      <c r="BR224" s="141"/>
      <c r="BS224" s="141"/>
      <c r="BT224" s="141"/>
      <c r="BU224" s="141"/>
      <c r="BV224" s="141"/>
      <c r="BW224" s="141"/>
      <c r="BX224" s="141"/>
      <c r="BY224" s="141"/>
      <c r="BZ224" s="141"/>
      <c r="CA224" s="141"/>
      <c r="CB224" s="141"/>
      <c r="CC224" s="141"/>
      <c r="CD224" s="141"/>
      <c r="CE224" s="141"/>
      <c r="CF224" s="141"/>
      <c r="CG224" s="141"/>
      <c r="CH224" s="141"/>
      <c r="CI224" s="141"/>
      <c r="CJ224" s="141"/>
      <c r="CK224" s="141"/>
      <c r="CL224" s="141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73"/>
    </row>
    <row r="225" spans="2:105" x14ac:dyDescent="0.25">
      <c r="B225" s="172"/>
      <c r="C225" s="141" t="s">
        <v>2856</v>
      </c>
      <c r="D225" s="141" t="s">
        <v>2857</v>
      </c>
      <c r="E225" s="141" t="s">
        <v>2858</v>
      </c>
      <c r="F225" s="141" t="s">
        <v>2859</v>
      </c>
      <c r="G225" s="141"/>
      <c r="H225" s="141" t="s">
        <v>354</v>
      </c>
      <c r="I225" s="141"/>
      <c r="J225" s="141" t="s">
        <v>355</v>
      </c>
      <c r="K225" s="141" t="s">
        <v>649</v>
      </c>
      <c r="L225" s="141" t="s">
        <v>2860</v>
      </c>
      <c r="M225" s="141" t="s">
        <v>2861</v>
      </c>
      <c r="N225" s="141" t="s">
        <v>355</v>
      </c>
      <c r="O225" s="141" t="s">
        <v>370</v>
      </c>
      <c r="P225" s="141" t="s">
        <v>529</v>
      </c>
      <c r="Q225" s="141" t="s">
        <v>530</v>
      </c>
      <c r="R225" s="141" t="s">
        <v>362</v>
      </c>
      <c r="S225" s="141" t="s">
        <v>1368</v>
      </c>
      <c r="T225" s="141" t="s">
        <v>2766</v>
      </c>
      <c r="U225" s="141" t="s">
        <v>2766</v>
      </c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 t="s">
        <v>355</v>
      </c>
      <c r="AL225" s="141" t="s">
        <v>365</v>
      </c>
      <c r="AM225" s="141" t="s">
        <v>355</v>
      </c>
      <c r="AN225" s="141" t="s">
        <v>381</v>
      </c>
      <c r="AO225" s="141" t="s">
        <v>2766</v>
      </c>
      <c r="AP225" s="141" t="s">
        <v>2428</v>
      </c>
      <c r="AQ225" s="141" t="s">
        <v>849</v>
      </c>
      <c r="AR225" s="141" t="s">
        <v>409</v>
      </c>
      <c r="AS225" s="141" t="s">
        <v>486</v>
      </c>
      <c r="AT225" s="141"/>
      <c r="AU225" s="141" t="s">
        <v>2860</v>
      </c>
      <c r="AV225" s="141" t="s">
        <v>500</v>
      </c>
      <c r="AW225" s="141" t="s">
        <v>2862</v>
      </c>
      <c r="AX225" s="141" t="s">
        <v>658</v>
      </c>
      <c r="AY225" s="141" t="s">
        <v>2863</v>
      </c>
      <c r="AZ225" s="141" t="s">
        <v>911</v>
      </c>
      <c r="BA225" s="141" t="s">
        <v>2864</v>
      </c>
      <c r="BB225" s="141" t="s">
        <v>498</v>
      </c>
      <c r="BC225" s="141" t="s">
        <v>2865</v>
      </c>
      <c r="BD225" s="141" t="s">
        <v>502</v>
      </c>
      <c r="BE225" s="141" t="s">
        <v>2866</v>
      </c>
      <c r="BF225" s="141" t="s">
        <v>901</v>
      </c>
      <c r="BG225" s="141" t="s">
        <v>2867</v>
      </c>
      <c r="BH225" s="141" t="s">
        <v>788</v>
      </c>
      <c r="BI225" s="141" t="s">
        <v>2868</v>
      </c>
      <c r="BJ225" s="141" t="s">
        <v>383</v>
      </c>
      <c r="BK225" s="141" t="s">
        <v>2869</v>
      </c>
      <c r="BL225" s="141"/>
      <c r="BM225" s="141"/>
      <c r="BN225" s="141"/>
      <c r="BO225" s="141"/>
      <c r="BP225" s="141"/>
      <c r="BQ225" s="141"/>
      <c r="BR225" s="141"/>
      <c r="BS225" s="141"/>
      <c r="BT225" s="141"/>
      <c r="BU225" s="141"/>
      <c r="BV225" s="141"/>
      <c r="BW225" s="141"/>
      <c r="BX225" s="141"/>
      <c r="BY225" s="141"/>
      <c r="BZ225" s="141"/>
      <c r="CA225" s="141"/>
      <c r="CB225" s="141"/>
      <c r="CC225" s="141"/>
      <c r="CD225" s="141"/>
      <c r="CE225" s="141"/>
      <c r="CF225" s="141"/>
      <c r="CG225" s="141"/>
      <c r="CH225" s="141"/>
      <c r="CI225" s="141"/>
      <c r="CJ225" s="141"/>
      <c r="CK225" s="141"/>
      <c r="CL225" s="141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73"/>
    </row>
    <row r="226" spans="2:105" x14ac:dyDescent="0.25">
      <c r="B226" s="172"/>
      <c r="C226" s="141" t="s">
        <v>2870</v>
      </c>
      <c r="D226" s="141" t="s">
        <v>2871</v>
      </c>
      <c r="E226" s="141" t="s">
        <v>2872</v>
      </c>
      <c r="F226" s="141" t="s">
        <v>2704</v>
      </c>
      <c r="G226" s="141"/>
      <c r="H226" s="141" t="s">
        <v>354</v>
      </c>
      <c r="I226" s="141"/>
      <c r="J226" s="141" t="s">
        <v>355</v>
      </c>
      <c r="K226" s="141" t="s">
        <v>1141</v>
      </c>
      <c r="L226" s="141" t="s">
        <v>2873</v>
      </c>
      <c r="M226" s="141" t="s">
        <v>2874</v>
      </c>
      <c r="N226" s="141" t="s">
        <v>355</v>
      </c>
      <c r="O226" s="141" t="s">
        <v>409</v>
      </c>
      <c r="P226" s="141" t="s">
        <v>410</v>
      </c>
      <c r="Q226" s="141" t="s">
        <v>410</v>
      </c>
      <c r="R226" s="141" t="s">
        <v>362</v>
      </c>
      <c r="S226" s="141" t="s">
        <v>1368</v>
      </c>
      <c r="T226" s="141" t="s">
        <v>2766</v>
      </c>
      <c r="U226" s="141" t="s">
        <v>2766</v>
      </c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 t="s">
        <v>355</v>
      </c>
      <c r="AL226" s="141" t="s">
        <v>365</v>
      </c>
      <c r="AM226" s="141" t="s">
        <v>355</v>
      </c>
      <c r="AN226" s="141" t="s">
        <v>381</v>
      </c>
      <c r="AO226" s="141" t="s">
        <v>2766</v>
      </c>
      <c r="AP226" s="141" t="s">
        <v>2428</v>
      </c>
      <c r="AQ226" s="141" t="s">
        <v>849</v>
      </c>
      <c r="AR226" s="141" t="s">
        <v>409</v>
      </c>
      <c r="AS226" s="141" t="s">
        <v>363</v>
      </c>
      <c r="AT226" s="141"/>
      <c r="AU226" s="141" t="s">
        <v>2873</v>
      </c>
      <c r="AV226" s="141" t="s">
        <v>500</v>
      </c>
      <c r="AW226" s="141" t="s">
        <v>1473</v>
      </c>
      <c r="AX226" s="141" t="s">
        <v>658</v>
      </c>
      <c r="AY226" s="141" t="s">
        <v>2236</v>
      </c>
      <c r="AZ226" s="141" t="s">
        <v>911</v>
      </c>
      <c r="BA226" s="141" t="s">
        <v>2875</v>
      </c>
      <c r="BB226" s="141" t="s">
        <v>498</v>
      </c>
      <c r="BC226" s="141" t="s">
        <v>2876</v>
      </c>
      <c r="BD226" s="141" t="s">
        <v>502</v>
      </c>
      <c r="BE226" s="141" t="s">
        <v>2877</v>
      </c>
      <c r="BF226" s="141" t="s">
        <v>901</v>
      </c>
      <c r="BG226" s="141" t="s">
        <v>2878</v>
      </c>
      <c r="BH226" s="141" t="s">
        <v>788</v>
      </c>
      <c r="BI226" s="141" t="s">
        <v>2879</v>
      </c>
      <c r="BJ226" s="141" t="s">
        <v>383</v>
      </c>
      <c r="BK226" s="141" t="s">
        <v>2880</v>
      </c>
      <c r="BL226" s="141"/>
      <c r="BM226" s="141"/>
      <c r="BN226" s="141"/>
      <c r="BO226" s="141"/>
      <c r="BP226" s="141"/>
      <c r="BQ226" s="141"/>
      <c r="BR226" s="141"/>
      <c r="BS226" s="141"/>
      <c r="BT226" s="141"/>
      <c r="BU226" s="141"/>
      <c r="BV226" s="141"/>
      <c r="BW226" s="141"/>
      <c r="BX226" s="141"/>
      <c r="BY226" s="141"/>
      <c r="BZ226" s="141"/>
      <c r="CA226" s="141"/>
      <c r="CB226" s="141"/>
      <c r="CC226" s="141"/>
      <c r="CD226" s="141"/>
      <c r="CE226" s="141"/>
      <c r="CF226" s="141"/>
      <c r="CG226" s="141"/>
      <c r="CH226" s="141"/>
      <c r="CI226" s="141"/>
      <c r="CJ226" s="141"/>
      <c r="CK226" s="141"/>
      <c r="CL226" s="141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73"/>
    </row>
    <row r="227" spans="2:105" x14ac:dyDescent="0.25">
      <c r="B227" s="172"/>
      <c r="C227" s="141" t="s">
        <v>2881</v>
      </c>
      <c r="D227" s="141" t="s">
        <v>662</v>
      </c>
      <c r="E227" s="141" t="s">
        <v>2083</v>
      </c>
      <c r="F227" s="141" t="s">
        <v>2882</v>
      </c>
      <c r="G227" s="141"/>
      <c r="H227" s="141" t="s">
        <v>354</v>
      </c>
      <c r="I227" s="141"/>
      <c r="J227" s="141" t="s">
        <v>355</v>
      </c>
      <c r="K227" s="141" t="s">
        <v>737</v>
      </c>
      <c r="L227" s="141" t="s">
        <v>2883</v>
      </c>
      <c r="M227" s="141" t="s">
        <v>2884</v>
      </c>
      <c r="N227" s="141" t="s">
        <v>355</v>
      </c>
      <c r="O227" s="141" t="s">
        <v>394</v>
      </c>
      <c r="P227" s="141" t="s">
        <v>425</v>
      </c>
      <c r="Q227" s="141" t="s">
        <v>426</v>
      </c>
      <c r="R227" s="141" t="s">
        <v>362</v>
      </c>
      <c r="S227" s="141" t="s">
        <v>1368</v>
      </c>
      <c r="T227" s="141" t="s">
        <v>2766</v>
      </c>
      <c r="U227" s="141" t="s">
        <v>2766</v>
      </c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 t="s">
        <v>355</v>
      </c>
      <c r="AL227" s="141" t="s">
        <v>365</v>
      </c>
      <c r="AM227" s="141" t="s">
        <v>355</v>
      </c>
      <c r="AN227" s="141" t="s">
        <v>381</v>
      </c>
      <c r="AO227" s="141" t="s">
        <v>2766</v>
      </c>
      <c r="AP227" s="141" t="s">
        <v>2428</v>
      </c>
      <c r="AQ227" s="141" t="s">
        <v>849</v>
      </c>
      <c r="AR227" s="141" t="s">
        <v>409</v>
      </c>
      <c r="AS227" s="141" t="s">
        <v>1280</v>
      </c>
      <c r="AT227" s="141"/>
      <c r="AU227" s="141" t="s">
        <v>2883</v>
      </c>
      <c r="AV227" s="141" t="s">
        <v>500</v>
      </c>
      <c r="AW227" s="141" t="s">
        <v>1414</v>
      </c>
      <c r="AX227" s="141" t="s">
        <v>658</v>
      </c>
      <c r="AY227" s="141" t="s">
        <v>2885</v>
      </c>
      <c r="AZ227" s="141" t="s">
        <v>911</v>
      </c>
      <c r="BA227" s="141" t="s">
        <v>2185</v>
      </c>
      <c r="BB227" s="141" t="s">
        <v>498</v>
      </c>
      <c r="BC227" s="141" t="s">
        <v>2886</v>
      </c>
      <c r="BD227" s="141" t="s">
        <v>502</v>
      </c>
      <c r="BE227" s="141" t="s">
        <v>2887</v>
      </c>
      <c r="BF227" s="141" t="s">
        <v>901</v>
      </c>
      <c r="BG227" s="141" t="s">
        <v>2888</v>
      </c>
      <c r="BH227" s="141" t="s">
        <v>788</v>
      </c>
      <c r="BI227" s="141" t="s">
        <v>2889</v>
      </c>
      <c r="BJ227" s="141" t="s">
        <v>383</v>
      </c>
      <c r="BK227" s="141" t="s">
        <v>2890</v>
      </c>
      <c r="BL227" s="141"/>
      <c r="BM227" s="141"/>
      <c r="BN227" s="141"/>
      <c r="BO227" s="141"/>
      <c r="BP227" s="141"/>
      <c r="BQ227" s="141"/>
      <c r="BR227" s="141"/>
      <c r="BS227" s="141"/>
      <c r="BT227" s="141"/>
      <c r="BU227" s="141"/>
      <c r="BV227" s="141"/>
      <c r="BW227" s="141"/>
      <c r="BX227" s="141"/>
      <c r="BY227" s="141"/>
      <c r="BZ227" s="141"/>
      <c r="CA227" s="141"/>
      <c r="CB227" s="141"/>
      <c r="CC227" s="141"/>
      <c r="CD227" s="141"/>
      <c r="CE227" s="141"/>
      <c r="CF227" s="141"/>
      <c r="CG227" s="141"/>
      <c r="CH227" s="141"/>
      <c r="CI227" s="141"/>
      <c r="CJ227" s="141"/>
      <c r="CK227" s="141"/>
      <c r="CL227" s="141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73"/>
    </row>
    <row r="228" spans="2:105" x14ac:dyDescent="0.25">
      <c r="B228" s="172"/>
      <c r="C228" s="141" t="s">
        <v>2891</v>
      </c>
      <c r="D228" s="141" t="s">
        <v>2892</v>
      </c>
      <c r="E228" s="141" t="s">
        <v>2244</v>
      </c>
      <c r="F228" s="141" t="s">
        <v>2893</v>
      </c>
      <c r="G228" s="141"/>
      <c r="H228" s="141" t="s">
        <v>354</v>
      </c>
      <c r="I228" s="141"/>
      <c r="J228" s="141" t="s">
        <v>355</v>
      </c>
      <c r="K228" s="141" t="s">
        <v>735</v>
      </c>
      <c r="L228" s="141" t="s">
        <v>2894</v>
      </c>
      <c r="M228" s="141" t="s">
        <v>2895</v>
      </c>
      <c r="N228" s="141" t="s">
        <v>355</v>
      </c>
      <c r="O228" s="141" t="s">
        <v>370</v>
      </c>
      <c r="P228" s="141" t="s">
        <v>529</v>
      </c>
      <c r="Q228" s="141" t="s">
        <v>530</v>
      </c>
      <c r="R228" s="141" t="s">
        <v>362</v>
      </c>
      <c r="S228" s="141" t="s">
        <v>1368</v>
      </c>
      <c r="T228" s="141" t="s">
        <v>2766</v>
      </c>
      <c r="U228" s="141" t="s">
        <v>2766</v>
      </c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 t="s">
        <v>355</v>
      </c>
      <c r="AL228" s="141" t="s">
        <v>365</v>
      </c>
      <c r="AM228" s="141" t="s">
        <v>355</v>
      </c>
      <c r="AN228" s="141" t="s">
        <v>381</v>
      </c>
      <c r="AO228" s="141" t="s">
        <v>2766</v>
      </c>
      <c r="AP228" s="141" t="s">
        <v>2428</v>
      </c>
      <c r="AQ228" s="141" t="s">
        <v>849</v>
      </c>
      <c r="AR228" s="141" t="s">
        <v>409</v>
      </c>
      <c r="AS228" s="141" t="s">
        <v>1295</v>
      </c>
      <c r="AT228" s="141"/>
      <c r="AU228" s="141" t="s">
        <v>2894</v>
      </c>
      <c r="AV228" s="141" t="s">
        <v>500</v>
      </c>
      <c r="AW228" s="141" t="s">
        <v>1839</v>
      </c>
      <c r="AX228" s="141" t="s">
        <v>658</v>
      </c>
      <c r="AY228" s="141" t="s">
        <v>1083</v>
      </c>
      <c r="AZ228" s="141" t="s">
        <v>911</v>
      </c>
      <c r="BA228" s="141" t="s">
        <v>2896</v>
      </c>
      <c r="BB228" s="141" t="s">
        <v>498</v>
      </c>
      <c r="BC228" s="141" t="s">
        <v>553</v>
      </c>
      <c r="BD228" s="141" t="s">
        <v>502</v>
      </c>
      <c r="BE228" s="141" t="s">
        <v>2897</v>
      </c>
      <c r="BF228" s="141" t="s">
        <v>901</v>
      </c>
      <c r="BG228" s="141" t="s">
        <v>2573</v>
      </c>
      <c r="BH228" s="141" t="s">
        <v>788</v>
      </c>
      <c r="BI228" s="141" t="s">
        <v>2898</v>
      </c>
      <c r="BJ228" s="141" t="s">
        <v>383</v>
      </c>
      <c r="BK228" s="141" t="s">
        <v>2899</v>
      </c>
      <c r="BL228" s="141"/>
      <c r="BM228" s="141"/>
      <c r="BN228" s="141"/>
      <c r="BO228" s="141"/>
      <c r="BP228" s="141"/>
      <c r="BQ228" s="141"/>
      <c r="BR228" s="141"/>
      <c r="BS228" s="141"/>
      <c r="BT228" s="141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1"/>
      <c r="CG228" s="141"/>
      <c r="CH228" s="141"/>
      <c r="CI228" s="141"/>
      <c r="CJ228" s="141"/>
      <c r="CK228" s="141"/>
      <c r="CL228" s="141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73"/>
    </row>
    <row r="229" spans="2:105" x14ac:dyDescent="0.25">
      <c r="B229" s="172"/>
      <c r="C229" s="141" t="s">
        <v>2900</v>
      </c>
      <c r="D229" s="141" t="s">
        <v>1368</v>
      </c>
      <c r="E229" s="141" t="s">
        <v>2191</v>
      </c>
      <c r="F229" s="141" t="s">
        <v>2901</v>
      </c>
      <c r="G229" s="141"/>
      <c r="H229" s="141" t="s">
        <v>354</v>
      </c>
      <c r="I229" s="141"/>
      <c r="J229" s="141" t="s">
        <v>355</v>
      </c>
      <c r="K229" s="141" t="s">
        <v>1544</v>
      </c>
      <c r="L229" s="141" t="s">
        <v>2902</v>
      </c>
      <c r="M229" s="141" t="s">
        <v>2903</v>
      </c>
      <c r="N229" s="141" t="s">
        <v>355</v>
      </c>
      <c r="O229" s="141" t="s">
        <v>442</v>
      </c>
      <c r="P229" s="141" t="s">
        <v>478</v>
      </c>
      <c r="Q229" s="141" t="s">
        <v>479</v>
      </c>
      <c r="R229" s="141" t="s">
        <v>362</v>
      </c>
      <c r="S229" s="141" t="s">
        <v>1368</v>
      </c>
      <c r="T229" s="141" t="s">
        <v>2766</v>
      </c>
      <c r="U229" s="141" t="s">
        <v>2766</v>
      </c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 t="s">
        <v>355</v>
      </c>
      <c r="AL229" s="141" t="s">
        <v>365</v>
      </c>
      <c r="AM229" s="141" t="s">
        <v>355</v>
      </c>
      <c r="AN229" s="141" t="s">
        <v>381</v>
      </c>
      <c r="AO229" s="141" t="s">
        <v>2766</v>
      </c>
      <c r="AP229" s="141" t="s">
        <v>2428</v>
      </c>
      <c r="AQ229" s="141" t="s">
        <v>849</v>
      </c>
      <c r="AR229" s="141" t="s">
        <v>409</v>
      </c>
      <c r="AS229" s="141" t="s">
        <v>1309</v>
      </c>
      <c r="AT229" s="141"/>
      <c r="AU229" s="141" t="s">
        <v>2902</v>
      </c>
      <c r="AV229" s="141" t="s">
        <v>500</v>
      </c>
      <c r="AW229" s="141" t="s">
        <v>1230</v>
      </c>
      <c r="AX229" s="141" t="s">
        <v>658</v>
      </c>
      <c r="AY229" s="141" t="s">
        <v>2904</v>
      </c>
      <c r="AZ229" s="141" t="s">
        <v>911</v>
      </c>
      <c r="BA229" s="141" t="s">
        <v>2905</v>
      </c>
      <c r="BB229" s="141" t="s">
        <v>498</v>
      </c>
      <c r="BC229" s="141" t="s">
        <v>2906</v>
      </c>
      <c r="BD229" s="141" t="s">
        <v>502</v>
      </c>
      <c r="BE229" s="141" t="s">
        <v>2907</v>
      </c>
      <c r="BF229" s="141" t="s">
        <v>901</v>
      </c>
      <c r="BG229" s="141" t="s">
        <v>2908</v>
      </c>
      <c r="BH229" s="141" t="s">
        <v>788</v>
      </c>
      <c r="BI229" s="141" t="s">
        <v>2909</v>
      </c>
      <c r="BJ229" s="141" t="s">
        <v>383</v>
      </c>
      <c r="BK229" s="141" t="s">
        <v>2910</v>
      </c>
      <c r="BL229" s="141"/>
      <c r="BM229" s="141"/>
      <c r="BN229" s="141"/>
      <c r="BO229" s="141"/>
      <c r="BP229" s="141"/>
      <c r="BQ229" s="141"/>
      <c r="BR229" s="141"/>
      <c r="BS229" s="141"/>
      <c r="BT229" s="141"/>
      <c r="BU229" s="141"/>
      <c r="BV229" s="141"/>
      <c r="BW229" s="141"/>
      <c r="BX229" s="141"/>
      <c r="BY229" s="141"/>
      <c r="BZ229" s="141"/>
      <c r="CA229" s="141"/>
      <c r="CB229" s="141"/>
      <c r="CC229" s="141"/>
      <c r="CD229" s="141"/>
      <c r="CE229" s="141"/>
      <c r="CF229" s="141"/>
      <c r="CG229" s="141"/>
      <c r="CH229" s="141"/>
      <c r="CI229" s="141"/>
      <c r="CJ229" s="141"/>
      <c r="CK229" s="141"/>
      <c r="CL229" s="141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73"/>
    </row>
    <row r="230" spans="2:105" x14ac:dyDescent="0.25">
      <c r="B230" s="172"/>
      <c r="C230" s="141" t="s">
        <v>2911</v>
      </c>
      <c r="D230" s="141" t="s">
        <v>887</v>
      </c>
      <c r="E230" s="141" t="s">
        <v>508</v>
      </c>
      <c r="F230" s="141" t="s">
        <v>2912</v>
      </c>
      <c r="G230" s="141"/>
      <c r="H230" s="141" t="s">
        <v>354</v>
      </c>
      <c r="I230" s="141"/>
      <c r="J230" s="141" t="s">
        <v>355</v>
      </c>
      <c r="K230" s="141" t="s">
        <v>701</v>
      </c>
      <c r="L230" s="141" t="s">
        <v>2913</v>
      </c>
      <c r="M230" s="141" t="s">
        <v>2914</v>
      </c>
      <c r="N230" s="141" t="s">
        <v>359</v>
      </c>
      <c r="O230" s="141" t="s">
        <v>442</v>
      </c>
      <c r="P230" s="141" t="s">
        <v>478</v>
      </c>
      <c r="Q230" s="141" t="s">
        <v>479</v>
      </c>
      <c r="R230" s="141" t="s">
        <v>362</v>
      </c>
      <c r="S230" s="141" t="s">
        <v>1368</v>
      </c>
      <c r="T230" s="141" t="s">
        <v>2766</v>
      </c>
      <c r="U230" s="141" t="s">
        <v>2766</v>
      </c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 t="s">
        <v>355</v>
      </c>
      <c r="AL230" s="141" t="s">
        <v>365</v>
      </c>
      <c r="AM230" s="141" t="s">
        <v>355</v>
      </c>
      <c r="AN230" s="141" t="s">
        <v>381</v>
      </c>
      <c r="AO230" s="141" t="s">
        <v>2766</v>
      </c>
      <c r="AP230" s="141" t="s">
        <v>2428</v>
      </c>
      <c r="AQ230" s="141" t="s">
        <v>849</v>
      </c>
      <c r="AR230" s="141" t="s">
        <v>409</v>
      </c>
      <c r="AS230" s="141"/>
      <c r="AT230" s="141"/>
      <c r="AU230" s="141" t="s">
        <v>2913</v>
      </c>
      <c r="AV230" s="141" t="s">
        <v>500</v>
      </c>
      <c r="AW230" s="141" t="s">
        <v>2915</v>
      </c>
      <c r="AX230" s="141"/>
      <c r="AY230" s="141"/>
      <c r="AZ230" s="141"/>
      <c r="BA230" s="141"/>
      <c r="BB230" s="141" t="s">
        <v>498</v>
      </c>
      <c r="BC230" s="141" t="s">
        <v>2916</v>
      </c>
      <c r="BD230" s="141" t="s">
        <v>502</v>
      </c>
      <c r="BE230" s="141" t="s">
        <v>2794</v>
      </c>
      <c r="BF230" s="141" t="s">
        <v>901</v>
      </c>
      <c r="BG230" s="141" t="s">
        <v>2917</v>
      </c>
      <c r="BH230" s="141"/>
      <c r="BI230" s="141"/>
      <c r="BJ230" s="141" t="s">
        <v>383</v>
      </c>
      <c r="BK230" s="141" t="s">
        <v>2918</v>
      </c>
      <c r="BL230" s="141"/>
      <c r="BM230" s="141"/>
      <c r="BN230" s="141"/>
      <c r="BO230" s="141"/>
      <c r="BP230" s="141"/>
      <c r="BQ230" s="141"/>
      <c r="BR230" s="141"/>
      <c r="BS230" s="141"/>
      <c r="BT230" s="141"/>
      <c r="BU230" s="141"/>
      <c r="BV230" s="141"/>
      <c r="BW230" s="141"/>
      <c r="BX230" s="141"/>
      <c r="BY230" s="141"/>
      <c r="BZ230" s="141"/>
      <c r="CA230" s="141"/>
      <c r="CB230" s="141"/>
      <c r="CC230" s="141"/>
      <c r="CD230" s="141"/>
      <c r="CE230" s="141"/>
      <c r="CF230" s="141"/>
      <c r="CG230" s="141"/>
      <c r="CH230" s="141"/>
      <c r="CI230" s="141"/>
      <c r="CJ230" s="141"/>
      <c r="CK230" s="141"/>
      <c r="CL230" s="141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73"/>
    </row>
    <row r="231" spans="2:105" x14ac:dyDescent="0.25">
      <c r="B231" s="172"/>
      <c r="C231" s="141"/>
      <c r="D231" s="141" t="s">
        <v>2919</v>
      </c>
      <c r="E231" s="141"/>
      <c r="F231" s="141" t="s">
        <v>467</v>
      </c>
      <c r="G231" s="141"/>
      <c r="H231" s="141" t="s">
        <v>354</v>
      </c>
      <c r="I231" s="141"/>
      <c r="J231" s="141" t="s">
        <v>355</v>
      </c>
      <c r="K231" s="141" t="s">
        <v>730</v>
      </c>
      <c r="L231" s="141"/>
      <c r="M231" s="141"/>
      <c r="N231" s="141" t="s">
        <v>355</v>
      </c>
      <c r="O231" s="141"/>
      <c r="P231" s="141"/>
      <c r="Q231" s="141"/>
      <c r="R231" s="141"/>
      <c r="S231" s="141" t="s">
        <v>1368</v>
      </c>
      <c r="T231" s="141" t="s">
        <v>2766</v>
      </c>
      <c r="U231" s="141" t="s">
        <v>2766</v>
      </c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 t="s">
        <v>355</v>
      </c>
      <c r="AL231" s="141" t="s">
        <v>365</v>
      </c>
      <c r="AM231" s="141" t="s">
        <v>355</v>
      </c>
      <c r="AN231" s="141" t="s">
        <v>381</v>
      </c>
      <c r="AO231" s="141" t="s">
        <v>2766</v>
      </c>
      <c r="AP231" s="141" t="s">
        <v>2428</v>
      </c>
      <c r="AQ231" s="141" t="s">
        <v>849</v>
      </c>
      <c r="AR231" s="141" t="s">
        <v>409</v>
      </c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  <c r="BN231" s="141"/>
      <c r="BO231" s="141"/>
      <c r="BP231" s="141"/>
      <c r="BQ231" s="141"/>
      <c r="BR231" s="141"/>
      <c r="BS231" s="141"/>
      <c r="BT231" s="141"/>
      <c r="BU231" s="141"/>
      <c r="BV231" s="141"/>
      <c r="BW231" s="141"/>
      <c r="BX231" s="141"/>
      <c r="BY231" s="141"/>
      <c r="BZ231" s="141"/>
      <c r="CA231" s="141"/>
      <c r="CB231" s="141"/>
      <c r="CC231" s="141"/>
      <c r="CD231" s="141"/>
      <c r="CE231" s="141"/>
      <c r="CF231" s="141"/>
      <c r="CG231" s="141"/>
      <c r="CH231" s="141"/>
      <c r="CI231" s="141"/>
      <c r="CJ231" s="141"/>
      <c r="CK231" s="141"/>
      <c r="CL231" s="141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73"/>
    </row>
    <row r="232" spans="2:105" x14ac:dyDescent="0.25">
      <c r="B232" s="172"/>
      <c r="C232" s="141" t="s">
        <v>2920</v>
      </c>
      <c r="D232" s="141" t="s">
        <v>2921</v>
      </c>
      <c r="E232" s="141" t="s">
        <v>1320</v>
      </c>
      <c r="F232" s="141" t="s">
        <v>2647</v>
      </c>
      <c r="G232" s="141"/>
      <c r="H232" s="141" t="s">
        <v>354</v>
      </c>
      <c r="I232" s="141"/>
      <c r="J232" s="141" t="s">
        <v>355</v>
      </c>
      <c r="K232" s="141" t="s">
        <v>742</v>
      </c>
      <c r="L232" s="141"/>
      <c r="M232" s="141"/>
      <c r="N232" s="141" t="s">
        <v>370</v>
      </c>
      <c r="O232" s="141" t="s">
        <v>394</v>
      </c>
      <c r="P232" s="141" t="s">
        <v>425</v>
      </c>
      <c r="Q232" s="141" t="s">
        <v>426</v>
      </c>
      <c r="R232" s="141" t="s">
        <v>362</v>
      </c>
      <c r="S232" s="141" t="s">
        <v>1368</v>
      </c>
      <c r="T232" s="141" t="s">
        <v>2766</v>
      </c>
      <c r="U232" s="141" t="s">
        <v>2766</v>
      </c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 t="s">
        <v>355</v>
      </c>
      <c r="AL232" s="141" t="s">
        <v>365</v>
      </c>
      <c r="AM232" s="141" t="s">
        <v>355</v>
      </c>
      <c r="AN232" s="141" t="s">
        <v>381</v>
      </c>
      <c r="AO232" s="141" t="s">
        <v>2766</v>
      </c>
      <c r="AP232" s="141" t="s">
        <v>2428</v>
      </c>
      <c r="AQ232" s="141" t="s">
        <v>849</v>
      </c>
      <c r="AR232" s="141" t="s">
        <v>409</v>
      </c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  <c r="BN232" s="141"/>
      <c r="BO232" s="141"/>
      <c r="BP232" s="141"/>
      <c r="BQ232" s="141"/>
      <c r="BR232" s="141"/>
      <c r="BS232" s="141"/>
      <c r="BT232" s="141"/>
      <c r="BU232" s="141"/>
      <c r="BV232" s="141"/>
      <c r="BW232" s="141"/>
      <c r="BX232" s="141"/>
      <c r="BY232" s="141"/>
      <c r="BZ232" s="141"/>
      <c r="CA232" s="141"/>
      <c r="CB232" s="141"/>
      <c r="CC232" s="141"/>
      <c r="CD232" s="141"/>
      <c r="CE232" s="141"/>
      <c r="CF232" s="141"/>
      <c r="CG232" s="141"/>
      <c r="CH232" s="141"/>
      <c r="CI232" s="141"/>
      <c r="CJ232" s="141"/>
      <c r="CK232" s="141"/>
      <c r="CL232" s="141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73"/>
    </row>
    <row r="233" spans="2:105" x14ac:dyDescent="0.25">
      <c r="B233" s="172"/>
      <c r="C233" s="141"/>
      <c r="D233" s="141" t="s">
        <v>2922</v>
      </c>
      <c r="E233" s="141"/>
      <c r="F233" s="141" t="s">
        <v>467</v>
      </c>
      <c r="G233" s="141"/>
      <c r="H233" s="141" t="s">
        <v>354</v>
      </c>
      <c r="I233" s="141"/>
      <c r="J233" s="141" t="s">
        <v>355</v>
      </c>
      <c r="K233" s="141" t="s">
        <v>1337</v>
      </c>
      <c r="L233" s="141"/>
      <c r="M233" s="141"/>
      <c r="N233" s="141" t="s">
        <v>355</v>
      </c>
      <c r="O233" s="141"/>
      <c r="P233" s="141"/>
      <c r="Q233" s="141"/>
      <c r="R233" s="141"/>
      <c r="S233" s="141" t="s">
        <v>1368</v>
      </c>
      <c r="T233" s="141" t="s">
        <v>2766</v>
      </c>
      <c r="U233" s="141" t="s">
        <v>2766</v>
      </c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 t="s">
        <v>355</v>
      </c>
      <c r="AL233" s="141" t="s">
        <v>365</v>
      </c>
      <c r="AM233" s="141" t="s">
        <v>355</v>
      </c>
      <c r="AN233" s="141" t="s">
        <v>381</v>
      </c>
      <c r="AO233" s="141" t="s">
        <v>2766</v>
      </c>
      <c r="AP233" s="141" t="s">
        <v>2428</v>
      </c>
      <c r="AQ233" s="141" t="s">
        <v>849</v>
      </c>
      <c r="AR233" s="141" t="s">
        <v>409</v>
      </c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  <c r="BN233" s="141"/>
      <c r="BO233" s="141"/>
      <c r="BP233" s="141"/>
      <c r="BQ233" s="141"/>
      <c r="BR233" s="141"/>
      <c r="BS233" s="141"/>
      <c r="BT233" s="141"/>
      <c r="BU233" s="141"/>
      <c r="BV233" s="141"/>
      <c r="BW233" s="141"/>
      <c r="BX233" s="141"/>
      <c r="BY233" s="141"/>
      <c r="BZ233" s="141"/>
      <c r="CA233" s="141"/>
      <c r="CB233" s="141"/>
      <c r="CC233" s="141"/>
      <c r="CD233" s="141"/>
      <c r="CE233" s="141"/>
      <c r="CF233" s="141"/>
      <c r="CG233" s="141"/>
      <c r="CH233" s="141"/>
      <c r="CI233" s="141"/>
      <c r="CJ233" s="141"/>
      <c r="CK233" s="141"/>
      <c r="CL233" s="141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73"/>
    </row>
    <row r="234" spans="2:105" x14ac:dyDescent="0.25">
      <c r="B234" s="172"/>
      <c r="C234" s="141" t="s">
        <v>2923</v>
      </c>
      <c r="D234" s="141" t="s">
        <v>2924</v>
      </c>
      <c r="E234" s="141" t="s">
        <v>1921</v>
      </c>
      <c r="F234" s="141" t="s">
        <v>2925</v>
      </c>
      <c r="G234" s="141"/>
      <c r="H234" s="141" t="s">
        <v>354</v>
      </c>
      <c r="I234" s="141"/>
      <c r="J234" s="141" t="s">
        <v>355</v>
      </c>
      <c r="K234" s="141" t="s">
        <v>544</v>
      </c>
      <c r="L234" s="141" t="s">
        <v>2926</v>
      </c>
      <c r="M234" s="141" t="s">
        <v>2927</v>
      </c>
      <c r="N234" s="141" t="s">
        <v>355</v>
      </c>
      <c r="O234" s="141" t="s">
        <v>369</v>
      </c>
      <c r="P234" s="141" t="s">
        <v>1924</v>
      </c>
      <c r="Q234" s="141" t="s">
        <v>1925</v>
      </c>
      <c r="R234" s="141" t="s">
        <v>362</v>
      </c>
      <c r="S234" s="141" t="s">
        <v>890</v>
      </c>
      <c r="T234" s="141" t="s">
        <v>2928</v>
      </c>
      <c r="U234" s="141" t="s">
        <v>2928</v>
      </c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 t="s">
        <v>355</v>
      </c>
      <c r="AL234" s="141" t="s">
        <v>365</v>
      </c>
      <c r="AM234" s="141" t="s">
        <v>355</v>
      </c>
      <c r="AN234" s="141" t="s">
        <v>660</v>
      </c>
      <c r="AO234" s="141" t="s">
        <v>2928</v>
      </c>
      <c r="AP234" s="141" t="s">
        <v>2929</v>
      </c>
      <c r="AQ234" s="141" t="s">
        <v>2930</v>
      </c>
      <c r="AR234" s="141" t="s">
        <v>491</v>
      </c>
      <c r="AS234" s="141" t="s">
        <v>370</v>
      </c>
      <c r="AT234" s="141"/>
      <c r="AU234" s="141" t="s">
        <v>2926</v>
      </c>
      <c r="AV234" s="141" t="s">
        <v>2638</v>
      </c>
      <c r="AW234" s="141" t="s">
        <v>866</v>
      </c>
      <c r="AX234" s="141" t="s">
        <v>764</v>
      </c>
      <c r="AY234" s="141" t="s">
        <v>641</v>
      </c>
      <c r="AZ234" s="141" t="s">
        <v>909</v>
      </c>
      <c r="BA234" s="141" t="s">
        <v>2931</v>
      </c>
      <c r="BB234" s="141" t="s">
        <v>911</v>
      </c>
      <c r="BC234" s="141" t="s">
        <v>2200</v>
      </c>
      <c r="BD234" s="141" t="s">
        <v>903</v>
      </c>
      <c r="BE234" s="141" t="s">
        <v>2932</v>
      </c>
      <c r="BF234" s="141" t="s">
        <v>905</v>
      </c>
      <c r="BG234" s="141" t="s">
        <v>2933</v>
      </c>
      <c r="BH234" s="141" t="s">
        <v>907</v>
      </c>
      <c r="BI234" s="141" t="s">
        <v>1458</v>
      </c>
      <c r="BJ234" s="141" t="s">
        <v>913</v>
      </c>
      <c r="BK234" s="141" t="s">
        <v>2934</v>
      </c>
      <c r="BL234" s="141" t="s">
        <v>383</v>
      </c>
      <c r="BM234" s="141" t="s">
        <v>2935</v>
      </c>
      <c r="BN234" s="141"/>
      <c r="BO234" s="141"/>
      <c r="BP234" s="141"/>
      <c r="BQ234" s="141"/>
      <c r="BR234" s="141"/>
      <c r="BS234" s="141"/>
      <c r="BT234" s="141"/>
      <c r="BU234" s="141"/>
      <c r="BV234" s="141"/>
      <c r="BW234" s="141"/>
      <c r="BX234" s="141"/>
      <c r="BY234" s="141"/>
      <c r="BZ234" s="141"/>
      <c r="CA234" s="141"/>
      <c r="CB234" s="141"/>
      <c r="CC234" s="141"/>
      <c r="CD234" s="141"/>
      <c r="CE234" s="141"/>
      <c r="CF234" s="141"/>
      <c r="CG234" s="141"/>
      <c r="CH234" s="141"/>
      <c r="CI234" s="141"/>
      <c r="CJ234" s="141"/>
      <c r="CK234" s="141"/>
      <c r="CL234" s="141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73"/>
    </row>
    <row r="235" spans="2:105" x14ac:dyDescent="0.25">
      <c r="B235" s="172"/>
      <c r="C235" s="141" t="s">
        <v>2936</v>
      </c>
      <c r="D235" s="141" t="s">
        <v>2937</v>
      </c>
      <c r="E235" s="141" t="s">
        <v>2191</v>
      </c>
      <c r="F235" s="141" t="s">
        <v>2938</v>
      </c>
      <c r="G235" s="141"/>
      <c r="H235" s="141" t="s">
        <v>354</v>
      </c>
      <c r="I235" s="141"/>
      <c r="J235" s="141" t="s">
        <v>355</v>
      </c>
      <c r="K235" s="141" t="s">
        <v>483</v>
      </c>
      <c r="L235" s="141" t="s">
        <v>2939</v>
      </c>
      <c r="M235" s="141" t="s">
        <v>2940</v>
      </c>
      <c r="N235" s="141" t="s">
        <v>355</v>
      </c>
      <c r="O235" s="141" t="s">
        <v>442</v>
      </c>
      <c r="P235" s="141" t="s">
        <v>478</v>
      </c>
      <c r="Q235" s="141" t="s">
        <v>479</v>
      </c>
      <c r="R235" s="141" t="s">
        <v>362</v>
      </c>
      <c r="S235" s="141" t="s">
        <v>890</v>
      </c>
      <c r="T235" s="141" t="s">
        <v>2928</v>
      </c>
      <c r="U235" s="141" t="s">
        <v>2928</v>
      </c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 t="s">
        <v>355</v>
      </c>
      <c r="AL235" s="141" t="s">
        <v>365</v>
      </c>
      <c r="AM235" s="141" t="s">
        <v>355</v>
      </c>
      <c r="AN235" s="141" t="s">
        <v>660</v>
      </c>
      <c r="AO235" s="141" t="s">
        <v>2928</v>
      </c>
      <c r="AP235" s="141" t="s">
        <v>2929</v>
      </c>
      <c r="AQ235" s="141" t="s">
        <v>2930</v>
      </c>
      <c r="AR235" s="141" t="s">
        <v>491</v>
      </c>
      <c r="AS235" s="141" t="s">
        <v>394</v>
      </c>
      <c r="AT235" s="141"/>
      <c r="AU235" s="141" t="s">
        <v>2939</v>
      </c>
      <c r="AV235" s="141" t="s">
        <v>2638</v>
      </c>
      <c r="AW235" s="141" t="s">
        <v>2237</v>
      </c>
      <c r="AX235" s="141" t="s">
        <v>764</v>
      </c>
      <c r="AY235" s="141" t="s">
        <v>2941</v>
      </c>
      <c r="AZ235" s="141" t="s">
        <v>909</v>
      </c>
      <c r="BA235" s="141" t="s">
        <v>2942</v>
      </c>
      <c r="BB235" s="141" t="s">
        <v>911</v>
      </c>
      <c r="BC235" s="141" t="s">
        <v>2736</v>
      </c>
      <c r="BD235" s="141" t="s">
        <v>903</v>
      </c>
      <c r="BE235" s="141" t="s">
        <v>2943</v>
      </c>
      <c r="BF235" s="141" t="s">
        <v>905</v>
      </c>
      <c r="BG235" s="141" t="s">
        <v>2944</v>
      </c>
      <c r="BH235" s="141" t="s">
        <v>907</v>
      </c>
      <c r="BI235" s="141" t="s">
        <v>2945</v>
      </c>
      <c r="BJ235" s="141" t="s">
        <v>913</v>
      </c>
      <c r="BK235" s="141" t="s">
        <v>2946</v>
      </c>
      <c r="BL235" s="141" t="s">
        <v>383</v>
      </c>
      <c r="BM235" s="141" t="s">
        <v>2947</v>
      </c>
      <c r="BN235" s="141"/>
      <c r="BO235" s="141"/>
      <c r="BP235" s="141"/>
      <c r="BQ235" s="141"/>
      <c r="BR235" s="141"/>
      <c r="BS235" s="141"/>
      <c r="BT235" s="141"/>
      <c r="BU235" s="141"/>
      <c r="BV235" s="141"/>
      <c r="BW235" s="141"/>
      <c r="BX235" s="141"/>
      <c r="BY235" s="141"/>
      <c r="BZ235" s="141"/>
      <c r="CA235" s="141"/>
      <c r="CB235" s="141"/>
      <c r="CC235" s="141"/>
      <c r="CD235" s="141"/>
      <c r="CE235" s="141"/>
      <c r="CF235" s="141"/>
      <c r="CG235" s="141"/>
      <c r="CH235" s="141"/>
      <c r="CI235" s="141"/>
      <c r="CJ235" s="141"/>
      <c r="CK235" s="141"/>
      <c r="CL235" s="141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73"/>
    </row>
    <row r="236" spans="2:105" x14ac:dyDescent="0.25">
      <c r="B236" s="172"/>
      <c r="C236" s="141" t="s">
        <v>2948</v>
      </c>
      <c r="D236" s="141" t="s">
        <v>2949</v>
      </c>
      <c r="E236" s="141" t="s">
        <v>2120</v>
      </c>
      <c r="F236" s="141" t="s">
        <v>2950</v>
      </c>
      <c r="G236" s="141"/>
      <c r="H236" s="141" t="s">
        <v>354</v>
      </c>
      <c r="I236" s="141"/>
      <c r="J236" s="141" t="s">
        <v>355</v>
      </c>
      <c r="K236" s="141" t="s">
        <v>606</v>
      </c>
      <c r="L236" s="141" t="s">
        <v>2951</v>
      </c>
      <c r="M236" s="141" t="s">
        <v>1312</v>
      </c>
      <c r="N236" s="141" t="s">
        <v>355</v>
      </c>
      <c r="O236" s="141" t="s">
        <v>394</v>
      </c>
      <c r="P236" s="141" t="s">
        <v>425</v>
      </c>
      <c r="Q236" s="141" t="s">
        <v>426</v>
      </c>
      <c r="R236" s="141" t="s">
        <v>362</v>
      </c>
      <c r="S236" s="141" t="s">
        <v>890</v>
      </c>
      <c r="T236" s="141" t="s">
        <v>2928</v>
      </c>
      <c r="U236" s="141" t="s">
        <v>2928</v>
      </c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 t="s">
        <v>355</v>
      </c>
      <c r="AL236" s="141" t="s">
        <v>365</v>
      </c>
      <c r="AM236" s="141" t="s">
        <v>355</v>
      </c>
      <c r="AN236" s="141" t="s">
        <v>660</v>
      </c>
      <c r="AO236" s="141" t="s">
        <v>2928</v>
      </c>
      <c r="AP236" s="141" t="s">
        <v>2929</v>
      </c>
      <c r="AQ236" s="141" t="s">
        <v>2930</v>
      </c>
      <c r="AR236" s="141" t="s">
        <v>491</v>
      </c>
      <c r="AS236" s="141" t="s">
        <v>359</v>
      </c>
      <c r="AT236" s="141"/>
      <c r="AU236" s="141" t="s">
        <v>2951</v>
      </c>
      <c r="AV236" s="141" t="s">
        <v>2638</v>
      </c>
      <c r="AW236" s="141" t="s">
        <v>2952</v>
      </c>
      <c r="AX236" s="141" t="s">
        <v>764</v>
      </c>
      <c r="AY236" s="141" t="s">
        <v>2667</v>
      </c>
      <c r="AZ236" s="141" t="s">
        <v>909</v>
      </c>
      <c r="BA236" s="141" t="s">
        <v>2953</v>
      </c>
      <c r="BB236" s="141" t="s">
        <v>911</v>
      </c>
      <c r="BC236" s="141" t="s">
        <v>2954</v>
      </c>
      <c r="BD236" s="141" t="s">
        <v>903</v>
      </c>
      <c r="BE236" s="141" t="s">
        <v>2955</v>
      </c>
      <c r="BF236" s="141" t="s">
        <v>905</v>
      </c>
      <c r="BG236" s="141" t="s">
        <v>2490</v>
      </c>
      <c r="BH236" s="141" t="s">
        <v>907</v>
      </c>
      <c r="BI236" s="141" t="s">
        <v>2956</v>
      </c>
      <c r="BJ236" s="141" t="s">
        <v>913</v>
      </c>
      <c r="BK236" s="141" t="s">
        <v>2957</v>
      </c>
      <c r="BL236" s="141" t="s">
        <v>383</v>
      </c>
      <c r="BM236" s="141" t="s">
        <v>2958</v>
      </c>
      <c r="BN236" s="141"/>
      <c r="BO236" s="141"/>
      <c r="BP236" s="141"/>
      <c r="BQ236" s="141"/>
      <c r="BR236" s="141"/>
      <c r="BS236" s="141"/>
      <c r="BT236" s="141"/>
      <c r="BU236" s="141"/>
      <c r="BV236" s="141"/>
      <c r="BW236" s="141"/>
      <c r="BX236" s="141"/>
      <c r="BY236" s="141"/>
      <c r="BZ236" s="141"/>
      <c r="CA236" s="141"/>
      <c r="CB236" s="141"/>
      <c r="CC236" s="141"/>
      <c r="CD236" s="141"/>
      <c r="CE236" s="141"/>
      <c r="CF236" s="141"/>
      <c r="CG236" s="141"/>
      <c r="CH236" s="141"/>
      <c r="CI236" s="141"/>
      <c r="CJ236" s="141"/>
      <c r="CK236" s="141"/>
      <c r="CL236" s="141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73"/>
    </row>
    <row r="237" spans="2:105" x14ac:dyDescent="0.25">
      <c r="B237" s="172"/>
      <c r="C237" s="141" t="s">
        <v>2959</v>
      </c>
      <c r="D237" s="141" t="s">
        <v>2960</v>
      </c>
      <c r="E237" s="141" t="s">
        <v>2836</v>
      </c>
      <c r="F237" s="141" t="s">
        <v>2893</v>
      </c>
      <c r="G237" s="141"/>
      <c r="H237" s="141" t="s">
        <v>354</v>
      </c>
      <c r="I237" s="141"/>
      <c r="J237" s="141" t="s">
        <v>355</v>
      </c>
      <c r="K237" s="141" t="s">
        <v>621</v>
      </c>
      <c r="L237" s="141" t="s">
        <v>2961</v>
      </c>
      <c r="M237" s="141" t="s">
        <v>2962</v>
      </c>
      <c r="N237" s="141" t="s">
        <v>355</v>
      </c>
      <c r="O237" s="141" t="s">
        <v>359</v>
      </c>
      <c r="P237" s="141" t="s">
        <v>360</v>
      </c>
      <c r="Q237" s="141" t="s">
        <v>361</v>
      </c>
      <c r="R237" s="141" t="s">
        <v>362</v>
      </c>
      <c r="S237" s="141" t="s">
        <v>890</v>
      </c>
      <c r="T237" s="141" t="s">
        <v>2928</v>
      </c>
      <c r="U237" s="141" t="s">
        <v>2928</v>
      </c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 t="s">
        <v>355</v>
      </c>
      <c r="AL237" s="141" t="s">
        <v>365</v>
      </c>
      <c r="AM237" s="141" t="s">
        <v>355</v>
      </c>
      <c r="AN237" s="141" t="s">
        <v>660</v>
      </c>
      <c r="AO237" s="141" t="s">
        <v>2928</v>
      </c>
      <c r="AP237" s="141" t="s">
        <v>2929</v>
      </c>
      <c r="AQ237" s="141" t="s">
        <v>2930</v>
      </c>
      <c r="AR237" s="141" t="s">
        <v>491</v>
      </c>
      <c r="AS237" s="141" t="s">
        <v>427</v>
      </c>
      <c r="AT237" s="141"/>
      <c r="AU237" s="141" t="s">
        <v>2961</v>
      </c>
      <c r="AV237" s="141" t="s">
        <v>2638</v>
      </c>
      <c r="AW237" s="141" t="s">
        <v>1817</v>
      </c>
      <c r="AX237" s="141" t="s">
        <v>764</v>
      </c>
      <c r="AY237" s="141" t="s">
        <v>2963</v>
      </c>
      <c r="AZ237" s="141" t="s">
        <v>909</v>
      </c>
      <c r="BA237" s="141" t="s">
        <v>2964</v>
      </c>
      <c r="BB237" s="141" t="s">
        <v>911</v>
      </c>
      <c r="BC237" s="141" t="s">
        <v>2965</v>
      </c>
      <c r="BD237" s="141" t="s">
        <v>903</v>
      </c>
      <c r="BE237" s="141" t="s">
        <v>2966</v>
      </c>
      <c r="BF237" s="141" t="s">
        <v>905</v>
      </c>
      <c r="BG237" s="141" t="s">
        <v>2967</v>
      </c>
      <c r="BH237" s="141" t="s">
        <v>907</v>
      </c>
      <c r="BI237" s="141" t="s">
        <v>2968</v>
      </c>
      <c r="BJ237" s="141" t="s">
        <v>913</v>
      </c>
      <c r="BK237" s="141" t="s">
        <v>2969</v>
      </c>
      <c r="BL237" s="141" t="s">
        <v>383</v>
      </c>
      <c r="BM237" s="141" t="s">
        <v>2970</v>
      </c>
      <c r="BN237" s="141"/>
      <c r="BO237" s="141"/>
      <c r="BP237" s="141"/>
      <c r="BQ237" s="141"/>
      <c r="BR237" s="141"/>
      <c r="BS237" s="141"/>
      <c r="BT237" s="141"/>
      <c r="BU237" s="141"/>
      <c r="BV237" s="141"/>
      <c r="BW237" s="141"/>
      <c r="BX237" s="141"/>
      <c r="BY237" s="141"/>
      <c r="BZ237" s="141"/>
      <c r="CA237" s="141"/>
      <c r="CB237" s="141"/>
      <c r="CC237" s="141"/>
      <c r="CD237" s="141"/>
      <c r="CE237" s="141"/>
      <c r="CF237" s="141"/>
      <c r="CG237" s="141"/>
      <c r="CH237" s="141"/>
      <c r="CI237" s="141"/>
      <c r="CJ237" s="141"/>
      <c r="CK237" s="141"/>
      <c r="CL237" s="141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73"/>
    </row>
    <row r="238" spans="2:105" x14ac:dyDescent="0.25">
      <c r="B238" s="172"/>
      <c r="C238" s="141" t="s">
        <v>2971</v>
      </c>
      <c r="D238" s="141" t="s">
        <v>2972</v>
      </c>
      <c r="E238" s="141" t="s">
        <v>589</v>
      </c>
      <c r="F238" s="141" t="s">
        <v>2912</v>
      </c>
      <c r="G238" s="141"/>
      <c r="H238" s="141" t="s">
        <v>354</v>
      </c>
      <c r="I238" s="141"/>
      <c r="J238" s="141" t="s">
        <v>355</v>
      </c>
      <c r="K238" s="141" t="s">
        <v>510</v>
      </c>
      <c r="L238" s="141" t="s">
        <v>2973</v>
      </c>
      <c r="M238" s="141" t="s">
        <v>2974</v>
      </c>
      <c r="N238" s="141" t="s">
        <v>355</v>
      </c>
      <c r="O238" s="141" t="s">
        <v>359</v>
      </c>
      <c r="P238" s="141" t="s">
        <v>360</v>
      </c>
      <c r="Q238" s="141" t="s">
        <v>361</v>
      </c>
      <c r="R238" s="141" t="s">
        <v>362</v>
      </c>
      <c r="S238" s="141" t="s">
        <v>890</v>
      </c>
      <c r="T238" s="141" t="s">
        <v>2928</v>
      </c>
      <c r="U238" s="141" t="s">
        <v>2928</v>
      </c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 t="s">
        <v>355</v>
      </c>
      <c r="AL238" s="141" t="s">
        <v>365</v>
      </c>
      <c r="AM238" s="141" t="s">
        <v>355</v>
      </c>
      <c r="AN238" s="141" t="s">
        <v>660</v>
      </c>
      <c r="AO238" s="141" t="s">
        <v>2928</v>
      </c>
      <c r="AP238" s="141" t="s">
        <v>2929</v>
      </c>
      <c r="AQ238" s="141" t="s">
        <v>2930</v>
      </c>
      <c r="AR238" s="141" t="s">
        <v>491</v>
      </c>
      <c r="AS238" s="141" t="s">
        <v>442</v>
      </c>
      <c r="AT238" s="141"/>
      <c r="AU238" s="141" t="s">
        <v>2973</v>
      </c>
      <c r="AV238" s="141" t="s">
        <v>2638</v>
      </c>
      <c r="AW238" s="141" t="s">
        <v>2975</v>
      </c>
      <c r="AX238" s="141" t="s">
        <v>764</v>
      </c>
      <c r="AY238" s="141" t="s">
        <v>2976</v>
      </c>
      <c r="AZ238" s="141" t="s">
        <v>909</v>
      </c>
      <c r="BA238" s="141" t="s">
        <v>2977</v>
      </c>
      <c r="BB238" s="141" t="s">
        <v>911</v>
      </c>
      <c r="BC238" s="141" t="s">
        <v>2978</v>
      </c>
      <c r="BD238" s="141" t="s">
        <v>903</v>
      </c>
      <c r="BE238" s="141" t="s">
        <v>2979</v>
      </c>
      <c r="BF238" s="141" t="s">
        <v>905</v>
      </c>
      <c r="BG238" s="141" t="s">
        <v>2980</v>
      </c>
      <c r="BH238" s="141" t="s">
        <v>907</v>
      </c>
      <c r="BI238" s="141" t="s">
        <v>1827</v>
      </c>
      <c r="BJ238" s="141" t="s">
        <v>913</v>
      </c>
      <c r="BK238" s="141" t="s">
        <v>2981</v>
      </c>
      <c r="BL238" s="141" t="s">
        <v>383</v>
      </c>
      <c r="BM238" s="141" t="s">
        <v>2982</v>
      </c>
      <c r="BN238" s="141"/>
      <c r="BO238" s="141"/>
      <c r="BP238" s="141"/>
      <c r="BQ238" s="141"/>
      <c r="BR238" s="141"/>
      <c r="BS238" s="141"/>
      <c r="BT238" s="141"/>
      <c r="BU238" s="141"/>
      <c r="BV238" s="141"/>
      <c r="BW238" s="141"/>
      <c r="BX238" s="141"/>
      <c r="BY238" s="141"/>
      <c r="BZ238" s="141"/>
      <c r="CA238" s="141"/>
      <c r="CB238" s="141"/>
      <c r="CC238" s="141"/>
      <c r="CD238" s="141"/>
      <c r="CE238" s="141"/>
      <c r="CF238" s="141"/>
      <c r="CG238" s="141"/>
      <c r="CH238" s="141"/>
      <c r="CI238" s="141"/>
      <c r="CJ238" s="141"/>
      <c r="CK238" s="141"/>
      <c r="CL238" s="141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73"/>
    </row>
    <row r="239" spans="2:105" x14ac:dyDescent="0.25">
      <c r="B239" s="172"/>
      <c r="C239" s="141" t="s">
        <v>2983</v>
      </c>
      <c r="D239" s="141" t="s">
        <v>2984</v>
      </c>
      <c r="E239" s="141" t="s">
        <v>820</v>
      </c>
      <c r="F239" s="141" t="s">
        <v>2525</v>
      </c>
      <c r="G239" s="141"/>
      <c r="H239" s="141" t="s">
        <v>354</v>
      </c>
      <c r="I239" s="141"/>
      <c r="J239" s="141" t="s">
        <v>355</v>
      </c>
      <c r="K239" s="141" t="s">
        <v>646</v>
      </c>
      <c r="L239" s="141" t="s">
        <v>2985</v>
      </c>
      <c r="M239" s="141" t="s">
        <v>2986</v>
      </c>
      <c r="N239" s="141" t="s">
        <v>355</v>
      </c>
      <c r="O239" s="141" t="s">
        <v>394</v>
      </c>
      <c r="P239" s="141" t="s">
        <v>425</v>
      </c>
      <c r="Q239" s="141" t="s">
        <v>426</v>
      </c>
      <c r="R239" s="141" t="s">
        <v>362</v>
      </c>
      <c r="S239" s="141" t="s">
        <v>890</v>
      </c>
      <c r="T239" s="141" t="s">
        <v>2928</v>
      </c>
      <c r="U239" s="141" t="s">
        <v>2928</v>
      </c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 t="s">
        <v>355</v>
      </c>
      <c r="AL239" s="141" t="s">
        <v>365</v>
      </c>
      <c r="AM239" s="141" t="s">
        <v>355</v>
      </c>
      <c r="AN239" s="141" t="s">
        <v>660</v>
      </c>
      <c r="AO239" s="141" t="s">
        <v>2928</v>
      </c>
      <c r="AP239" s="141" t="s">
        <v>2929</v>
      </c>
      <c r="AQ239" s="141" t="s">
        <v>2930</v>
      </c>
      <c r="AR239" s="141" t="s">
        <v>491</v>
      </c>
      <c r="AS239" s="141" t="s">
        <v>392</v>
      </c>
      <c r="AT239" s="141"/>
      <c r="AU239" s="141" t="s">
        <v>2985</v>
      </c>
      <c r="AV239" s="141" t="s">
        <v>2638</v>
      </c>
      <c r="AW239" s="141" t="s">
        <v>945</v>
      </c>
      <c r="AX239" s="141" t="s">
        <v>764</v>
      </c>
      <c r="AY239" s="141" t="s">
        <v>2987</v>
      </c>
      <c r="AZ239" s="141" t="s">
        <v>909</v>
      </c>
      <c r="BA239" s="141" t="s">
        <v>2944</v>
      </c>
      <c r="BB239" s="141" t="s">
        <v>911</v>
      </c>
      <c r="BC239" s="141" t="s">
        <v>1621</v>
      </c>
      <c r="BD239" s="141" t="s">
        <v>903</v>
      </c>
      <c r="BE239" s="141" t="s">
        <v>1042</v>
      </c>
      <c r="BF239" s="141" t="s">
        <v>905</v>
      </c>
      <c r="BG239" s="141" t="s">
        <v>2988</v>
      </c>
      <c r="BH239" s="141" t="s">
        <v>907</v>
      </c>
      <c r="BI239" s="141" t="s">
        <v>2989</v>
      </c>
      <c r="BJ239" s="141" t="s">
        <v>913</v>
      </c>
      <c r="BK239" s="141" t="s">
        <v>2990</v>
      </c>
      <c r="BL239" s="141" t="s">
        <v>383</v>
      </c>
      <c r="BM239" s="141" t="s">
        <v>2903</v>
      </c>
      <c r="BN239" s="141"/>
      <c r="BO239" s="141"/>
      <c r="BP239" s="141"/>
      <c r="BQ239" s="141"/>
      <c r="BR239" s="141"/>
      <c r="BS239" s="141"/>
      <c r="BT239" s="141"/>
      <c r="BU239" s="141"/>
      <c r="BV239" s="141"/>
      <c r="BW239" s="141"/>
      <c r="BX239" s="141"/>
      <c r="BY239" s="141"/>
      <c r="BZ239" s="141"/>
      <c r="CA239" s="141"/>
      <c r="CB239" s="141"/>
      <c r="CC239" s="141"/>
      <c r="CD239" s="141"/>
      <c r="CE239" s="141"/>
      <c r="CF239" s="141"/>
      <c r="CG239" s="141"/>
      <c r="CH239" s="141"/>
      <c r="CI239" s="141"/>
      <c r="CJ239" s="141"/>
      <c r="CK239" s="141"/>
      <c r="CL239" s="141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73"/>
    </row>
    <row r="240" spans="2:105" x14ac:dyDescent="0.25">
      <c r="B240" s="172"/>
      <c r="C240" s="141" t="s">
        <v>2991</v>
      </c>
      <c r="D240" s="141" t="s">
        <v>2992</v>
      </c>
      <c r="E240" s="141" t="s">
        <v>2993</v>
      </c>
      <c r="F240" s="141" t="s">
        <v>2437</v>
      </c>
      <c r="G240" s="141"/>
      <c r="H240" s="141" t="s">
        <v>354</v>
      </c>
      <c r="I240" s="141"/>
      <c r="J240" s="141" t="s">
        <v>355</v>
      </c>
      <c r="K240" s="141" t="s">
        <v>641</v>
      </c>
      <c r="L240" s="141"/>
      <c r="M240" s="141"/>
      <c r="N240" s="141" t="s">
        <v>370</v>
      </c>
      <c r="O240" s="141" t="s">
        <v>409</v>
      </c>
      <c r="P240" s="141" t="s">
        <v>410</v>
      </c>
      <c r="Q240" s="141" t="s">
        <v>410</v>
      </c>
      <c r="R240" s="141" t="s">
        <v>362</v>
      </c>
      <c r="S240" s="141" t="s">
        <v>890</v>
      </c>
      <c r="T240" s="141" t="s">
        <v>2928</v>
      </c>
      <c r="U240" s="141" t="s">
        <v>2928</v>
      </c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 t="s">
        <v>355</v>
      </c>
      <c r="AL240" s="141" t="s">
        <v>365</v>
      </c>
      <c r="AM240" s="141" t="s">
        <v>355</v>
      </c>
      <c r="AN240" s="141" t="s">
        <v>660</v>
      </c>
      <c r="AO240" s="141" t="s">
        <v>2928</v>
      </c>
      <c r="AP240" s="141" t="s">
        <v>2929</v>
      </c>
      <c r="AQ240" s="141" t="s">
        <v>2930</v>
      </c>
      <c r="AR240" s="141" t="s">
        <v>491</v>
      </c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73"/>
    </row>
    <row r="241" spans="2:105" x14ac:dyDescent="0.25">
      <c r="B241" s="172"/>
      <c r="C241" s="141"/>
      <c r="D241" s="141" t="s">
        <v>2994</v>
      </c>
      <c r="E241" s="141"/>
      <c r="F241" s="141" t="s">
        <v>467</v>
      </c>
      <c r="G241" s="141"/>
      <c r="H241" s="141" t="s">
        <v>354</v>
      </c>
      <c r="I241" s="141"/>
      <c r="J241" s="141" t="s">
        <v>355</v>
      </c>
      <c r="K241" s="141" t="s">
        <v>637</v>
      </c>
      <c r="L241" s="141"/>
      <c r="M241" s="141"/>
      <c r="N241" s="141" t="s">
        <v>355</v>
      </c>
      <c r="O241" s="141"/>
      <c r="P241" s="141"/>
      <c r="Q241" s="141"/>
      <c r="R241" s="141"/>
      <c r="S241" s="141" t="s">
        <v>890</v>
      </c>
      <c r="T241" s="141" t="s">
        <v>2928</v>
      </c>
      <c r="U241" s="141" t="s">
        <v>2928</v>
      </c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 t="s">
        <v>355</v>
      </c>
      <c r="AL241" s="141" t="s">
        <v>365</v>
      </c>
      <c r="AM241" s="141" t="s">
        <v>355</v>
      </c>
      <c r="AN241" s="141" t="s">
        <v>660</v>
      </c>
      <c r="AO241" s="141" t="s">
        <v>2928</v>
      </c>
      <c r="AP241" s="141" t="s">
        <v>2929</v>
      </c>
      <c r="AQ241" s="141" t="s">
        <v>2930</v>
      </c>
      <c r="AR241" s="141" t="s">
        <v>491</v>
      </c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73"/>
    </row>
    <row r="242" spans="2:105" x14ac:dyDescent="0.25">
      <c r="B242" s="172"/>
      <c r="C242" s="141"/>
      <c r="D242" s="141" t="s">
        <v>2995</v>
      </c>
      <c r="E242" s="141"/>
      <c r="F242" s="141" t="s">
        <v>467</v>
      </c>
      <c r="G242" s="141"/>
      <c r="H242" s="141" t="s">
        <v>354</v>
      </c>
      <c r="I242" s="141"/>
      <c r="J242" s="141" t="s">
        <v>355</v>
      </c>
      <c r="K242" s="141" t="s">
        <v>639</v>
      </c>
      <c r="L242" s="141"/>
      <c r="M242" s="141"/>
      <c r="N242" s="141" t="s">
        <v>355</v>
      </c>
      <c r="O242" s="141"/>
      <c r="P242" s="141"/>
      <c r="Q242" s="141"/>
      <c r="R242" s="141"/>
      <c r="S242" s="141" t="s">
        <v>890</v>
      </c>
      <c r="T242" s="141" t="s">
        <v>2928</v>
      </c>
      <c r="U242" s="141" t="s">
        <v>2928</v>
      </c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 t="s">
        <v>355</v>
      </c>
      <c r="AL242" s="141" t="s">
        <v>365</v>
      </c>
      <c r="AM242" s="141" t="s">
        <v>355</v>
      </c>
      <c r="AN242" s="141" t="s">
        <v>660</v>
      </c>
      <c r="AO242" s="141" t="s">
        <v>2928</v>
      </c>
      <c r="AP242" s="141" t="s">
        <v>2929</v>
      </c>
      <c r="AQ242" s="141" t="s">
        <v>2930</v>
      </c>
      <c r="AR242" s="141" t="s">
        <v>491</v>
      </c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  <c r="BN242" s="141"/>
      <c r="BO242" s="141"/>
      <c r="BP242" s="141"/>
      <c r="BQ242" s="141"/>
      <c r="BR242" s="141"/>
      <c r="BS242" s="141"/>
      <c r="BT242" s="141"/>
      <c r="BU242" s="141"/>
      <c r="BV242" s="141"/>
      <c r="BW242" s="141"/>
      <c r="BX242" s="141"/>
      <c r="BY242" s="141"/>
      <c r="BZ242" s="141"/>
      <c r="CA242" s="141"/>
      <c r="CB242" s="141"/>
      <c r="CC242" s="141"/>
      <c r="CD242" s="141"/>
      <c r="CE242" s="141"/>
      <c r="CF242" s="141"/>
      <c r="CG242" s="141"/>
      <c r="CH242" s="141"/>
      <c r="CI242" s="141"/>
      <c r="CJ242" s="141"/>
      <c r="CK242" s="141"/>
      <c r="CL242" s="141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73"/>
    </row>
    <row r="243" spans="2:105" x14ac:dyDescent="0.25">
      <c r="B243" s="172"/>
      <c r="C243" s="141" t="s">
        <v>2996</v>
      </c>
      <c r="D243" s="141" t="s">
        <v>2997</v>
      </c>
      <c r="E243" s="141" t="s">
        <v>2387</v>
      </c>
      <c r="F243" s="141" t="s">
        <v>2998</v>
      </c>
      <c r="G243" s="141"/>
      <c r="H243" s="141" t="s">
        <v>354</v>
      </c>
      <c r="I243" s="141"/>
      <c r="J243" s="141" t="s">
        <v>355</v>
      </c>
      <c r="K243" s="141" t="s">
        <v>672</v>
      </c>
      <c r="L243" s="141" t="s">
        <v>2999</v>
      </c>
      <c r="M243" s="141" t="s">
        <v>3000</v>
      </c>
      <c r="N243" s="141" t="s">
        <v>355</v>
      </c>
      <c r="O243" s="141" t="s">
        <v>359</v>
      </c>
      <c r="P243" s="141" t="s">
        <v>360</v>
      </c>
      <c r="Q243" s="141" t="s">
        <v>361</v>
      </c>
      <c r="R243" s="141" t="s">
        <v>362</v>
      </c>
      <c r="S243" s="141" t="s">
        <v>394</v>
      </c>
      <c r="T243" s="141" t="s">
        <v>3001</v>
      </c>
      <c r="U243" s="141" t="s">
        <v>3001</v>
      </c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 t="s">
        <v>355</v>
      </c>
      <c r="AL243" s="141" t="s">
        <v>365</v>
      </c>
      <c r="AM243" s="141" t="s">
        <v>355</v>
      </c>
      <c r="AN243" s="141" t="s">
        <v>1472</v>
      </c>
      <c r="AO243" s="141" t="s">
        <v>3001</v>
      </c>
      <c r="AP243" s="141" t="s">
        <v>771</v>
      </c>
      <c r="AQ243" s="141" t="s">
        <v>2169</v>
      </c>
      <c r="AR243" s="141" t="s">
        <v>1280</v>
      </c>
      <c r="AS243" s="141" t="s">
        <v>370</v>
      </c>
      <c r="AT243" s="141"/>
      <c r="AU243" s="141" t="s">
        <v>2999</v>
      </c>
      <c r="AV243" s="141" t="s">
        <v>2663</v>
      </c>
      <c r="AW243" s="141" t="s">
        <v>3002</v>
      </c>
      <c r="AX243" s="141" t="s">
        <v>2638</v>
      </c>
      <c r="AY243" s="141" t="s">
        <v>3003</v>
      </c>
      <c r="AZ243" s="141" t="s">
        <v>891</v>
      </c>
      <c r="BA243" s="141" t="s">
        <v>3004</v>
      </c>
      <c r="BB243" s="141" t="s">
        <v>1882</v>
      </c>
      <c r="BC243" s="141" t="s">
        <v>3005</v>
      </c>
      <c r="BD243" s="141" t="s">
        <v>779</v>
      </c>
      <c r="BE243" s="141" t="s">
        <v>1282</v>
      </c>
      <c r="BF243" s="141" t="s">
        <v>780</v>
      </c>
      <c r="BG243" s="141" t="s">
        <v>3006</v>
      </c>
      <c r="BH243" s="141" t="s">
        <v>782</v>
      </c>
      <c r="BI243" s="141" t="s">
        <v>3007</v>
      </c>
      <c r="BJ243" s="141" t="s">
        <v>784</v>
      </c>
      <c r="BK243" s="141" t="s">
        <v>3008</v>
      </c>
      <c r="BL243" s="141" t="s">
        <v>1587</v>
      </c>
      <c r="BM243" s="141" t="s">
        <v>1205</v>
      </c>
      <c r="BN243" s="141" t="s">
        <v>786</v>
      </c>
      <c r="BO243" s="141" t="s">
        <v>1975</v>
      </c>
      <c r="BP243" s="141" t="s">
        <v>913</v>
      </c>
      <c r="BQ243" s="141" t="s">
        <v>1990</v>
      </c>
      <c r="BR243" s="141" t="s">
        <v>383</v>
      </c>
      <c r="BS243" s="141" t="s">
        <v>3009</v>
      </c>
      <c r="BT243" s="141"/>
      <c r="BU243" s="141"/>
      <c r="BV243" s="141"/>
      <c r="BW243" s="141"/>
      <c r="BX243" s="141"/>
      <c r="BY243" s="141"/>
      <c r="BZ243" s="141"/>
      <c r="CA243" s="141"/>
      <c r="CB243" s="141"/>
      <c r="CC243" s="141"/>
      <c r="CD243" s="141"/>
      <c r="CE243" s="141"/>
      <c r="CF243" s="141"/>
      <c r="CG243" s="141"/>
      <c r="CH243" s="141"/>
      <c r="CI243" s="141"/>
      <c r="CJ243" s="141"/>
      <c r="CK243" s="141"/>
      <c r="CL243" s="141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73"/>
    </row>
    <row r="244" spans="2:105" x14ac:dyDescent="0.25">
      <c r="B244" s="172"/>
      <c r="C244" s="141" t="s">
        <v>3010</v>
      </c>
      <c r="D244" s="141" t="s">
        <v>3011</v>
      </c>
      <c r="E244" s="141" t="s">
        <v>2591</v>
      </c>
      <c r="F244" s="141" t="s">
        <v>3012</v>
      </c>
      <c r="G244" s="141"/>
      <c r="H244" s="141" t="s">
        <v>354</v>
      </c>
      <c r="I244" s="141"/>
      <c r="J244" s="141" t="s">
        <v>355</v>
      </c>
      <c r="K244" s="141" t="s">
        <v>591</v>
      </c>
      <c r="L244" s="141" t="s">
        <v>3013</v>
      </c>
      <c r="M244" s="141" t="s">
        <v>3014</v>
      </c>
      <c r="N244" s="141" t="s">
        <v>355</v>
      </c>
      <c r="O244" s="141" t="s">
        <v>370</v>
      </c>
      <c r="P244" s="141" t="s">
        <v>529</v>
      </c>
      <c r="Q244" s="141" t="s">
        <v>530</v>
      </c>
      <c r="R244" s="141" t="s">
        <v>362</v>
      </c>
      <c r="S244" s="141" t="s">
        <v>394</v>
      </c>
      <c r="T244" s="141" t="s">
        <v>3001</v>
      </c>
      <c r="U244" s="141" t="s">
        <v>3001</v>
      </c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 t="s">
        <v>355</v>
      </c>
      <c r="AL244" s="141" t="s">
        <v>365</v>
      </c>
      <c r="AM244" s="141" t="s">
        <v>355</v>
      </c>
      <c r="AN244" s="141" t="s">
        <v>1472</v>
      </c>
      <c r="AO244" s="141" t="s">
        <v>3001</v>
      </c>
      <c r="AP244" s="141" t="s">
        <v>771</v>
      </c>
      <c r="AQ244" s="141" t="s">
        <v>2169</v>
      </c>
      <c r="AR244" s="141" t="s">
        <v>1280</v>
      </c>
      <c r="AS244" s="141" t="s">
        <v>394</v>
      </c>
      <c r="AT244" s="141"/>
      <c r="AU244" s="141" t="s">
        <v>3013</v>
      </c>
      <c r="AV244" s="141" t="s">
        <v>2663</v>
      </c>
      <c r="AW244" s="141" t="s">
        <v>2514</v>
      </c>
      <c r="AX244" s="141" t="s">
        <v>2638</v>
      </c>
      <c r="AY244" s="141" t="s">
        <v>3015</v>
      </c>
      <c r="AZ244" s="141" t="s">
        <v>891</v>
      </c>
      <c r="BA244" s="141" t="s">
        <v>3016</v>
      </c>
      <c r="BB244" s="141" t="s">
        <v>1882</v>
      </c>
      <c r="BC244" s="141" t="s">
        <v>3017</v>
      </c>
      <c r="BD244" s="141" t="s">
        <v>779</v>
      </c>
      <c r="BE244" s="141" t="s">
        <v>716</v>
      </c>
      <c r="BF244" s="141" t="s">
        <v>780</v>
      </c>
      <c r="BG244" s="141" t="s">
        <v>3018</v>
      </c>
      <c r="BH244" s="141" t="s">
        <v>782</v>
      </c>
      <c r="BI244" s="141" t="s">
        <v>3019</v>
      </c>
      <c r="BJ244" s="141" t="s">
        <v>784</v>
      </c>
      <c r="BK244" s="141" t="s">
        <v>1753</v>
      </c>
      <c r="BL244" s="141" t="s">
        <v>1587</v>
      </c>
      <c r="BM244" s="141" t="s">
        <v>3020</v>
      </c>
      <c r="BN244" s="141" t="s">
        <v>786</v>
      </c>
      <c r="BO244" s="141" t="s">
        <v>650</v>
      </c>
      <c r="BP244" s="141" t="s">
        <v>913</v>
      </c>
      <c r="BQ244" s="141" t="s">
        <v>3021</v>
      </c>
      <c r="BR244" s="141" t="s">
        <v>383</v>
      </c>
      <c r="BS244" s="141" t="s">
        <v>1285</v>
      </c>
      <c r="BT244" s="141"/>
      <c r="BU244" s="141"/>
      <c r="BV244" s="141"/>
      <c r="BW244" s="141"/>
      <c r="BX244" s="141"/>
      <c r="BY244" s="141"/>
      <c r="BZ244" s="141"/>
      <c r="CA244" s="141"/>
      <c r="CB244" s="141"/>
      <c r="CC244" s="141"/>
      <c r="CD244" s="141"/>
      <c r="CE244" s="141"/>
      <c r="CF244" s="141"/>
      <c r="CG244" s="141"/>
      <c r="CH244" s="141"/>
      <c r="CI244" s="141"/>
      <c r="CJ244" s="141"/>
      <c r="CK244" s="141"/>
      <c r="CL244" s="141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73"/>
    </row>
    <row r="245" spans="2:105" x14ac:dyDescent="0.25">
      <c r="B245" s="172"/>
      <c r="C245" s="141" t="s">
        <v>3022</v>
      </c>
      <c r="D245" s="141" t="s">
        <v>409</v>
      </c>
      <c r="E245" s="141" t="s">
        <v>3023</v>
      </c>
      <c r="F245" s="141" t="s">
        <v>3024</v>
      </c>
      <c r="G245" s="141"/>
      <c r="H245" s="141" t="s">
        <v>354</v>
      </c>
      <c r="I245" s="141"/>
      <c r="J245" s="141" t="s">
        <v>355</v>
      </c>
      <c r="K245" s="141" t="s">
        <v>730</v>
      </c>
      <c r="L245" s="141" t="s">
        <v>1758</v>
      </c>
      <c r="M245" s="141" t="s">
        <v>3025</v>
      </c>
      <c r="N245" s="141" t="s">
        <v>355</v>
      </c>
      <c r="O245" s="141" t="s">
        <v>370</v>
      </c>
      <c r="P245" s="141" t="s">
        <v>529</v>
      </c>
      <c r="Q245" s="141" t="s">
        <v>530</v>
      </c>
      <c r="R245" s="141" t="s">
        <v>362</v>
      </c>
      <c r="S245" s="141" t="s">
        <v>394</v>
      </c>
      <c r="T245" s="141" t="s">
        <v>3001</v>
      </c>
      <c r="U245" s="141" t="s">
        <v>3001</v>
      </c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 t="s">
        <v>355</v>
      </c>
      <c r="AL245" s="141" t="s">
        <v>365</v>
      </c>
      <c r="AM245" s="141" t="s">
        <v>355</v>
      </c>
      <c r="AN245" s="141" t="s">
        <v>1472</v>
      </c>
      <c r="AO245" s="141" t="s">
        <v>3001</v>
      </c>
      <c r="AP245" s="141" t="s">
        <v>771</v>
      </c>
      <c r="AQ245" s="141" t="s">
        <v>2169</v>
      </c>
      <c r="AR245" s="141" t="s">
        <v>1280</v>
      </c>
      <c r="AS245" s="141" t="s">
        <v>359</v>
      </c>
      <c r="AT245" s="141"/>
      <c r="AU245" s="141" t="s">
        <v>1758</v>
      </c>
      <c r="AV245" s="141" t="s">
        <v>2663</v>
      </c>
      <c r="AW245" s="141" t="s">
        <v>3026</v>
      </c>
      <c r="AX245" s="141" t="s">
        <v>2638</v>
      </c>
      <c r="AY245" s="141" t="s">
        <v>2540</v>
      </c>
      <c r="AZ245" s="141" t="s">
        <v>891</v>
      </c>
      <c r="BA245" s="141" t="s">
        <v>3027</v>
      </c>
      <c r="BB245" s="141" t="s">
        <v>1882</v>
      </c>
      <c r="BC245" s="141" t="s">
        <v>3028</v>
      </c>
      <c r="BD245" s="141" t="s">
        <v>779</v>
      </c>
      <c r="BE245" s="141" t="s">
        <v>1012</v>
      </c>
      <c r="BF245" s="141" t="s">
        <v>780</v>
      </c>
      <c r="BG245" s="141" t="s">
        <v>3029</v>
      </c>
      <c r="BH245" s="141" t="s">
        <v>782</v>
      </c>
      <c r="BI245" s="141" t="s">
        <v>3030</v>
      </c>
      <c r="BJ245" s="141" t="s">
        <v>784</v>
      </c>
      <c r="BK245" s="141" t="s">
        <v>737</v>
      </c>
      <c r="BL245" s="141" t="s">
        <v>1587</v>
      </c>
      <c r="BM245" s="141" t="s">
        <v>3031</v>
      </c>
      <c r="BN245" s="141" t="s">
        <v>786</v>
      </c>
      <c r="BO245" s="141" t="s">
        <v>3032</v>
      </c>
      <c r="BP245" s="141" t="s">
        <v>913</v>
      </c>
      <c r="BQ245" s="141" t="s">
        <v>2416</v>
      </c>
      <c r="BR245" s="141" t="s">
        <v>383</v>
      </c>
      <c r="BS245" s="141" t="s">
        <v>1476</v>
      </c>
      <c r="BT245" s="141"/>
      <c r="BU245" s="141"/>
      <c r="BV245" s="141"/>
      <c r="BW245" s="141"/>
      <c r="BX245" s="141"/>
      <c r="BY245" s="141"/>
      <c r="BZ245" s="141"/>
      <c r="CA245" s="141"/>
      <c r="CB245" s="141"/>
      <c r="CC245" s="141"/>
      <c r="CD245" s="141"/>
      <c r="CE245" s="141"/>
      <c r="CF245" s="141"/>
      <c r="CG245" s="141"/>
      <c r="CH245" s="141"/>
      <c r="CI245" s="141"/>
      <c r="CJ245" s="141"/>
      <c r="CK245" s="141"/>
      <c r="CL245" s="141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73"/>
    </row>
    <row r="246" spans="2:105" x14ac:dyDescent="0.25">
      <c r="B246" s="172"/>
      <c r="C246" s="141" t="s">
        <v>3033</v>
      </c>
      <c r="D246" s="141" t="s">
        <v>901</v>
      </c>
      <c r="E246" s="141" t="s">
        <v>2191</v>
      </c>
      <c r="F246" s="141" t="s">
        <v>2485</v>
      </c>
      <c r="G246" s="141"/>
      <c r="H246" s="141" t="s">
        <v>354</v>
      </c>
      <c r="I246" s="141"/>
      <c r="J246" s="141" t="s">
        <v>355</v>
      </c>
      <c r="K246" s="141" t="s">
        <v>1097</v>
      </c>
      <c r="L246" s="141" t="s">
        <v>3034</v>
      </c>
      <c r="M246" s="141" t="s">
        <v>3035</v>
      </c>
      <c r="N246" s="141" t="s">
        <v>355</v>
      </c>
      <c r="O246" s="141" t="s">
        <v>427</v>
      </c>
      <c r="P246" s="141" t="s">
        <v>455</v>
      </c>
      <c r="Q246" s="141" t="s">
        <v>456</v>
      </c>
      <c r="R246" s="141" t="s">
        <v>362</v>
      </c>
      <c r="S246" s="141" t="s">
        <v>394</v>
      </c>
      <c r="T246" s="141" t="s">
        <v>3001</v>
      </c>
      <c r="U246" s="141" t="s">
        <v>3001</v>
      </c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 t="s">
        <v>355</v>
      </c>
      <c r="AL246" s="141" t="s">
        <v>365</v>
      </c>
      <c r="AM246" s="141" t="s">
        <v>355</v>
      </c>
      <c r="AN246" s="141" t="s">
        <v>1472</v>
      </c>
      <c r="AO246" s="141" t="s">
        <v>3001</v>
      </c>
      <c r="AP246" s="141" t="s">
        <v>771</v>
      </c>
      <c r="AQ246" s="141" t="s">
        <v>2169</v>
      </c>
      <c r="AR246" s="141" t="s">
        <v>1280</v>
      </c>
      <c r="AS246" s="141" t="s">
        <v>427</v>
      </c>
      <c r="AT246" s="141"/>
      <c r="AU246" s="141" t="s">
        <v>3034</v>
      </c>
      <c r="AV246" s="141" t="s">
        <v>2663</v>
      </c>
      <c r="AW246" s="141" t="s">
        <v>3036</v>
      </c>
      <c r="AX246" s="141" t="s">
        <v>2638</v>
      </c>
      <c r="AY246" s="141" t="s">
        <v>3037</v>
      </c>
      <c r="AZ246" s="141" t="s">
        <v>891</v>
      </c>
      <c r="BA246" s="141" t="s">
        <v>3038</v>
      </c>
      <c r="BB246" s="141" t="s">
        <v>1882</v>
      </c>
      <c r="BC246" s="141" t="s">
        <v>380</v>
      </c>
      <c r="BD246" s="141" t="s">
        <v>779</v>
      </c>
      <c r="BE246" s="141" t="s">
        <v>3039</v>
      </c>
      <c r="BF246" s="141" t="s">
        <v>780</v>
      </c>
      <c r="BG246" s="141" t="s">
        <v>3040</v>
      </c>
      <c r="BH246" s="141" t="s">
        <v>782</v>
      </c>
      <c r="BI246" s="141" t="s">
        <v>2648</v>
      </c>
      <c r="BJ246" s="141" t="s">
        <v>784</v>
      </c>
      <c r="BK246" s="141" t="s">
        <v>3041</v>
      </c>
      <c r="BL246" s="141" t="s">
        <v>1587</v>
      </c>
      <c r="BM246" s="141" t="s">
        <v>3042</v>
      </c>
      <c r="BN246" s="141" t="s">
        <v>786</v>
      </c>
      <c r="BO246" s="141" t="s">
        <v>3043</v>
      </c>
      <c r="BP246" s="141" t="s">
        <v>913</v>
      </c>
      <c r="BQ246" s="141" t="s">
        <v>3044</v>
      </c>
      <c r="BR246" s="141" t="s">
        <v>383</v>
      </c>
      <c r="BS246" s="141" t="s">
        <v>3045</v>
      </c>
      <c r="BT246" s="141"/>
      <c r="BU246" s="141"/>
      <c r="BV246" s="141"/>
      <c r="BW246" s="141"/>
      <c r="BX246" s="141"/>
      <c r="BY246" s="141"/>
      <c r="BZ246" s="141"/>
      <c r="CA246" s="141"/>
      <c r="CB246" s="141"/>
      <c r="CC246" s="141"/>
      <c r="CD246" s="141"/>
      <c r="CE246" s="141"/>
      <c r="CF246" s="141"/>
      <c r="CG246" s="141"/>
      <c r="CH246" s="141"/>
      <c r="CI246" s="141"/>
      <c r="CJ246" s="141"/>
      <c r="CK246" s="141"/>
      <c r="CL246" s="141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73"/>
    </row>
    <row r="247" spans="2:105" x14ac:dyDescent="0.25">
      <c r="B247" s="172"/>
      <c r="C247" s="141" t="s">
        <v>3046</v>
      </c>
      <c r="D247" s="141" t="s">
        <v>779</v>
      </c>
      <c r="E247" s="141" t="s">
        <v>3047</v>
      </c>
      <c r="F247" s="141" t="s">
        <v>2511</v>
      </c>
      <c r="G247" s="141"/>
      <c r="H247" s="141" t="s">
        <v>354</v>
      </c>
      <c r="I247" s="141"/>
      <c r="J247" s="141" t="s">
        <v>355</v>
      </c>
      <c r="K247" s="141" t="s">
        <v>1007</v>
      </c>
      <c r="L247" s="141" t="s">
        <v>2328</v>
      </c>
      <c r="M247" s="141" t="s">
        <v>3048</v>
      </c>
      <c r="N247" s="141" t="s">
        <v>355</v>
      </c>
      <c r="O247" s="141" t="s">
        <v>486</v>
      </c>
      <c r="P247" s="141" t="s">
        <v>1631</v>
      </c>
      <c r="Q247" s="141" t="s">
        <v>1632</v>
      </c>
      <c r="R247" s="141" t="s">
        <v>362</v>
      </c>
      <c r="S247" s="141" t="s">
        <v>394</v>
      </c>
      <c r="T247" s="141" t="s">
        <v>3001</v>
      </c>
      <c r="U247" s="141" t="s">
        <v>3001</v>
      </c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 t="s">
        <v>355</v>
      </c>
      <c r="AL247" s="141" t="s">
        <v>365</v>
      </c>
      <c r="AM247" s="141" t="s">
        <v>355</v>
      </c>
      <c r="AN247" s="141" t="s">
        <v>1472</v>
      </c>
      <c r="AO247" s="141" t="s">
        <v>3001</v>
      </c>
      <c r="AP247" s="141" t="s">
        <v>771</v>
      </c>
      <c r="AQ247" s="141" t="s">
        <v>2169</v>
      </c>
      <c r="AR247" s="141" t="s">
        <v>1280</v>
      </c>
      <c r="AS247" s="141" t="s">
        <v>442</v>
      </c>
      <c r="AT247" s="141"/>
      <c r="AU247" s="141" t="s">
        <v>2328</v>
      </c>
      <c r="AV247" s="141" t="s">
        <v>2663</v>
      </c>
      <c r="AW247" s="141" t="s">
        <v>3049</v>
      </c>
      <c r="AX247" s="141" t="s">
        <v>2638</v>
      </c>
      <c r="AY247" s="141" t="s">
        <v>3050</v>
      </c>
      <c r="AZ247" s="141" t="s">
        <v>891</v>
      </c>
      <c r="BA247" s="141" t="s">
        <v>398</v>
      </c>
      <c r="BB247" s="141" t="s">
        <v>1882</v>
      </c>
      <c r="BC247" s="141" t="s">
        <v>1637</v>
      </c>
      <c r="BD247" s="141" t="s">
        <v>779</v>
      </c>
      <c r="BE247" s="141" t="s">
        <v>3051</v>
      </c>
      <c r="BF247" s="141" t="s">
        <v>780</v>
      </c>
      <c r="BG247" s="141" t="s">
        <v>3052</v>
      </c>
      <c r="BH247" s="141" t="s">
        <v>782</v>
      </c>
      <c r="BI247" s="141" t="s">
        <v>1059</v>
      </c>
      <c r="BJ247" s="141" t="s">
        <v>784</v>
      </c>
      <c r="BK247" s="141" t="s">
        <v>3053</v>
      </c>
      <c r="BL247" s="141" t="s">
        <v>1587</v>
      </c>
      <c r="BM247" s="141" t="s">
        <v>3054</v>
      </c>
      <c r="BN247" s="141" t="s">
        <v>786</v>
      </c>
      <c r="BO247" s="141" t="s">
        <v>3055</v>
      </c>
      <c r="BP247" s="141" t="s">
        <v>913</v>
      </c>
      <c r="BQ247" s="141" t="s">
        <v>3056</v>
      </c>
      <c r="BR247" s="141" t="s">
        <v>383</v>
      </c>
      <c r="BS247" s="141" t="s">
        <v>3057</v>
      </c>
      <c r="BT247" s="141"/>
      <c r="BU247" s="141"/>
      <c r="BV247" s="141"/>
      <c r="BW247" s="141"/>
      <c r="BX247" s="141"/>
      <c r="BY247" s="141"/>
      <c r="BZ247" s="141"/>
      <c r="CA247" s="141"/>
      <c r="CB247" s="141"/>
      <c r="CC247" s="141"/>
      <c r="CD247" s="141"/>
      <c r="CE247" s="141"/>
      <c r="CF247" s="141"/>
      <c r="CG247" s="141"/>
      <c r="CH247" s="141"/>
      <c r="CI247" s="141"/>
      <c r="CJ247" s="141"/>
      <c r="CK247" s="141"/>
      <c r="CL247" s="141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73"/>
    </row>
    <row r="248" spans="2:105" x14ac:dyDescent="0.25">
      <c r="B248" s="172"/>
      <c r="C248" s="141" t="s">
        <v>3058</v>
      </c>
      <c r="D248" s="141" t="s">
        <v>3059</v>
      </c>
      <c r="E248" s="141" t="s">
        <v>1221</v>
      </c>
      <c r="F248" s="141" t="s">
        <v>3060</v>
      </c>
      <c r="G248" s="141"/>
      <c r="H248" s="141" t="s">
        <v>354</v>
      </c>
      <c r="I248" s="141"/>
      <c r="J248" s="141" t="s">
        <v>355</v>
      </c>
      <c r="K248" s="141" t="s">
        <v>641</v>
      </c>
      <c r="L248" s="141" t="s">
        <v>3061</v>
      </c>
      <c r="M248" s="141" t="s">
        <v>3062</v>
      </c>
      <c r="N248" s="141" t="s">
        <v>355</v>
      </c>
      <c r="O248" s="141" t="s">
        <v>370</v>
      </c>
      <c r="P248" s="141" t="s">
        <v>529</v>
      </c>
      <c r="Q248" s="141" t="s">
        <v>530</v>
      </c>
      <c r="R248" s="141" t="s">
        <v>362</v>
      </c>
      <c r="S248" s="141" t="s">
        <v>394</v>
      </c>
      <c r="T248" s="141" t="s">
        <v>3001</v>
      </c>
      <c r="U248" s="141" t="s">
        <v>3001</v>
      </c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 t="s">
        <v>355</v>
      </c>
      <c r="AL248" s="141" t="s">
        <v>365</v>
      </c>
      <c r="AM248" s="141" t="s">
        <v>355</v>
      </c>
      <c r="AN248" s="141" t="s">
        <v>1472</v>
      </c>
      <c r="AO248" s="141" t="s">
        <v>3001</v>
      </c>
      <c r="AP248" s="141" t="s">
        <v>771</v>
      </c>
      <c r="AQ248" s="141" t="s">
        <v>2169</v>
      </c>
      <c r="AR248" s="141" t="s">
        <v>1280</v>
      </c>
      <c r="AS248" s="141" t="s">
        <v>392</v>
      </c>
      <c r="AT248" s="141"/>
      <c r="AU248" s="141" t="s">
        <v>3061</v>
      </c>
      <c r="AV248" s="141" t="s">
        <v>2663</v>
      </c>
      <c r="AW248" s="141" t="s">
        <v>2221</v>
      </c>
      <c r="AX248" s="141" t="s">
        <v>2638</v>
      </c>
      <c r="AY248" s="141" t="s">
        <v>3063</v>
      </c>
      <c r="AZ248" s="141" t="s">
        <v>891</v>
      </c>
      <c r="BA248" s="141" t="s">
        <v>3064</v>
      </c>
      <c r="BB248" s="141" t="s">
        <v>1882</v>
      </c>
      <c r="BC248" s="141" t="s">
        <v>3065</v>
      </c>
      <c r="BD248" s="141" t="s">
        <v>779</v>
      </c>
      <c r="BE248" s="141" t="s">
        <v>3066</v>
      </c>
      <c r="BF248" s="141" t="s">
        <v>780</v>
      </c>
      <c r="BG248" s="141" t="s">
        <v>3067</v>
      </c>
      <c r="BH248" s="141" t="s">
        <v>782</v>
      </c>
      <c r="BI248" s="141" t="s">
        <v>3068</v>
      </c>
      <c r="BJ248" s="141" t="s">
        <v>784</v>
      </c>
      <c r="BK248" s="141" t="s">
        <v>828</v>
      </c>
      <c r="BL248" s="141" t="s">
        <v>1587</v>
      </c>
      <c r="BM248" s="141" t="s">
        <v>1358</v>
      </c>
      <c r="BN248" s="141" t="s">
        <v>786</v>
      </c>
      <c r="BO248" s="141" t="s">
        <v>3069</v>
      </c>
      <c r="BP248" s="141" t="s">
        <v>913</v>
      </c>
      <c r="BQ248" s="141" t="s">
        <v>2444</v>
      </c>
      <c r="BR248" s="141" t="s">
        <v>383</v>
      </c>
      <c r="BS248" s="141" t="s">
        <v>3070</v>
      </c>
      <c r="BT248" s="141"/>
      <c r="BU248" s="141"/>
      <c r="BV248" s="141"/>
      <c r="BW248" s="141"/>
      <c r="BX248" s="141"/>
      <c r="BY248" s="141"/>
      <c r="BZ248" s="141"/>
      <c r="CA248" s="141"/>
      <c r="CB248" s="141"/>
      <c r="CC248" s="141"/>
      <c r="CD248" s="141"/>
      <c r="CE248" s="141"/>
      <c r="CF248" s="141"/>
      <c r="CG248" s="141"/>
      <c r="CH248" s="141"/>
      <c r="CI248" s="141"/>
      <c r="CJ248" s="141"/>
      <c r="CK248" s="141"/>
      <c r="CL248" s="141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73"/>
    </row>
    <row r="249" spans="2:105" x14ac:dyDescent="0.25">
      <c r="B249" s="172"/>
      <c r="C249" s="141" t="s">
        <v>3071</v>
      </c>
      <c r="D249" s="141" t="s">
        <v>3072</v>
      </c>
      <c r="E249" s="141" t="s">
        <v>765</v>
      </c>
      <c r="F249" s="141" t="s">
        <v>3073</v>
      </c>
      <c r="G249" s="141"/>
      <c r="H249" s="141" t="s">
        <v>354</v>
      </c>
      <c r="I249" s="141"/>
      <c r="J249" s="141" t="s">
        <v>355</v>
      </c>
      <c r="K249" s="141" t="s">
        <v>1030</v>
      </c>
      <c r="L249" s="141" t="s">
        <v>3074</v>
      </c>
      <c r="M249" s="141" t="s">
        <v>3075</v>
      </c>
      <c r="N249" s="141" t="s">
        <v>355</v>
      </c>
      <c r="O249" s="141" t="s">
        <v>394</v>
      </c>
      <c r="P249" s="141" t="s">
        <v>425</v>
      </c>
      <c r="Q249" s="141" t="s">
        <v>426</v>
      </c>
      <c r="R249" s="141" t="s">
        <v>362</v>
      </c>
      <c r="S249" s="141" t="s">
        <v>394</v>
      </c>
      <c r="T249" s="141" t="s">
        <v>3001</v>
      </c>
      <c r="U249" s="141" t="s">
        <v>3001</v>
      </c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 t="s">
        <v>355</v>
      </c>
      <c r="AL249" s="141" t="s">
        <v>365</v>
      </c>
      <c r="AM249" s="141" t="s">
        <v>355</v>
      </c>
      <c r="AN249" s="141" t="s">
        <v>1472</v>
      </c>
      <c r="AO249" s="141" t="s">
        <v>3001</v>
      </c>
      <c r="AP249" s="141" t="s">
        <v>771</v>
      </c>
      <c r="AQ249" s="141" t="s">
        <v>2169</v>
      </c>
      <c r="AR249" s="141" t="s">
        <v>1280</v>
      </c>
      <c r="AS249" s="141" t="s">
        <v>369</v>
      </c>
      <c r="AT249" s="141"/>
      <c r="AU249" s="141" t="s">
        <v>3074</v>
      </c>
      <c r="AV249" s="141" t="s">
        <v>2663</v>
      </c>
      <c r="AW249" s="141" t="s">
        <v>3076</v>
      </c>
      <c r="AX249" s="141" t="s">
        <v>2638</v>
      </c>
      <c r="AY249" s="141" t="s">
        <v>3077</v>
      </c>
      <c r="AZ249" s="141" t="s">
        <v>891</v>
      </c>
      <c r="BA249" s="141" t="s">
        <v>1034</v>
      </c>
      <c r="BB249" s="141" t="s">
        <v>1882</v>
      </c>
      <c r="BC249" s="141" t="s">
        <v>1949</v>
      </c>
      <c r="BD249" s="141" t="s">
        <v>779</v>
      </c>
      <c r="BE249" s="141" t="s">
        <v>2934</v>
      </c>
      <c r="BF249" s="141" t="s">
        <v>780</v>
      </c>
      <c r="BG249" s="141" t="s">
        <v>706</v>
      </c>
      <c r="BH249" s="141" t="s">
        <v>782</v>
      </c>
      <c r="BI249" s="141" t="s">
        <v>2779</v>
      </c>
      <c r="BJ249" s="141" t="s">
        <v>784</v>
      </c>
      <c r="BK249" s="141" t="s">
        <v>3078</v>
      </c>
      <c r="BL249" s="141" t="s">
        <v>1587</v>
      </c>
      <c r="BM249" s="141" t="s">
        <v>3079</v>
      </c>
      <c r="BN249" s="141" t="s">
        <v>786</v>
      </c>
      <c r="BO249" s="141" t="s">
        <v>2587</v>
      </c>
      <c r="BP249" s="141" t="s">
        <v>913</v>
      </c>
      <c r="BQ249" s="141" t="s">
        <v>3080</v>
      </c>
      <c r="BR249" s="141" t="s">
        <v>383</v>
      </c>
      <c r="BS249" s="141" t="s">
        <v>3081</v>
      </c>
      <c r="BT249" s="141"/>
      <c r="BU249" s="141"/>
      <c r="BV249" s="141"/>
      <c r="BW249" s="141"/>
      <c r="BX249" s="141"/>
      <c r="BY249" s="141"/>
      <c r="BZ249" s="141"/>
      <c r="CA249" s="141"/>
      <c r="CB249" s="141"/>
      <c r="CC249" s="141"/>
      <c r="CD249" s="141"/>
      <c r="CE249" s="141"/>
      <c r="CF249" s="141"/>
      <c r="CG249" s="141"/>
      <c r="CH249" s="141"/>
      <c r="CI249" s="141"/>
      <c r="CJ249" s="141"/>
      <c r="CK249" s="141"/>
      <c r="CL249" s="141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73"/>
    </row>
    <row r="250" spans="2:105" x14ac:dyDescent="0.25">
      <c r="B250" s="172"/>
      <c r="C250" s="141" t="s">
        <v>3082</v>
      </c>
      <c r="D250" s="141" t="s">
        <v>890</v>
      </c>
      <c r="E250" s="141" t="s">
        <v>3083</v>
      </c>
      <c r="F250" s="141" t="s">
        <v>2437</v>
      </c>
      <c r="G250" s="141"/>
      <c r="H250" s="141" t="s">
        <v>354</v>
      </c>
      <c r="I250" s="141"/>
      <c r="J250" s="141" t="s">
        <v>355</v>
      </c>
      <c r="K250" s="141" t="s">
        <v>701</v>
      </c>
      <c r="L250" s="141"/>
      <c r="M250" s="141"/>
      <c r="N250" s="141" t="s">
        <v>370</v>
      </c>
      <c r="O250" s="141" t="s">
        <v>392</v>
      </c>
      <c r="P250" s="141" t="s">
        <v>393</v>
      </c>
      <c r="Q250" s="141" t="s">
        <v>393</v>
      </c>
      <c r="R250" s="141" t="s">
        <v>362</v>
      </c>
      <c r="S250" s="141" t="s">
        <v>394</v>
      </c>
      <c r="T250" s="141" t="s">
        <v>3001</v>
      </c>
      <c r="U250" s="141" t="s">
        <v>3001</v>
      </c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 t="s">
        <v>355</v>
      </c>
      <c r="AL250" s="141" t="s">
        <v>365</v>
      </c>
      <c r="AM250" s="141" t="s">
        <v>355</v>
      </c>
      <c r="AN250" s="141" t="s">
        <v>1472</v>
      </c>
      <c r="AO250" s="141" t="s">
        <v>3001</v>
      </c>
      <c r="AP250" s="141" t="s">
        <v>771</v>
      </c>
      <c r="AQ250" s="141" t="s">
        <v>2169</v>
      </c>
      <c r="AR250" s="141" t="s">
        <v>1280</v>
      </c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41"/>
      <c r="BS250" s="141"/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73"/>
    </row>
    <row r="251" spans="2:105" x14ac:dyDescent="0.25">
      <c r="B251" s="172"/>
      <c r="C251" s="141"/>
      <c r="D251" s="141" t="s">
        <v>3084</v>
      </c>
      <c r="E251" s="141"/>
      <c r="F251" s="141" t="s">
        <v>467</v>
      </c>
      <c r="G251" s="141"/>
      <c r="H251" s="141" t="s">
        <v>354</v>
      </c>
      <c r="I251" s="141"/>
      <c r="J251" s="141" t="s">
        <v>355</v>
      </c>
      <c r="K251" s="141" t="s">
        <v>921</v>
      </c>
      <c r="L251" s="141"/>
      <c r="M251" s="141"/>
      <c r="N251" s="141" t="s">
        <v>355</v>
      </c>
      <c r="O251" s="141"/>
      <c r="P251" s="141"/>
      <c r="Q251" s="141"/>
      <c r="R251" s="141"/>
      <c r="S251" s="141" t="s">
        <v>394</v>
      </c>
      <c r="T251" s="141" t="s">
        <v>3001</v>
      </c>
      <c r="U251" s="141" t="s">
        <v>3001</v>
      </c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 t="s">
        <v>355</v>
      </c>
      <c r="AL251" s="141" t="s">
        <v>365</v>
      </c>
      <c r="AM251" s="141" t="s">
        <v>355</v>
      </c>
      <c r="AN251" s="141" t="s">
        <v>1472</v>
      </c>
      <c r="AO251" s="141" t="s">
        <v>3001</v>
      </c>
      <c r="AP251" s="141" t="s">
        <v>771</v>
      </c>
      <c r="AQ251" s="141" t="s">
        <v>2169</v>
      </c>
      <c r="AR251" s="141" t="s">
        <v>1280</v>
      </c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  <c r="BN251" s="141"/>
      <c r="BO251" s="141"/>
      <c r="BP251" s="141"/>
      <c r="BQ251" s="141"/>
      <c r="BR251" s="141"/>
      <c r="BS251" s="141"/>
      <c r="BT251" s="141"/>
      <c r="BU251" s="141"/>
      <c r="BV251" s="141"/>
      <c r="BW251" s="141"/>
      <c r="BX251" s="141"/>
      <c r="BY251" s="141"/>
      <c r="BZ251" s="141"/>
      <c r="CA251" s="141"/>
      <c r="CB251" s="141"/>
      <c r="CC251" s="141"/>
      <c r="CD251" s="141"/>
      <c r="CE251" s="141"/>
      <c r="CF251" s="141"/>
      <c r="CG251" s="141"/>
      <c r="CH251" s="141"/>
      <c r="CI251" s="141"/>
      <c r="CJ251" s="141"/>
      <c r="CK251" s="141"/>
      <c r="CL251" s="141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73"/>
    </row>
    <row r="252" spans="2:105" x14ac:dyDescent="0.25">
      <c r="B252" s="172"/>
      <c r="C252" s="141"/>
      <c r="D252" s="141" t="s">
        <v>3085</v>
      </c>
      <c r="E252" s="141"/>
      <c r="F252" s="141" t="s">
        <v>467</v>
      </c>
      <c r="G252" s="141"/>
      <c r="H252" s="141" t="s">
        <v>354</v>
      </c>
      <c r="I252" s="141"/>
      <c r="J252" s="141" t="s">
        <v>355</v>
      </c>
      <c r="K252" s="141" t="s">
        <v>1118</v>
      </c>
      <c r="L252" s="141"/>
      <c r="M252" s="141"/>
      <c r="N252" s="141" t="s">
        <v>355</v>
      </c>
      <c r="O252" s="141"/>
      <c r="P252" s="141"/>
      <c r="Q252" s="141"/>
      <c r="R252" s="141"/>
      <c r="S252" s="141" t="s">
        <v>394</v>
      </c>
      <c r="T252" s="141" t="s">
        <v>3001</v>
      </c>
      <c r="U252" s="141" t="s">
        <v>3001</v>
      </c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 t="s">
        <v>355</v>
      </c>
      <c r="AL252" s="141" t="s">
        <v>365</v>
      </c>
      <c r="AM252" s="141" t="s">
        <v>355</v>
      </c>
      <c r="AN252" s="141" t="s">
        <v>1472</v>
      </c>
      <c r="AO252" s="141" t="s">
        <v>3001</v>
      </c>
      <c r="AP252" s="141" t="s">
        <v>771</v>
      </c>
      <c r="AQ252" s="141" t="s">
        <v>2169</v>
      </c>
      <c r="AR252" s="141" t="s">
        <v>1280</v>
      </c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  <c r="BN252" s="141"/>
      <c r="BO252" s="141"/>
      <c r="BP252" s="141"/>
      <c r="BQ252" s="141"/>
      <c r="BR252" s="141"/>
      <c r="BS252" s="141"/>
      <c r="BT252" s="141"/>
      <c r="BU252" s="141"/>
      <c r="BV252" s="141"/>
      <c r="BW252" s="141"/>
      <c r="BX252" s="141"/>
      <c r="BY252" s="141"/>
      <c r="BZ252" s="141"/>
      <c r="CA252" s="141"/>
      <c r="CB252" s="141"/>
      <c r="CC252" s="141"/>
      <c r="CD252" s="141"/>
      <c r="CE252" s="141"/>
      <c r="CF252" s="141"/>
      <c r="CG252" s="141"/>
      <c r="CH252" s="141"/>
      <c r="CI252" s="141"/>
      <c r="CJ252" s="141"/>
      <c r="CK252" s="141"/>
      <c r="CL252" s="141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73"/>
    </row>
    <row r="253" spans="2:105" x14ac:dyDescent="0.25">
      <c r="B253" s="172"/>
      <c r="C253" s="141" t="s">
        <v>3086</v>
      </c>
      <c r="D253" s="141" t="s">
        <v>366</v>
      </c>
      <c r="E253" s="141" t="s">
        <v>3087</v>
      </c>
      <c r="F253" s="141" t="s">
        <v>3088</v>
      </c>
      <c r="G253" s="141"/>
      <c r="H253" s="141" t="s">
        <v>354</v>
      </c>
      <c r="I253" s="141"/>
      <c r="J253" s="141" t="s">
        <v>355</v>
      </c>
      <c r="K253" s="141" t="s">
        <v>639</v>
      </c>
      <c r="L253" s="141"/>
      <c r="M253" s="141"/>
      <c r="N253" s="141" t="s">
        <v>370</v>
      </c>
      <c r="O253" s="141" t="s">
        <v>392</v>
      </c>
      <c r="P253" s="141" t="s">
        <v>393</v>
      </c>
      <c r="Q253" s="141" t="s">
        <v>393</v>
      </c>
      <c r="R253" s="141" t="s">
        <v>362</v>
      </c>
      <c r="S253" s="141" t="s">
        <v>394</v>
      </c>
      <c r="T253" s="141" t="s">
        <v>3001</v>
      </c>
      <c r="U253" s="141" t="s">
        <v>3001</v>
      </c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 t="s">
        <v>355</v>
      </c>
      <c r="AL253" s="141" t="s">
        <v>365</v>
      </c>
      <c r="AM253" s="141" t="s">
        <v>355</v>
      </c>
      <c r="AN253" s="141" t="s">
        <v>1472</v>
      </c>
      <c r="AO253" s="141" t="s">
        <v>3001</v>
      </c>
      <c r="AP253" s="141" t="s">
        <v>771</v>
      </c>
      <c r="AQ253" s="141" t="s">
        <v>2169</v>
      </c>
      <c r="AR253" s="141" t="s">
        <v>1280</v>
      </c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  <c r="BN253" s="141"/>
      <c r="BO253" s="141"/>
      <c r="BP253" s="141"/>
      <c r="BQ253" s="141"/>
      <c r="BR253" s="141"/>
      <c r="BS253" s="141"/>
      <c r="BT253" s="141"/>
      <c r="BU253" s="141"/>
      <c r="BV253" s="141"/>
      <c r="BW253" s="141"/>
      <c r="BX253" s="141"/>
      <c r="BY253" s="141"/>
      <c r="BZ253" s="141"/>
      <c r="CA253" s="141"/>
      <c r="CB253" s="141"/>
      <c r="CC253" s="141"/>
      <c r="CD253" s="141"/>
      <c r="CE253" s="141"/>
      <c r="CF253" s="141"/>
      <c r="CG253" s="141"/>
      <c r="CH253" s="141"/>
      <c r="CI253" s="141"/>
      <c r="CJ253" s="141"/>
      <c r="CK253" s="141"/>
      <c r="CL253" s="141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73"/>
    </row>
    <row r="254" spans="2:105" x14ac:dyDescent="0.25">
      <c r="B254" s="172"/>
      <c r="C254" s="141" t="s">
        <v>3089</v>
      </c>
      <c r="D254" s="141" t="s">
        <v>3090</v>
      </c>
      <c r="E254" s="141" t="s">
        <v>3091</v>
      </c>
      <c r="F254" s="141" t="s">
        <v>2602</v>
      </c>
      <c r="G254" s="141"/>
      <c r="H254" s="141" t="s">
        <v>354</v>
      </c>
      <c r="I254" s="141"/>
      <c r="J254" s="141" t="s">
        <v>355</v>
      </c>
      <c r="K254" s="141" t="s">
        <v>1365</v>
      </c>
      <c r="L254" s="141" t="s">
        <v>3092</v>
      </c>
      <c r="M254" s="141" t="s">
        <v>3093</v>
      </c>
      <c r="N254" s="141" t="s">
        <v>355</v>
      </c>
      <c r="O254" s="141" t="s">
        <v>486</v>
      </c>
      <c r="P254" s="141" t="s">
        <v>1631</v>
      </c>
      <c r="Q254" s="141" t="s">
        <v>1632</v>
      </c>
      <c r="R254" s="141" t="s">
        <v>362</v>
      </c>
      <c r="S254" s="141" t="s">
        <v>1340</v>
      </c>
      <c r="T254" s="141" t="s">
        <v>3094</v>
      </c>
      <c r="U254" s="141" t="s">
        <v>3094</v>
      </c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 t="s">
        <v>355</v>
      </c>
      <c r="AL254" s="141" t="s">
        <v>365</v>
      </c>
      <c r="AM254" s="141" t="s">
        <v>355</v>
      </c>
      <c r="AN254" s="141" t="s">
        <v>2663</v>
      </c>
      <c r="AO254" s="141" t="s">
        <v>3094</v>
      </c>
      <c r="AP254" s="141" t="s">
        <v>2428</v>
      </c>
      <c r="AQ254" s="141" t="s">
        <v>849</v>
      </c>
      <c r="AR254" s="141" t="s">
        <v>409</v>
      </c>
      <c r="AS254" s="141" t="s">
        <v>370</v>
      </c>
      <c r="AT254" s="141"/>
      <c r="AU254" s="141" t="s">
        <v>3092</v>
      </c>
      <c r="AV254" s="141" t="s">
        <v>500</v>
      </c>
      <c r="AW254" s="141" t="s">
        <v>1997</v>
      </c>
      <c r="AX254" s="141" t="s">
        <v>658</v>
      </c>
      <c r="AY254" s="141" t="s">
        <v>3095</v>
      </c>
      <c r="AZ254" s="141" t="s">
        <v>911</v>
      </c>
      <c r="BA254" s="141" t="s">
        <v>899</v>
      </c>
      <c r="BB254" s="141" t="s">
        <v>498</v>
      </c>
      <c r="BC254" s="141" t="s">
        <v>3018</v>
      </c>
      <c r="BD254" s="141" t="s">
        <v>502</v>
      </c>
      <c r="BE254" s="141" t="s">
        <v>3096</v>
      </c>
      <c r="BF254" s="141" t="s">
        <v>901</v>
      </c>
      <c r="BG254" s="141" t="s">
        <v>3097</v>
      </c>
      <c r="BH254" s="141" t="s">
        <v>788</v>
      </c>
      <c r="BI254" s="141" t="s">
        <v>3098</v>
      </c>
      <c r="BJ254" s="141" t="s">
        <v>383</v>
      </c>
      <c r="BK254" s="141" t="s">
        <v>3099</v>
      </c>
      <c r="BL254" s="141"/>
      <c r="BM254" s="141"/>
      <c r="BN254" s="141"/>
      <c r="BO254" s="141"/>
      <c r="BP254" s="141"/>
      <c r="BQ254" s="141"/>
      <c r="BR254" s="141"/>
      <c r="BS254" s="141"/>
      <c r="BT254" s="141"/>
      <c r="BU254" s="141"/>
      <c r="BV254" s="141"/>
      <c r="BW254" s="141"/>
      <c r="BX254" s="141"/>
      <c r="BY254" s="141"/>
      <c r="BZ254" s="141"/>
      <c r="CA254" s="141"/>
      <c r="CB254" s="141"/>
      <c r="CC254" s="141"/>
      <c r="CD254" s="141"/>
      <c r="CE254" s="141"/>
      <c r="CF254" s="141"/>
      <c r="CG254" s="141"/>
      <c r="CH254" s="141"/>
      <c r="CI254" s="141"/>
      <c r="CJ254" s="141"/>
      <c r="CK254" s="141"/>
      <c r="CL254" s="141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73"/>
    </row>
    <row r="255" spans="2:105" x14ac:dyDescent="0.25">
      <c r="B255" s="172"/>
      <c r="C255" s="141" t="s">
        <v>3100</v>
      </c>
      <c r="D255" s="141" t="s">
        <v>3101</v>
      </c>
      <c r="E255" s="141" t="s">
        <v>3102</v>
      </c>
      <c r="F255" s="141" t="s">
        <v>3024</v>
      </c>
      <c r="G255" s="141"/>
      <c r="H255" s="141" t="s">
        <v>354</v>
      </c>
      <c r="I255" s="141"/>
      <c r="J255" s="141" t="s">
        <v>355</v>
      </c>
      <c r="K255" s="141" t="s">
        <v>1455</v>
      </c>
      <c r="L255" s="141" t="s">
        <v>3103</v>
      </c>
      <c r="M255" s="141" t="s">
        <v>3104</v>
      </c>
      <c r="N255" s="141" t="s">
        <v>355</v>
      </c>
      <c r="O255" s="141" t="s">
        <v>370</v>
      </c>
      <c r="P255" s="141" t="s">
        <v>529</v>
      </c>
      <c r="Q255" s="141" t="s">
        <v>530</v>
      </c>
      <c r="R255" s="141" t="s">
        <v>362</v>
      </c>
      <c r="S255" s="141" t="s">
        <v>1340</v>
      </c>
      <c r="T255" s="141" t="s">
        <v>3094</v>
      </c>
      <c r="U255" s="141" t="s">
        <v>3094</v>
      </c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 t="s">
        <v>355</v>
      </c>
      <c r="AL255" s="141" t="s">
        <v>365</v>
      </c>
      <c r="AM255" s="141" t="s">
        <v>355</v>
      </c>
      <c r="AN255" s="141" t="s">
        <v>2663</v>
      </c>
      <c r="AO255" s="141" t="s">
        <v>3094</v>
      </c>
      <c r="AP255" s="141" t="s">
        <v>2428</v>
      </c>
      <c r="AQ255" s="141" t="s">
        <v>849</v>
      </c>
      <c r="AR255" s="141" t="s">
        <v>409</v>
      </c>
      <c r="AS255" s="141" t="s">
        <v>394</v>
      </c>
      <c r="AT255" s="141"/>
      <c r="AU255" s="141" t="s">
        <v>3103</v>
      </c>
      <c r="AV255" s="141" t="s">
        <v>500</v>
      </c>
      <c r="AW255" s="141" t="s">
        <v>747</v>
      </c>
      <c r="AX255" s="141" t="s">
        <v>658</v>
      </c>
      <c r="AY255" s="141" t="s">
        <v>2927</v>
      </c>
      <c r="AZ255" s="141" t="s">
        <v>911</v>
      </c>
      <c r="BA255" s="141" t="s">
        <v>3105</v>
      </c>
      <c r="BB255" s="141" t="s">
        <v>498</v>
      </c>
      <c r="BC255" s="141" t="s">
        <v>3106</v>
      </c>
      <c r="BD255" s="141" t="s">
        <v>502</v>
      </c>
      <c r="BE255" s="141" t="s">
        <v>3107</v>
      </c>
      <c r="BF255" s="141" t="s">
        <v>901</v>
      </c>
      <c r="BG255" s="141" t="s">
        <v>3108</v>
      </c>
      <c r="BH255" s="141" t="s">
        <v>788</v>
      </c>
      <c r="BI255" s="141" t="s">
        <v>3109</v>
      </c>
      <c r="BJ255" s="141" t="s">
        <v>383</v>
      </c>
      <c r="BK255" s="141" t="s">
        <v>3110</v>
      </c>
      <c r="BL255" s="141"/>
      <c r="BM255" s="141"/>
      <c r="BN255" s="141"/>
      <c r="BO255" s="141"/>
      <c r="BP255" s="141"/>
      <c r="BQ255" s="141"/>
      <c r="BR255" s="141"/>
      <c r="BS255" s="141"/>
      <c r="BT255" s="141"/>
      <c r="BU255" s="141"/>
      <c r="BV255" s="141"/>
      <c r="BW255" s="141"/>
      <c r="BX255" s="141"/>
      <c r="BY255" s="141"/>
      <c r="BZ255" s="141"/>
      <c r="CA255" s="141"/>
      <c r="CB255" s="141"/>
      <c r="CC255" s="141"/>
      <c r="CD255" s="141"/>
      <c r="CE255" s="141"/>
      <c r="CF255" s="141"/>
      <c r="CG255" s="141"/>
      <c r="CH255" s="141"/>
      <c r="CI255" s="141"/>
      <c r="CJ255" s="141"/>
      <c r="CK255" s="141"/>
      <c r="CL255" s="141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73"/>
    </row>
    <row r="256" spans="2:105" x14ac:dyDescent="0.25">
      <c r="B256" s="172"/>
      <c r="C256" s="141" t="s">
        <v>3111</v>
      </c>
      <c r="D256" s="141" t="s">
        <v>3112</v>
      </c>
      <c r="E256" s="141" t="s">
        <v>420</v>
      </c>
      <c r="F256" s="141" t="s">
        <v>3060</v>
      </c>
      <c r="G256" s="141"/>
      <c r="H256" s="141" t="s">
        <v>354</v>
      </c>
      <c r="I256" s="141"/>
      <c r="J256" s="141" t="s">
        <v>355</v>
      </c>
      <c r="K256" s="141" t="s">
        <v>1154</v>
      </c>
      <c r="L256" s="141" t="s">
        <v>3113</v>
      </c>
      <c r="M256" s="141" t="s">
        <v>3114</v>
      </c>
      <c r="N256" s="141" t="s">
        <v>355</v>
      </c>
      <c r="O256" s="141" t="s">
        <v>394</v>
      </c>
      <c r="P256" s="141" t="s">
        <v>425</v>
      </c>
      <c r="Q256" s="141" t="s">
        <v>426</v>
      </c>
      <c r="R256" s="141" t="s">
        <v>362</v>
      </c>
      <c r="S256" s="141" t="s">
        <v>1340</v>
      </c>
      <c r="T256" s="141" t="s">
        <v>3094</v>
      </c>
      <c r="U256" s="141" t="s">
        <v>3094</v>
      </c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 t="s">
        <v>355</v>
      </c>
      <c r="AL256" s="141" t="s">
        <v>365</v>
      </c>
      <c r="AM256" s="141" t="s">
        <v>355</v>
      </c>
      <c r="AN256" s="141" t="s">
        <v>2663</v>
      </c>
      <c r="AO256" s="141" t="s">
        <v>3094</v>
      </c>
      <c r="AP256" s="141" t="s">
        <v>2428</v>
      </c>
      <c r="AQ256" s="141" t="s">
        <v>849</v>
      </c>
      <c r="AR256" s="141" t="s">
        <v>409</v>
      </c>
      <c r="AS256" s="141" t="s">
        <v>359</v>
      </c>
      <c r="AT256" s="141"/>
      <c r="AU256" s="141" t="s">
        <v>3113</v>
      </c>
      <c r="AV256" s="141" t="s">
        <v>500</v>
      </c>
      <c r="AW256" s="141" t="s">
        <v>495</v>
      </c>
      <c r="AX256" s="141" t="s">
        <v>658</v>
      </c>
      <c r="AY256" s="141" t="s">
        <v>778</v>
      </c>
      <c r="AZ256" s="141" t="s">
        <v>911</v>
      </c>
      <c r="BA256" s="141" t="s">
        <v>991</v>
      </c>
      <c r="BB256" s="141" t="s">
        <v>498</v>
      </c>
      <c r="BC256" s="141" t="s">
        <v>3115</v>
      </c>
      <c r="BD256" s="141" t="s">
        <v>502</v>
      </c>
      <c r="BE256" s="141" t="s">
        <v>3116</v>
      </c>
      <c r="BF256" s="141" t="s">
        <v>901</v>
      </c>
      <c r="BG256" s="141" t="s">
        <v>3117</v>
      </c>
      <c r="BH256" s="141" t="s">
        <v>788</v>
      </c>
      <c r="BI256" s="141" t="s">
        <v>3044</v>
      </c>
      <c r="BJ256" s="141" t="s">
        <v>383</v>
      </c>
      <c r="BK256" s="141" t="s">
        <v>3118</v>
      </c>
      <c r="BL256" s="141"/>
      <c r="BM256" s="141"/>
      <c r="BN256" s="141"/>
      <c r="BO256" s="141"/>
      <c r="BP256" s="141"/>
      <c r="BQ256" s="141"/>
      <c r="BR256" s="141"/>
      <c r="BS256" s="141"/>
      <c r="BT256" s="141"/>
      <c r="BU256" s="141"/>
      <c r="BV256" s="141"/>
      <c r="BW256" s="141"/>
      <c r="BX256" s="141"/>
      <c r="BY256" s="141"/>
      <c r="BZ256" s="141"/>
      <c r="CA256" s="141"/>
      <c r="CB256" s="141"/>
      <c r="CC256" s="141"/>
      <c r="CD256" s="141"/>
      <c r="CE256" s="141"/>
      <c r="CF256" s="141"/>
      <c r="CG256" s="141"/>
      <c r="CH256" s="141"/>
      <c r="CI256" s="141"/>
      <c r="CJ256" s="141"/>
      <c r="CK256" s="141"/>
      <c r="CL256" s="141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73"/>
    </row>
    <row r="257" spans="2:105" x14ac:dyDescent="0.25">
      <c r="B257" s="172"/>
      <c r="C257" s="141" t="s">
        <v>3119</v>
      </c>
      <c r="D257" s="141" t="s">
        <v>381</v>
      </c>
      <c r="E257" s="141" t="s">
        <v>3120</v>
      </c>
      <c r="F257" s="141" t="s">
        <v>3121</v>
      </c>
      <c r="G257" s="141"/>
      <c r="H257" s="141" t="s">
        <v>354</v>
      </c>
      <c r="I257" s="141"/>
      <c r="J257" s="141" t="s">
        <v>355</v>
      </c>
      <c r="K257" s="141" t="s">
        <v>1322</v>
      </c>
      <c r="L257" s="141" t="s">
        <v>3122</v>
      </c>
      <c r="M257" s="141" t="s">
        <v>3123</v>
      </c>
      <c r="N257" s="141" t="s">
        <v>355</v>
      </c>
      <c r="O257" s="141" t="s">
        <v>370</v>
      </c>
      <c r="P257" s="141" t="s">
        <v>529</v>
      </c>
      <c r="Q257" s="141" t="s">
        <v>530</v>
      </c>
      <c r="R257" s="141" t="s">
        <v>362</v>
      </c>
      <c r="S257" s="141" t="s">
        <v>1340</v>
      </c>
      <c r="T257" s="141" t="s">
        <v>3094</v>
      </c>
      <c r="U257" s="141" t="s">
        <v>3094</v>
      </c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 t="s">
        <v>355</v>
      </c>
      <c r="AL257" s="141" t="s">
        <v>365</v>
      </c>
      <c r="AM257" s="141" t="s">
        <v>355</v>
      </c>
      <c r="AN257" s="141" t="s">
        <v>2663</v>
      </c>
      <c r="AO257" s="141" t="s">
        <v>3094</v>
      </c>
      <c r="AP257" s="141" t="s">
        <v>2428</v>
      </c>
      <c r="AQ257" s="141" t="s">
        <v>849</v>
      </c>
      <c r="AR257" s="141" t="s">
        <v>409</v>
      </c>
      <c r="AS257" s="141" t="s">
        <v>427</v>
      </c>
      <c r="AT257" s="141"/>
      <c r="AU257" s="141" t="s">
        <v>3122</v>
      </c>
      <c r="AV257" s="141" t="s">
        <v>500</v>
      </c>
      <c r="AW257" s="141" t="s">
        <v>3124</v>
      </c>
      <c r="AX257" s="141" t="s">
        <v>658</v>
      </c>
      <c r="AY257" s="141" t="s">
        <v>2273</v>
      </c>
      <c r="AZ257" s="141" t="s">
        <v>911</v>
      </c>
      <c r="BA257" s="141" t="s">
        <v>1241</v>
      </c>
      <c r="BB257" s="141" t="s">
        <v>498</v>
      </c>
      <c r="BC257" s="141" t="s">
        <v>3125</v>
      </c>
      <c r="BD257" s="141" t="s">
        <v>502</v>
      </c>
      <c r="BE257" s="141" t="s">
        <v>3126</v>
      </c>
      <c r="BF257" s="141" t="s">
        <v>901</v>
      </c>
      <c r="BG257" s="141" t="s">
        <v>3127</v>
      </c>
      <c r="BH257" s="141" t="s">
        <v>788</v>
      </c>
      <c r="BI257" s="141" t="s">
        <v>2051</v>
      </c>
      <c r="BJ257" s="141" t="s">
        <v>383</v>
      </c>
      <c r="BK257" s="141" t="s">
        <v>885</v>
      </c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73"/>
    </row>
    <row r="258" spans="2:105" x14ac:dyDescent="0.25">
      <c r="B258" s="172"/>
      <c r="C258" s="141" t="s">
        <v>3128</v>
      </c>
      <c r="D258" s="141" t="s">
        <v>3129</v>
      </c>
      <c r="E258" s="141" t="s">
        <v>2387</v>
      </c>
      <c r="F258" s="141" t="s">
        <v>3130</v>
      </c>
      <c r="G258" s="141"/>
      <c r="H258" s="141" t="s">
        <v>354</v>
      </c>
      <c r="I258" s="141"/>
      <c r="J258" s="141" t="s">
        <v>355</v>
      </c>
      <c r="K258" s="141" t="s">
        <v>1484</v>
      </c>
      <c r="L258" s="141" t="s">
        <v>3131</v>
      </c>
      <c r="M258" s="141" t="s">
        <v>2979</v>
      </c>
      <c r="N258" s="141" t="s">
        <v>355</v>
      </c>
      <c r="O258" s="141" t="s">
        <v>394</v>
      </c>
      <c r="P258" s="141" t="s">
        <v>425</v>
      </c>
      <c r="Q258" s="141" t="s">
        <v>426</v>
      </c>
      <c r="R258" s="141" t="s">
        <v>362</v>
      </c>
      <c r="S258" s="141" t="s">
        <v>1340</v>
      </c>
      <c r="T258" s="141" t="s">
        <v>3094</v>
      </c>
      <c r="U258" s="141" t="s">
        <v>3094</v>
      </c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 t="s">
        <v>355</v>
      </c>
      <c r="AL258" s="141" t="s">
        <v>365</v>
      </c>
      <c r="AM258" s="141" t="s">
        <v>355</v>
      </c>
      <c r="AN258" s="141" t="s">
        <v>2663</v>
      </c>
      <c r="AO258" s="141" t="s">
        <v>3094</v>
      </c>
      <c r="AP258" s="141" t="s">
        <v>2428</v>
      </c>
      <c r="AQ258" s="141" t="s">
        <v>849</v>
      </c>
      <c r="AR258" s="141" t="s">
        <v>409</v>
      </c>
      <c r="AS258" s="141" t="s">
        <v>442</v>
      </c>
      <c r="AT258" s="141"/>
      <c r="AU258" s="141" t="s">
        <v>3131</v>
      </c>
      <c r="AV258" s="141" t="s">
        <v>500</v>
      </c>
      <c r="AW258" s="141" t="s">
        <v>3132</v>
      </c>
      <c r="AX258" s="141" t="s">
        <v>658</v>
      </c>
      <c r="AY258" s="141" t="s">
        <v>2680</v>
      </c>
      <c r="AZ258" s="141" t="s">
        <v>911</v>
      </c>
      <c r="BA258" s="141" t="s">
        <v>1187</v>
      </c>
      <c r="BB258" s="141" t="s">
        <v>498</v>
      </c>
      <c r="BC258" s="141" t="s">
        <v>3133</v>
      </c>
      <c r="BD258" s="141" t="s">
        <v>502</v>
      </c>
      <c r="BE258" s="141" t="s">
        <v>3134</v>
      </c>
      <c r="BF258" s="141" t="s">
        <v>901</v>
      </c>
      <c r="BG258" s="141" t="s">
        <v>1328</v>
      </c>
      <c r="BH258" s="141" t="s">
        <v>788</v>
      </c>
      <c r="BI258" s="141" t="s">
        <v>3135</v>
      </c>
      <c r="BJ258" s="141" t="s">
        <v>383</v>
      </c>
      <c r="BK258" s="141" t="s">
        <v>3136</v>
      </c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73"/>
    </row>
    <row r="259" spans="2:105" x14ac:dyDescent="0.25">
      <c r="B259" s="172"/>
      <c r="C259" s="141" t="s">
        <v>3137</v>
      </c>
      <c r="D259" s="141" t="s">
        <v>3138</v>
      </c>
      <c r="E259" s="141" t="s">
        <v>3139</v>
      </c>
      <c r="F259" s="141" t="s">
        <v>3140</v>
      </c>
      <c r="G259" s="141"/>
      <c r="H259" s="141" t="s">
        <v>354</v>
      </c>
      <c r="I259" s="141"/>
      <c r="J259" s="141" t="s">
        <v>355</v>
      </c>
      <c r="K259" s="141" t="s">
        <v>389</v>
      </c>
      <c r="L259" s="141" t="s">
        <v>3141</v>
      </c>
      <c r="M259" s="141" t="s">
        <v>3142</v>
      </c>
      <c r="N259" s="141" t="s">
        <v>355</v>
      </c>
      <c r="O259" s="141" t="s">
        <v>370</v>
      </c>
      <c r="P259" s="141" t="s">
        <v>529</v>
      </c>
      <c r="Q259" s="141" t="s">
        <v>530</v>
      </c>
      <c r="R259" s="141" t="s">
        <v>362</v>
      </c>
      <c r="S259" s="141" t="s">
        <v>1340</v>
      </c>
      <c r="T259" s="141" t="s">
        <v>3094</v>
      </c>
      <c r="U259" s="141" t="s">
        <v>3094</v>
      </c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 t="s">
        <v>355</v>
      </c>
      <c r="AL259" s="141" t="s">
        <v>365</v>
      </c>
      <c r="AM259" s="141" t="s">
        <v>355</v>
      </c>
      <c r="AN259" s="141" t="s">
        <v>2663</v>
      </c>
      <c r="AO259" s="141" t="s">
        <v>3094</v>
      </c>
      <c r="AP259" s="141" t="s">
        <v>2428</v>
      </c>
      <c r="AQ259" s="141" t="s">
        <v>849</v>
      </c>
      <c r="AR259" s="141" t="s">
        <v>409</v>
      </c>
      <c r="AS259" s="141" t="s">
        <v>392</v>
      </c>
      <c r="AT259" s="141"/>
      <c r="AU259" s="141" t="s">
        <v>3141</v>
      </c>
      <c r="AV259" s="141" t="s">
        <v>500</v>
      </c>
      <c r="AW259" s="141" t="s">
        <v>2817</v>
      </c>
      <c r="AX259" s="141" t="s">
        <v>658</v>
      </c>
      <c r="AY259" s="141" t="s">
        <v>3143</v>
      </c>
      <c r="AZ259" s="141" t="s">
        <v>911</v>
      </c>
      <c r="BA259" s="141" t="s">
        <v>3144</v>
      </c>
      <c r="BB259" s="141" t="s">
        <v>498</v>
      </c>
      <c r="BC259" s="141" t="s">
        <v>3145</v>
      </c>
      <c r="BD259" s="141" t="s">
        <v>502</v>
      </c>
      <c r="BE259" s="141" t="s">
        <v>3146</v>
      </c>
      <c r="BF259" s="141" t="s">
        <v>901</v>
      </c>
      <c r="BG259" s="141" t="s">
        <v>3147</v>
      </c>
      <c r="BH259" s="141" t="s">
        <v>788</v>
      </c>
      <c r="BI259" s="141" t="s">
        <v>554</v>
      </c>
      <c r="BJ259" s="141" t="s">
        <v>383</v>
      </c>
      <c r="BK259" s="141" t="s">
        <v>3148</v>
      </c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73"/>
    </row>
    <row r="260" spans="2:105" x14ac:dyDescent="0.25">
      <c r="B260" s="172"/>
      <c r="C260" s="141" t="s">
        <v>3149</v>
      </c>
      <c r="D260" s="141" t="s">
        <v>3150</v>
      </c>
      <c r="E260" s="141" t="s">
        <v>3151</v>
      </c>
      <c r="F260" s="141" t="s">
        <v>3152</v>
      </c>
      <c r="G260" s="141"/>
      <c r="H260" s="141" t="s">
        <v>354</v>
      </c>
      <c r="I260" s="141"/>
      <c r="J260" s="141" t="s">
        <v>355</v>
      </c>
      <c r="K260" s="141" t="s">
        <v>879</v>
      </c>
      <c r="L260" s="141" t="s">
        <v>3153</v>
      </c>
      <c r="M260" s="141" t="s">
        <v>3154</v>
      </c>
      <c r="N260" s="141" t="s">
        <v>355</v>
      </c>
      <c r="O260" s="141" t="s">
        <v>370</v>
      </c>
      <c r="P260" s="141" t="s">
        <v>529</v>
      </c>
      <c r="Q260" s="141" t="s">
        <v>530</v>
      </c>
      <c r="R260" s="141" t="s">
        <v>362</v>
      </c>
      <c r="S260" s="141" t="s">
        <v>1340</v>
      </c>
      <c r="T260" s="141" t="s">
        <v>3094</v>
      </c>
      <c r="U260" s="141" t="s">
        <v>3094</v>
      </c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 t="s">
        <v>355</v>
      </c>
      <c r="AL260" s="141" t="s">
        <v>365</v>
      </c>
      <c r="AM260" s="141" t="s">
        <v>355</v>
      </c>
      <c r="AN260" s="141" t="s">
        <v>2663</v>
      </c>
      <c r="AO260" s="141" t="s">
        <v>3094</v>
      </c>
      <c r="AP260" s="141" t="s">
        <v>2428</v>
      </c>
      <c r="AQ260" s="141" t="s">
        <v>849</v>
      </c>
      <c r="AR260" s="141" t="s">
        <v>409</v>
      </c>
      <c r="AS260" s="141" t="s">
        <v>369</v>
      </c>
      <c r="AT260" s="141"/>
      <c r="AU260" s="141" t="s">
        <v>3153</v>
      </c>
      <c r="AV260" s="141" t="s">
        <v>500</v>
      </c>
      <c r="AW260" s="141" t="s">
        <v>3019</v>
      </c>
      <c r="AX260" s="141" t="s">
        <v>658</v>
      </c>
      <c r="AY260" s="141" t="s">
        <v>3155</v>
      </c>
      <c r="AZ260" s="141" t="s">
        <v>911</v>
      </c>
      <c r="BA260" s="141" t="s">
        <v>689</v>
      </c>
      <c r="BB260" s="141" t="s">
        <v>498</v>
      </c>
      <c r="BC260" s="141" t="s">
        <v>3156</v>
      </c>
      <c r="BD260" s="141" t="s">
        <v>502</v>
      </c>
      <c r="BE260" s="141" t="s">
        <v>3157</v>
      </c>
      <c r="BF260" s="141" t="s">
        <v>901</v>
      </c>
      <c r="BG260" s="141" t="s">
        <v>3158</v>
      </c>
      <c r="BH260" s="141" t="s">
        <v>788</v>
      </c>
      <c r="BI260" s="141" t="s">
        <v>3159</v>
      </c>
      <c r="BJ260" s="141" t="s">
        <v>383</v>
      </c>
      <c r="BK260" s="141" t="s">
        <v>3160</v>
      </c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73"/>
    </row>
    <row r="261" spans="2:105" x14ac:dyDescent="0.25">
      <c r="B261" s="172"/>
      <c r="C261" s="141" t="s">
        <v>3161</v>
      </c>
      <c r="D261" s="141" t="s">
        <v>3162</v>
      </c>
      <c r="E261" s="141" t="s">
        <v>3163</v>
      </c>
      <c r="F261" s="141" t="s">
        <v>3164</v>
      </c>
      <c r="G261" s="141"/>
      <c r="H261" s="141" t="s">
        <v>354</v>
      </c>
      <c r="I261" s="141"/>
      <c r="J261" s="141" t="s">
        <v>355</v>
      </c>
      <c r="K261" s="141" t="s">
        <v>1469</v>
      </c>
      <c r="L261" s="141" t="s">
        <v>2459</v>
      </c>
      <c r="M261" s="141" t="s">
        <v>3165</v>
      </c>
      <c r="N261" s="141" t="s">
        <v>355</v>
      </c>
      <c r="O261" s="141" t="s">
        <v>394</v>
      </c>
      <c r="P261" s="141" t="s">
        <v>425</v>
      </c>
      <c r="Q261" s="141" t="s">
        <v>426</v>
      </c>
      <c r="R261" s="141" t="s">
        <v>362</v>
      </c>
      <c r="S261" s="141" t="s">
        <v>1340</v>
      </c>
      <c r="T261" s="141" t="s">
        <v>3094</v>
      </c>
      <c r="U261" s="141" t="s">
        <v>3094</v>
      </c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 t="s">
        <v>355</v>
      </c>
      <c r="AL261" s="141" t="s">
        <v>365</v>
      </c>
      <c r="AM261" s="141" t="s">
        <v>355</v>
      </c>
      <c r="AN261" s="141" t="s">
        <v>2663</v>
      </c>
      <c r="AO261" s="141" t="s">
        <v>3094</v>
      </c>
      <c r="AP261" s="141" t="s">
        <v>2428</v>
      </c>
      <c r="AQ261" s="141" t="s">
        <v>849</v>
      </c>
      <c r="AR261" s="141" t="s">
        <v>409</v>
      </c>
      <c r="AS261" s="141" t="s">
        <v>409</v>
      </c>
      <c r="AT261" s="141"/>
      <c r="AU261" s="141" t="s">
        <v>2459</v>
      </c>
      <c r="AV261" s="141" t="s">
        <v>500</v>
      </c>
      <c r="AW261" s="141" t="s">
        <v>3166</v>
      </c>
      <c r="AX261" s="141" t="s">
        <v>658</v>
      </c>
      <c r="AY261" s="141" t="s">
        <v>2015</v>
      </c>
      <c r="AZ261" s="141" t="s">
        <v>911</v>
      </c>
      <c r="BA261" s="141" t="s">
        <v>3167</v>
      </c>
      <c r="BB261" s="141" t="s">
        <v>498</v>
      </c>
      <c r="BC261" s="141" t="s">
        <v>3168</v>
      </c>
      <c r="BD261" s="141" t="s">
        <v>502</v>
      </c>
      <c r="BE261" s="141" t="s">
        <v>3169</v>
      </c>
      <c r="BF261" s="141" t="s">
        <v>901</v>
      </c>
      <c r="BG261" s="141" t="s">
        <v>2138</v>
      </c>
      <c r="BH261" s="141" t="s">
        <v>788</v>
      </c>
      <c r="BI261" s="141" t="s">
        <v>3170</v>
      </c>
      <c r="BJ261" s="141" t="s">
        <v>383</v>
      </c>
      <c r="BK261" s="141" t="s">
        <v>3171</v>
      </c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73"/>
    </row>
    <row r="262" spans="2:105" x14ac:dyDescent="0.25">
      <c r="B262" s="172"/>
      <c r="C262" s="141" t="s">
        <v>3172</v>
      </c>
      <c r="D262" s="141" t="s">
        <v>658</v>
      </c>
      <c r="E262" s="141" t="s">
        <v>881</v>
      </c>
      <c r="F262" s="141" t="s">
        <v>3173</v>
      </c>
      <c r="G262" s="141"/>
      <c r="H262" s="141" t="s">
        <v>354</v>
      </c>
      <c r="I262" s="141"/>
      <c r="J262" s="141" t="s">
        <v>355</v>
      </c>
      <c r="K262" s="141" t="s">
        <v>1548</v>
      </c>
      <c r="L262" s="141" t="s">
        <v>3174</v>
      </c>
      <c r="M262" s="141" t="s">
        <v>1045</v>
      </c>
      <c r="N262" s="141" t="s">
        <v>355</v>
      </c>
      <c r="O262" s="141" t="s">
        <v>394</v>
      </c>
      <c r="P262" s="141" t="s">
        <v>425</v>
      </c>
      <c r="Q262" s="141" t="s">
        <v>426</v>
      </c>
      <c r="R262" s="141" t="s">
        <v>362</v>
      </c>
      <c r="S262" s="141" t="s">
        <v>1340</v>
      </c>
      <c r="T262" s="141" t="s">
        <v>3094</v>
      </c>
      <c r="U262" s="141" t="s">
        <v>3094</v>
      </c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 t="s">
        <v>355</v>
      </c>
      <c r="AL262" s="141" t="s">
        <v>365</v>
      </c>
      <c r="AM262" s="141" t="s">
        <v>355</v>
      </c>
      <c r="AN262" s="141" t="s">
        <v>2663</v>
      </c>
      <c r="AO262" s="141" t="s">
        <v>3094</v>
      </c>
      <c r="AP262" s="141" t="s">
        <v>2428</v>
      </c>
      <c r="AQ262" s="141" t="s">
        <v>849</v>
      </c>
      <c r="AR262" s="141" t="s">
        <v>409</v>
      </c>
      <c r="AS262" s="141" t="s">
        <v>491</v>
      </c>
      <c r="AT262" s="141"/>
      <c r="AU262" s="141" t="s">
        <v>3174</v>
      </c>
      <c r="AV262" s="141" t="s">
        <v>500</v>
      </c>
      <c r="AW262" s="141" t="s">
        <v>3175</v>
      </c>
      <c r="AX262" s="141" t="s">
        <v>658</v>
      </c>
      <c r="AY262" s="141" t="s">
        <v>2114</v>
      </c>
      <c r="AZ262" s="141" t="s">
        <v>911</v>
      </c>
      <c r="BA262" s="141" t="s">
        <v>1756</v>
      </c>
      <c r="BB262" s="141" t="s">
        <v>498</v>
      </c>
      <c r="BC262" s="141" t="s">
        <v>3176</v>
      </c>
      <c r="BD262" s="141" t="s">
        <v>502</v>
      </c>
      <c r="BE262" s="141" t="s">
        <v>2365</v>
      </c>
      <c r="BF262" s="141" t="s">
        <v>901</v>
      </c>
      <c r="BG262" s="141" t="s">
        <v>3177</v>
      </c>
      <c r="BH262" s="141" t="s">
        <v>788</v>
      </c>
      <c r="BI262" s="141" t="s">
        <v>3178</v>
      </c>
      <c r="BJ262" s="141" t="s">
        <v>383</v>
      </c>
      <c r="BK262" s="141" t="s">
        <v>3179</v>
      </c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73"/>
    </row>
    <row r="263" spans="2:105" x14ac:dyDescent="0.25">
      <c r="B263" s="172"/>
      <c r="C263" s="141" t="s">
        <v>3180</v>
      </c>
      <c r="D263" s="141" t="s">
        <v>3181</v>
      </c>
      <c r="E263" s="141" t="s">
        <v>3182</v>
      </c>
      <c r="F263" s="141" t="s">
        <v>3183</v>
      </c>
      <c r="G263" s="141"/>
      <c r="H263" s="141" t="s">
        <v>354</v>
      </c>
      <c r="I263" s="141"/>
      <c r="J263" s="141" t="s">
        <v>355</v>
      </c>
      <c r="K263" s="141" t="s">
        <v>1394</v>
      </c>
      <c r="L263" s="141" t="s">
        <v>3184</v>
      </c>
      <c r="M263" s="141" t="s">
        <v>3185</v>
      </c>
      <c r="N263" s="141" t="s">
        <v>355</v>
      </c>
      <c r="O263" s="141" t="s">
        <v>370</v>
      </c>
      <c r="P263" s="141" t="s">
        <v>529</v>
      </c>
      <c r="Q263" s="141" t="s">
        <v>530</v>
      </c>
      <c r="R263" s="141" t="s">
        <v>362</v>
      </c>
      <c r="S263" s="141" t="s">
        <v>1340</v>
      </c>
      <c r="T263" s="141" t="s">
        <v>3094</v>
      </c>
      <c r="U263" s="141" t="s">
        <v>3094</v>
      </c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 t="s">
        <v>355</v>
      </c>
      <c r="AL263" s="141" t="s">
        <v>365</v>
      </c>
      <c r="AM263" s="141" t="s">
        <v>355</v>
      </c>
      <c r="AN263" s="141" t="s">
        <v>2663</v>
      </c>
      <c r="AO263" s="141" t="s">
        <v>3094</v>
      </c>
      <c r="AP263" s="141" t="s">
        <v>2428</v>
      </c>
      <c r="AQ263" s="141" t="s">
        <v>849</v>
      </c>
      <c r="AR263" s="141" t="s">
        <v>409</v>
      </c>
      <c r="AS263" s="141" t="s">
        <v>486</v>
      </c>
      <c r="AT263" s="141"/>
      <c r="AU263" s="141" t="s">
        <v>3184</v>
      </c>
      <c r="AV263" s="141" t="s">
        <v>500</v>
      </c>
      <c r="AW263" s="141" t="s">
        <v>2001</v>
      </c>
      <c r="AX263" s="141" t="s">
        <v>658</v>
      </c>
      <c r="AY263" s="141" t="s">
        <v>3186</v>
      </c>
      <c r="AZ263" s="141" t="s">
        <v>911</v>
      </c>
      <c r="BA263" s="141" t="s">
        <v>3187</v>
      </c>
      <c r="BB263" s="141" t="s">
        <v>498</v>
      </c>
      <c r="BC263" s="141" t="s">
        <v>1273</v>
      </c>
      <c r="BD263" s="141" t="s">
        <v>502</v>
      </c>
      <c r="BE263" s="141" t="s">
        <v>2151</v>
      </c>
      <c r="BF263" s="141" t="s">
        <v>901</v>
      </c>
      <c r="BG263" s="141" t="s">
        <v>3188</v>
      </c>
      <c r="BH263" s="141" t="s">
        <v>788</v>
      </c>
      <c r="BI263" s="141" t="s">
        <v>3189</v>
      </c>
      <c r="BJ263" s="141" t="s">
        <v>383</v>
      </c>
      <c r="BK263" s="141" t="s">
        <v>3190</v>
      </c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73"/>
    </row>
    <row r="264" spans="2:105" x14ac:dyDescent="0.25">
      <c r="B264" s="172"/>
      <c r="C264" s="141" t="s">
        <v>3191</v>
      </c>
      <c r="D264" s="141" t="s">
        <v>427</v>
      </c>
      <c r="E264" s="141" t="s">
        <v>3192</v>
      </c>
      <c r="F264" s="141" t="s">
        <v>2537</v>
      </c>
      <c r="G264" s="141"/>
      <c r="H264" s="141" t="s">
        <v>354</v>
      </c>
      <c r="I264" s="141"/>
      <c r="J264" s="141" t="s">
        <v>355</v>
      </c>
      <c r="K264" s="141" t="s">
        <v>1538</v>
      </c>
      <c r="L264" s="141" t="s">
        <v>3193</v>
      </c>
      <c r="M264" s="141" t="s">
        <v>3194</v>
      </c>
      <c r="N264" s="141" t="s">
        <v>355</v>
      </c>
      <c r="O264" s="141" t="s">
        <v>370</v>
      </c>
      <c r="P264" s="141" t="s">
        <v>529</v>
      </c>
      <c r="Q264" s="141" t="s">
        <v>530</v>
      </c>
      <c r="R264" s="141" t="s">
        <v>362</v>
      </c>
      <c r="S264" s="141" t="s">
        <v>1340</v>
      </c>
      <c r="T264" s="141" t="s">
        <v>3094</v>
      </c>
      <c r="U264" s="141" t="s">
        <v>3094</v>
      </c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 t="s">
        <v>355</v>
      </c>
      <c r="AL264" s="141" t="s">
        <v>365</v>
      </c>
      <c r="AM264" s="141" t="s">
        <v>355</v>
      </c>
      <c r="AN264" s="141" t="s">
        <v>2663</v>
      </c>
      <c r="AO264" s="141" t="s">
        <v>3094</v>
      </c>
      <c r="AP264" s="141" t="s">
        <v>2428</v>
      </c>
      <c r="AQ264" s="141" t="s">
        <v>849</v>
      </c>
      <c r="AR264" s="141" t="s">
        <v>409</v>
      </c>
      <c r="AS264" s="141" t="s">
        <v>363</v>
      </c>
      <c r="AT264" s="141"/>
      <c r="AU264" s="141" t="s">
        <v>3193</v>
      </c>
      <c r="AV264" s="141" t="s">
        <v>500</v>
      </c>
      <c r="AW264" s="141" t="s">
        <v>1297</v>
      </c>
      <c r="AX264" s="141" t="s">
        <v>658</v>
      </c>
      <c r="AY264" s="141" t="s">
        <v>3195</v>
      </c>
      <c r="AZ264" s="141" t="s">
        <v>911</v>
      </c>
      <c r="BA264" s="141" t="s">
        <v>3196</v>
      </c>
      <c r="BB264" s="141" t="s">
        <v>498</v>
      </c>
      <c r="BC264" s="141" t="s">
        <v>3197</v>
      </c>
      <c r="BD264" s="141" t="s">
        <v>502</v>
      </c>
      <c r="BE264" s="141" t="s">
        <v>3198</v>
      </c>
      <c r="BF264" s="141" t="s">
        <v>901</v>
      </c>
      <c r="BG264" s="141" t="s">
        <v>3199</v>
      </c>
      <c r="BH264" s="141" t="s">
        <v>788</v>
      </c>
      <c r="BI264" s="141" t="s">
        <v>3200</v>
      </c>
      <c r="BJ264" s="141" t="s">
        <v>383</v>
      </c>
      <c r="BK264" s="141" t="s">
        <v>3201</v>
      </c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73"/>
    </row>
    <row r="265" spans="2:105" x14ac:dyDescent="0.25">
      <c r="B265" s="172"/>
      <c r="C265" s="141" t="s">
        <v>3202</v>
      </c>
      <c r="D265" s="141" t="s">
        <v>3203</v>
      </c>
      <c r="E265" s="141" t="s">
        <v>1221</v>
      </c>
      <c r="F265" s="141" t="s">
        <v>2602</v>
      </c>
      <c r="G265" s="141"/>
      <c r="H265" s="141" t="s">
        <v>354</v>
      </c>
      <c r="I265" s="141"/>
      <c r="J265" s="141" t="s">
        <v>355</v>
      </c>
      <c r="K265" s="141" t="s">
        <v>1292</v>
      </c>
      <c r="L265" s="141" t="s">
        <v>3204</v>
      </c>
      <c r="M265" s="141" t="s">
        <v>2903</v>
      </c>
      <c r="N265" s="141" t="s">
        <v>355</v>
      </c>
      <c r="O265" s="141" t="s">
        <v>394</v>
      </c>
      <c r="P265" s="141" t="s">
        <v>425</v>
      </c>
      <c r="Q265" s="141" t="s">
        <v>426</v>
      </c>
      <c r="R265" s="141" t="s">
        <v>362</v>
      </c>
      <c r="S265" s="141" t="s">
        <v>1340</v>
      </c>
      <c r="T265" s="141" t="s">
        <v>3094</v>
      </c>
      <c r="U265" s="141" t="s">
        <v>3094</v>
      </c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 t="s">
        <v>355</v>
      </c>
      <c r="AL265" s="141" t="s">
        <v>365</v>
      </c>
      <c r="AM265" s="141" t="s">
        <v>355</v>
      </c>
      <c r="AN265" s="141" t="s">
        <v>2663</v>
      </c>
      <c r="AO265" s="141" t="s">
        <v>3094</v>
      </c>
      <c r="AP265" s="141" t="s">
        <v>2428</v>
      </c>
      <c r="AQ265" s="141" t="s">
        <v>849</v>
      </c>
      <c r="AR265" s="141" t="s">
        <v>409</v>
      </c>
      <c r="AS265" s="141" t="s">
        <v>1280</v>
      </c>
      <c r="AT265" s="141"/>
      <c r="AU265" s="141" t="s">
        <v>3204</v>
      </c>
      <c r="AV265" s="141" t="s">
        <v>500</v>
      </c>
      <c r="AW265" s="141" t="s">
        <v>1030</v>
      </c>
      <c r="AX265" s="141" t="s">
        <v>658</v>
      </c>
      <c r="AY265" s="141" t="s">
        <v>3205</v>
      </c>
      <c r="AZ265" s="141" t="s">
        <v>911</v>
      </c>
      <c r="BA265" s="141" t="s">
        <v>3206</v>
      </c>
      <c r="BB265" s="141" t="s">
        <v>498</v>
      </c>
      <c r="BC265" s="141" t="s">
        <v>3207</v>
      </c>
      <c r="BD265" s="141" t="s">
        <v>502</v>
      </c>
      <c r="BE265" s="141" t="s">
        <v>3208</v>
      </c>
      <c r="BF265" s="141" t="s">
        <v>901</v>
      </c>
      <c r="BG265" s="141" t="s">
        <v>3209</v>
      </c>
      <c r="BH265" s="141" t="s">
        <v>788</v>
      </c>
      <c r="BI265" s="141" t="s">
        <v>3210</v>
      </c>
      <c r="BJ265" s="141" t="s">
        <v>383</v>
      </c>
      <c r="BK265" s="141" t="s">
        <v>2910</v>
      </c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73"/>
    </row>
    <row r="266" spans="2:105" x14ac:dyDescent="0.25">
      <c r="B266" s="172"/>
      <c r="C266" s="141" t="s">
        <v>3211</v>
      </c>
      <c r="D266" s="141" t="s">
        <v>3212</v>
      </c>
      <c r="E266" s="141" t="s">
        <v>3213</v>
      </c>
      <c r="F266" s="141" t="s">
        <v>3024</v>
      </c>
      <c r="G266" s="141"/>
      <c r="H266" s="141" t="s">
        <v>354</v>
      </c>
      <c r="I266" s="141"/>
      <c r="J266" s="141" t="s">
        <v>355</v>
      </c>
      <c r="K266" s="141" t="s">
        <v>1440</v>
      </c>
      <c r="L266" s="141" t="s">
        <v>3214</v>
      </c>
      <c r="M266" s="141" t="s">
        <v>3215</v>
      </c>
      <c r="N266" s="141" t="s">
        <v>355</v>
      </c>
      <c r="O266" s="141" t="s">
        <v>394</v>
      </c>
      <c r="P266" s="141" t="s">
        <v>425</v>
      </c>
      <c r="Q266" s="141" t="s">
        <v>426</v>
      </c>
      <c r="R266" s="141" t="s">
        <v>362</v>
      </c>
      <c r="S266" s="141" t="s">
        <v>1340</v>
      </c>
      <c r="T266" s="141" t="s">
        <v>3094</v>
      </c>
      <c r="U266" s="141" t="s">
        <v>3094</v>
      </c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 t="s">
        <v>355</v>
      </c>
      <c r="AL266" s="141" t="s">
        <v>365</v>
      </c>
      <c r="AM266" s="141" t="s">
        <v>355</v>
      </c>
      <c r="AN266" s="141" t="s">
        <v>2663</v>
      </c>
      <c r="AO266" s="141" t="s">
        <v>3094</v>
      </c>
      <c r="AP266" s="141" t="s">
        <v>2428</v>
      </c>
      <c r="AQ266" s="141" t="s">
        <v>849</v>
      </c>
      <c r="AR266" s="141" t="s">
        <v>409</v>
      </c>
      <c r="AS266" s="141" t="s">
        <v>1295</v>
      </c>
      <c r="AT266" s="141"/>
      <c r="AU266" s="141" t="s">
        <v>3214</v>
      </c>
      <c r="AV266" s="141" t="s">
        <v>500</v>
      </c>
      <c r="AW266" s="141" t="s">
        <v>3216</v>
      </c>
      <c r="AX266" s="141" t="s">
        <v>658</v>
      </c>
      <c r="AY266" s="141" t="s">
        <v>3217</v>
      </c>
      <c r="AZ266" s="141" t="s">
        <v>911</v>
      </c>
      <c r="BA266" s="141" t="s">
        <v>3218</v>
      </c>
      <c r="BB266" s="141" t="s">
        <v>498</v>
      </c>
      <c r="BC266" s="141" t="s">
        <v>3219</v>
      </c>
      <c r="BD266" s="141" t="s">
        <v>502</v>
      </c>
      <c r="BE266" s="141" t="s">
        <v>3220</v>
      </c>
      <c r="BF266" s="141" t="s">
        <v>901</v>
      </c>
      <c r="BG266" s="141" t="s">
        <v>3221</v>
      </c>
      <c r="BH266" s="141" t="s">
        <v>788</v>
      </c>
      <c r="BI266" s="141" t="s">
        <v>3222</v>
      </c>
      <c r="BJ266" s="141" t="s">
        <v>383</v>
      </c>
      <c r="BK266" s="141" t="s">
        <v>3223</v>
      </c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73"/>
    </row>
    <row r="267" spans="2:105" x14ac:dyDescent="0.25">
      <c r="B267" s="172"/>
      <c r="C267" s="141" t="s">
        <v>3224</v>
      </c>
      <c r="D267" s="141" t="s">
        <v>3225</v>
      </c>
      <c r="E267" s="141" t="s">
        <v>3226</v>
      </c>
      <c r="F267" s="141" t="s">
        <v>3227</v>
      </c>
      <c r="G267" s="141"/>
      <c r="H267" s="141" t="s">
        <v>354</v>
      </c>
      <c r="I267" s="141"/>
      <c r="J267" s="141" t="s">
        <v>355</v>
      </c>
      <c r="K267" s="141" t="s">
        <v>1235</v>
      </c>
      <c r="L267" s="141"/>
      <c r="M267" s="141"/>
      <c r="N267" s="141" t="s">
        <v>394</v>
      </c>
      <c r="O267" s="141" t="s">
        <v>394</v>
      </c>
      <c r="P267" s="141" t="s">
        <v>425</v>
      </c>
      <c r="Q267" s="141" t="s">
        <v>426</v>
      </c>
      <c r="R267" s="141" t="s">
        <v>362</v>
      </c>
      <c r="S267" s="141" t="s">
        <v>1340</v>
      </c>
      <c r="T267" s="141" t="s">
        <v>3094</v>
      </c>
      <c r="U267" s="141" t="s">
        <v>3094</v>
      </c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 t="s">
        <v>355</v>
      </c>
      <c r="AL267" s="141" t="s">
        <v>365</v>
      </c>
      <c r="AM267" s="141" t="s">
        <v>355</v>
      </c>
      <c r="AN267" s="141" t="s">
        <v>2663</v>
      </c>
      <c r="AO267" s="141" t="s">
        <v>3094</v>
      </c>
      <c r="AP267" s="141" t="s">
        <v>2428</v>
      </c>
      <c r="AQ267" s="141" t="s">
        <v>849</v>
      </c>
      <c r="AR267" s="141" t="s">
        <v>409</v>
      </c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73"/>
    </row>
    <row r="268" spans="2:105" x14ac:dyDescent="0.25">
      <c r="B268" s="172"/>
      <c r="C268" s="141" t="s">
        <v>3228</v>
      </c>
      <c r="D268" s="141" t="s">
        <v>3229</v>
      </c>
      <c r="E268" s="141" t="s">
        <v>3230</v>
      </c>
      <c r="F268" s="141" t="s">
        <v>3231</v>
      </c>
      <c r="G268" s="141"/>
      <c r="H268" s="141" t="s">
        <v>354</v>
      </c>
      <c r="I268" s="141"/>
      <c r="J268" s="141" t="s">
        <v>355</v>
      </c>
      <c r="K268" s="141" t="s">
        <v>1352</v>
      </c>
      <c r="L268" s="141"/>
      <c r="M268" s="141"/>
      <c r="N268" s="141" t="s">
        <v>394</v>
      </c>
      <c r="O268" s="141" t="s">
        <v>394</v>
      </c>
      <c r="P268" s="141" t="s">
        <v>425</v>
      </c>
      <c r="Q268" s="141" t="s">
        <v>426</v>
      </c>
      <c r="R268" s="141" t="s">
        <v>362</v>
      </c>
      <c r="S268" s="141" t="s">
        <v>1340</v>
      </c>
      <c r="T268" s="141" t="s">
        <v>3094</v>
      </c>
      <c r="U268" s="141" t="s">
        <v>3094</v>
      </c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 t="s">
        <v>355</v>
      </c>
      <c r="AL268" s="141" t="s">
        <v>365</v>
      </c>
      <c r="AM268" s="141" t="s">
        <v>355</v>
      </c>
      <c r="AN268" s="141" t="s">
        <v>2663</v>
      </c>
      <c r="AO268" s="141" t="s">
        <v>3094</v>
      </c>
      <c r="AP268" s="141" t="s">
        <v>2428</v>
      </c>
      <c r="AQ268" s="141" t="s">
        <v>849</v>
      </c>
      <c r="AR268" s="141" t="s">
        <v>409</v>
      </c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73"/>
    </row>
    <row r="269" spans="2:105" x14ac:dyDescent="0.25">
      <c r="B269" s="172"/>
      <c r="C269" s="141" t="s">
        <v>3232</v>
      </c>
      <c r="D269" s="141" t="s">
        <v>2369</v>
      </c>
      <c r="E269" s="141" t="s">
        <v>3233</v>
      </c>
      <c r="F269" s="141" t="s">
        <v>3234</v>
      </c>
      <c r="G269" s="141"/>
      <c r="H269" s="141" t="s">
        <v>354</v>
      </c>
      <c r="I269" s="141"/>
      <c r="J269" s="141" t="s">
        <v>355</v>
      </c>
      <c r="K269" s="141" t="s">
        <v>1511</v>
      </c>
      <c r="L269" s="141"/>
      <c r="M269" s="141"/>
      <c r="N269" s="141" t="s">
        <v>394</v>
      </c>
      <c r="O269" s="141" t="s">
        <v>394</v>
      </c>
      <c r="P269" s="141" t="s">
        <v>425</v>
      </c>
      <c r="Q269" s="141" t="s">
        <v>426</v>
      </c>
      <c r="R269" s="141" t="s">
        <v>362</v>
      </c>
      <c r="S269" s="141" t="s">
        <v>1340</v>
      </c>
      <c r="T269" s="141" t="s">
        <v>3094</v>
      </c>
      <c r="U269" s="141" t="s">
        <v>3094</v>
      </c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 t="s">
        <v>355</v>
      </c>
      <c r="AL269" s="141" t="s">
        <v>365</v>
      </c>
      <c r="AM269" s="141" t="s">
        <v>355</v>
      </c>
      <c r="AN269" s="141" t="s">
        <v>2663</v>
      </c>
      <c r="AO269" s="141" t="s">
        <v>3094</v>
      </c>
      <c r="AP269" s="141" t="s">
        <v>2428</v>
      </c>
      <c r="AQ269" s="141" t="s">
        <v>849</v>
      </c>
      <c r="AR269" s="141" t="s">
        <v>409</v>
      </c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73"/>
    </row>
    <row r="270" spans="2:105" x14ac:dyDescent="0.25">
      <c r="B270" s="172"/>
      <c r="C270" s="141"/>
      <c r="D270" s="141" t="s">
        <v>3235</v>
      </c>
      <c r="E270" s="141"/>
      <c r="F270" s="141" t="s">
        <v>467</v>
      </c>
      <c r="G270" s="141"/>
      <c r="H270" s="141" t="s">
        <v>354</v>
      </c>
      <c r="I270" s="141"/>
      <c r="J270" s="141" t="s">
        <v>355</v>
      </c>
      <c r="K270" s="141" t="s">
        <v>1167</v>
      </c>
      <c r="L270" s="141"/>
      <c r="M270" s="141"/>
      <c r="N270" s="141" t="s">
        <v>355</v>
      </c>
      <c r="O270" s="141"/>
      <c r="P270" s="141"/>
      <c r="Q270" s="141"/>
      <c r="R270" s="141"/>
      <c r="S270" s="141" t="s">
        <v>1340</v>
      </c>
      <c r="T270" s="141" t="s">
        <v>3094</v>
      </c>
      <c r="U270" s="141" t="s">
        <v>3094</v>
      </c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 t="s">
        <v>355</v>
      </c>
      <c r="AL270" s="141" t="s">
        <v>365</v>
      </c>
      <c r="AM270" s="141" t="s">
        <v>355</v>
      </c>
      <c r="AN270" s="141" t="s">
        <v>2663</v>
      </c>
      <c r="AO270" s="141" t="s">
        <v>3094</v>
      </c>
      <c r="AP270" s="141" t="s">
        <v>2428</v>
      </c>
      <c r="AQ270" s="141" t="s">
        <v>849</v>
      </c>
      <c r="AR270" s="141" t="s">
        <v>409</v>
      </c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73"/>
    </row>
    <row r="271" spans="2:105" x14ac:dyDescent="0.25">
      <c r="B271" s="172"/>
      <c r="C271" s="141" t="s">
        <v>3236</v>
      </c>
      <c r="D271" s="141" t="s">
        <v>3237</v>
      </c>
      <c r="E271" s="141" t="s">
        <v>1567</v>
      </c>
      <c r="F271" s="141" t="s">
        <v>2485</v>
      </c>
      <c r="G271" s="141"/>
      <c r="H271" s="141" t="s">
        <v>354</v>
      </c>
      <c r="I271" s="141"/>
      <c r="J271" s="141" t="s">
        <v>355</v>
      </c>
      <c r="K271" s="141" t="s">
        <v>1264</v>
      </c>
      <c r="L271" s="141"/>
      <c r="M271" s="141"/>
      <c r="N271" s="141" t="s">
        <v>394</v>
      </c>
      <c r="O271" s="141" t="s">
        <v>394</v>
      </c>
      <c r="P271" s="141" t="s">
        <v>425</v>
      </c>
      <c r="Q271" s="141" t="s">
        <v>426</v>
      </c>
      <c r="R271" s="141" t="s">
        <v>362</v>
      </c>
      <c r="S271" s="141" t="s">
        <v>1340</v>
      </c>
      <c r="T271" s="141" t="s">
        <v>3094</v>
      </c>
      <c r="U271" s="141" t="s">
        <v>3094</v>
      </c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 t="s">
        <v>355</v>
      </c>
      <c r="AL271" s="141" t="s">
        <v>365</v>
      </c>
      <c r="AM271" s="141" t="s">
        <v>355</v>
      </c>
      <c r="AN271" s="141" t="s">
        <v>2663</v>
      </c>
      <c r="AO271" s="141" t="s">
        <v>3094</v>
      </c>
      <c r="AP271" s="141" t="s">
        <v>2428</v>
      </c>
      <c r="AQ271" s="141" t="s">
        <v>849</v>
      </c>
      <c r="AR271" s="141" t="s">
        <v>409</v>
      </c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73"/>
    </row>
    <row r="272" spans="2:105" x14ac:dyDescent="0.25">
      <c r="B272" s="172"/>
      <c r="C272" s="141" t="s">
        <v>3238</v>
      </c>
      <c r="D272" s="141" t="s">
        <v>369</v>
      </c>
      <c r="E272" s="141" t="s">
        <v>525</v>
      </c>
      <c r="F272" s="141" t="s">
        <v>3239</v>
      </c>
      <c r="G272" s="141"/>
      <c r="H272" s="141" t="s">
        <v>354</v>
      </c>
      <c r="I272" s="141"/>
      <c r="J272" s="141" t="s">
        <v>355</v>
      </c>
      <c r="K272" s="141" t="s">
        <v>1552</v>
      </c>
      <c r="L272" s="141"/>
      <c r="M272" s="141"/>
      <c r="N272" s="141" t="s">
        <v>370</v>
      </c>
      <c r="O272" s="141" t="s">
        <v>370</v>
      </c>
      <c r="P272" s="141" t="s">
        <v>529</v>
      </c>
      <c r="Q272" s="141" t="s">
        <v>530</v>
      </c>
      <c r="R272" s="141" t="s">
        <v>362</v>
      </c>
      <c r="S272" s="141" t="s">
        <v>1340</v>
      </c>
      <c r="T272" s="141" t="s">
        <v>3094</v>
      </c>
      <c r="U272" s="141" t="s">
        <v>3094</v>
      </c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 t="s">
        <v>355</v>
      </c>
      <c r="AL272" s="141" t="s">
        <v>365</v>
      </c>
      <c r="AM272" s="141" t="s">
        <v>355</v>
      </c>
      <c r="AN272" s="141" t="s">
        <v>2663</v>
      </c>
      <c r="AO272" s="141" t="s">
        <v>3094</v>
      </c>
      <c r="AP272" s="141" t="s">
        <v>2428</v>
      </c>
      <c r="AQ272" s="141" t="s">
        <v>849</v>
      </c>
      <c r="AR272" s="141" t="s">
        <v>409</v>
      </c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73"/>
    </row>
    <row r="273" spans="2:105" x14ac:dyDescent="0.25">
      <c r="B273" s="172"/>
      <c r="C273" s="141" t="s">
        <v>3240</v>
      </c>
      <c r="D273" s="141" t="s">
        <v>3241</v>
      </c>
      <c r="E273" s="141" t="s">
        <v>700</v>
      </c>
      <c r="F273" s="141" t="s">
        <v>3060</v>
      </c>
      <c r="G273" s="141"/>
      <c r="H273" s="141" t="s">
        <v>354</v>
      </c>
      <c r="I273" s="141"/>
      <c r="J273" s="141" t="s">
        <v>355</v>
      </c>
      <c r="K273" s="141" t="s">
        <v>1424</v>
      </c>
      <c r="L273" s="141"/>
      <c r="M273" s="141"/>
      <c r="N273" s="141" t="s">
        <v>370</v>
      </c>
      <c r="O273" s="141" t="s">
        <v>394</v>
      </c>
      <c r="P273" s="141" t="s">
        <v>425</v>
      </c>
      <c r="Q273" s="141" t="s">
        <v>426</v>
      </c>
      <c r="R273" s="141" t="s">
        <v>362</v>
      </c>
      <c r="S273" s="141" t="s">
        <v>1340</v>
      </c>
      <c r="T273" s="141" t="s">
        <v>3094</v>
      </c>
      <c r="U273" s="141" t="s">
        <v>3094</v>
      </c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 t="s">
        <v>355</v>
      </c>
      <c r="AL273" s="141" t="s">
        <v>365</v>
      </c>
      <c r="AM273" s="141" t="s">
        <v>355</v>
      </c>
      <c r="AN273" s="141" t="s">
        <v>2663</v>
      </c>
      <c r="AO273" s="141" t="s">
        <v>3094</v>
      </c>
      <c r="AP273" s="141" t="s">
        <v>2428</v>
      </c>
      <c r="AQ273" s="141" t="s">
        <v>849</v>
      </c>
      <c r="AR273" s="141" t="s">
        <v>409</v>
      </c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73"/>
    </row>
    <row r="274" spans="2:105" x14ac:dyDescent="0.25">
      <c r="B274" s="172"/>
      <c r="C274" s="141" t="s">
        <v>3242</v>
      </c>
      <c r="D274" s="141" t="s">
        <v>496</v>
      </c>
      <c r="E274" s="141" t="s">
        <v>3243</v>
      </c>
      <c r="F274" s="141" t="s">
        <v>3244</v>
      </c>
      <c r="G274" s="141"/>
      <c r="H274" s="141" t="s">
        <v>354</v>
      </c>
      <c r="I274" s="141"/>
      <c r="J274" s="141" t="s">
        <v>355</v>
      </c>
      <c r="K274" s="141" t="s">
        <v>1196</v>
      </c>
      <c r="L274" s="141"/>
      <c r="M274" s="141"/>
      <c r="N274" s="141" t="s">
        <v>394</v>
      </c>
      <c r="O274" s="141" t="s">
        <v>394</v>
      </c>
      <c r="P274" s="141" t="s">
        <v>425</v>
      </c>
      <c r="Q274" s="141" t="s">
        <v>426</v>
      </c>
      <c r="R274" s="141" t="s">
        <v>362</v>
      </c>
      <c r="S274" s="141" t="s">
        <v>1340</v>
      </c>
      <c r="T274" s="141" t="s">
        <v>3094</v>
      </c>
      <c r="U274" s="141" t="s">
        <v>3094</v>
      </c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 t="s">
        <v>355</v>
      </c>
      <c r="AL274" s="141" t="s">
        <v>365</v>
      </c>
      <c r="AM274" s="141" t="s">
        <v>355</v>
      </c>
      <c r="AN274" s="141" t="s">
        <v>2663</v>
      </c>
      <c r="AO274" s="141" t="s">
        <v>3094</v>
      </c>
      <c r="AP274" s="141" t="s">
        <v>2428</v>
      </c>
      <c r="AQ274" s="141" t="s">
        <v>849</v>
      </c>
      <c r="AR274" s="141" t="s">
        <v>409</v>
      </c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73"/>
    </row>
    <row r="275" spans="2:105" x14ac:dyDescent="0.25">
      <c r="B275" s="172"/>
      <c r="C275" s="141" t="s">
        <v>3245</v>
      </c>
      <c r="D275" s="141" t="s">
        <v>2930</v>
      </c>
      <c r="E275" s="141" t="s">
        <v>620</v>
      </c>
      <c r="F275" s="141" t="s">
        <v>3246</v>
      </c>
      <c r="G275" s="141"/>
      <c r="H275" s="141" t="s">
        <v>354</v>
      </c>
      <c r="I275" s="141"/>
      <c r="J275" s="141" t="s">
        <v>355</v>
      </c>
      <c r="K275" s="141" t="s">
        <v>1557</v>
      </c>
      <c r="L275" s="141"/>
      <c r="M275" s="141"/>
      <c r="N275" s="141" t="s">
        <v>394</v>
      </c>
      <c r="O275" s="141" t="s">
        <v>394</v>
      </c>
      <c r="P275" s="141" t="s">
        <v>425</v>
      </c>
      <c r="Q275" s="141" t="s">
        <v>426</v>
      </c>
      <c r="R275" s="141" t="s">
        <v>362</v>
      </c>
      <c r="S275" s="141" t="s">
        <v>1340</v>
      </c>
      <c r="T275" s="141" t="s">
        <v>3094</v>
      </c>
      <c r="U275" s="141" t="s">
        <v>3094</v>
      </c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 t="s">
        <v>355</v>
      </c>
      <c r="AL275" s="141" t="s">
        <v>365</v>
      </c>
      <c r="AM275" s="141" t="s">
        <v>355</v>
      </c>
      <c r="AN275" s="141" t="s">
        <v>2663</v>
      </c>
      <c r="AO275" s="141" t="s">
        <v>3094</v>
      </c>
      <c r="AP275" s="141" t="s">
        <v>2428</v>
      </c>
      <c r="AQ275" s="141" t="s">
        <v>849</v>
      </c>
      <c r="AR275" s="141" t="s">
        <v>409</v>
      </c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73"/>
    </row>
    <row r="276" spans="2:105" x14ac:dyDescent="0.25">
      <c r="B276" s="172"/>
      <c r="C276" s="141" t="s">
        <v>3247</v>
      </c>
      <c r="D276" s="141" t="s">
        <v>1472</v>
      </c>
      <c r="E276" s="141" t="s">
        <v>3248</v>
      </c>
      <c r="F276" s="141" t="s">
        <v>2437</v>
      </c>
      <c r="G276" s="141"/>
      <c r="H276" s="141" t="s">
        <v>354</v>
      </c>
      <c r="I276" s="141"/>
      <c r="J276" s="141" t="s">
        <v>355</v>
      </c>
      <c r="K276" s="141" t="s">
        <v>1127</v>
      </c>
      <c r="L276" s="141"/>
      <c r="M276" s="141"/>
      <c r="N276" s="141" t="s">
        <v>370</v>
      </c>
      <c r="O276" s="141" t="s">
        <v>394</v>
      </c>
      <c r="P276" s="141" t="s">
        <v>425</v>
      </c>
      <c r="Q276" s="141" t="s">
        <v>426</v>
      </c>
      <c r="R276" s="141" t="s">
        <v>362</v>
      </c>
      <c r="S276" s="141" t="s">
        <v>1340</v>
      </c>
      <c r="T276" s="141" t="s">
        <v>3094</v>
      </c>
      <c r="U276" s="141" t="s">
        <v>3094</v>
      </c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 t="s">
        <v>355</v>
      </c>
      <c r="AL276" s="141" t="s">
        <v>365</v>
      </c>
      <c r="AM276" s="141" t="s">
        <v>355</v>
      </c>
      <c r="AN276" s="141" t="s">
        <v>2663</v>
      </c>
      <c r="AO276" s="141" t="s">
        <v>3094</v>
      </c>
      <c r="AP276" s="141" t="s">
        <v>2428</v>
      </c>
      <c r="AQ276" s="141" t="s">
        <v>849</v>
      </c>
      <c r="AR276" s="141" t="s">
        <v>409</v>
      </c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73"/>
    </row>
    <row r="277" spans="2:105" x14ac:dyDescent="0.25">
      <c r="B277" s="172"/>
      <c r="C277" s="141" t="s">
        <v>3249</v>
      </c>
      <c r="D277" s="141" t="s">
        <v>3250</v>
      </c>
      <c r="E277" s="141" t="s">
        <v>1903</v>
      </c>
      <c r="F277" s="141" t="s">
        <v>2448</v>
      </c>
      <c r="G277" s="141"/>
      <c r="H277" s="141" t="s">
        <v>354</v>
      </c>
      <c r="I277" s="141"/>
      <c r="J277" s="141" t="s">
        <v>355</v>
      </c>
      <c r="K277" s="141" t="s">
        <v>1210</v>
      </c>
      <c r="L277" s="141"/>
      <c r="M277" s="141"/>
      <c r="N277" s="141" t="s">
        <v>370</v>
      </c>
      <c r="O277" s="141" t="s">
        <v>370</v>
      </c>
      <c r="P277" s="141" t="s">
        <v>529</v>
      </c>
      <c r="Q277" s="141" t="s">
        <v>530</v>
      </c>
      <c r="R277" s="141" t="s">
        <v>362</v>
      </c>
      <c r="S277" s="141" t="s">
        <v>1340</v>
      </c>
      <c r="T277" s="141" t="s">
        <v>3094</v>
      </c>
      <c r="U277" s="141" t="s">
        <v>3094</v>
      </c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 t="s">
        <v>355</v>
      </c>
      <c r="AL277" s="141" t="s">
        <v>365</v>
      </c>
      <c r="AM277" s="141" t="s">
        <v>355</v>
      </c>
      <c r="AN277" s="141" t="s">
        <v>2663</v>
      </c>
      <c r="AO277" s="141" t="s">
        <v>3094</v>
      </c>
      <c r="AP277" s="141" t="s">
        <v>2428</v>
      </c>
      <c r="AQ277" s="141" t="s">
        <v>849</v>
      </c>
      <c r="AR277" s="141" t="s">
        <v>409</v>
      </c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73"/>
    </row>
    <row r="278" spans="2:105" x14ac:dyDescent="0.25">
      <c r="B278" s="172"/>
      <c r="C278" s="141" t="s">
        <v>3251</v>
      </c>
      <c r="D278" s="141" t="s">
        <v>490</v>
      </c>
      <c r="E278" s="141" t="s">
        <v>3252</v>
      </c>
      <c r="F278" s="141" t="s">
        <v>3253</v>
      </c>
      <c r="G278" s="141"/>
      <c r="H278" s="141" t="s">
        <v>354</v>
      </c>
      <c r="I278" s="141"/>
      <c r="J278" s="141" t="s">
        <v>355</v>
      </c>
      <c r="K278" s="141" t="s">
        <v>473</v>
      </c>
      <c r="L278" s="141"/>
      <c r="M278" s="141"/>
      <c r="N278" s="141" t="s">
        <v>394</v>
      </c>
      <c r="O278" s="141" t="s">
        <v>394</v>
      </c>
      <c r="P278" s="141" t="s">
        <v>425</v>
      </c>
      <c r="Q278" s="141" t="s">
        <v>426</v>
      </c>
      <c r="R278" s="141" t="s">
        <v>362</v>
      </c>
      <c r="S278" s="141" t="s">
        <v>1340</v>
      </c>
      <c r="T278" s="141" t="s">
        <v>3094</v>
      </c>
      <c r="U278" s="141" t="s">
        <v>3094</v>
      </c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 t="s">
        <v>355</v>
      </c>
      <c r="AL278" s="141" t="s">
        <v>365</v>
      </c>
      <c r="AM278" s="141" t="s">
        <v>355</v>
      </c>
      <c r="AN278" s="141" t="s">
        <v>2663</v>
      </c>
      <c r="AO278" s="141" t="s">
        <v>3094</v>
      </c>
      <c r="AP278" s="141" t="s">
        <v>2428</v>
      </c>
      <c r="AQ278" s="141" t="s">
        <v>849</v>
      </c>
      <c r="AR278" s="141" t="s">
        <v>409</v>
      </c>
      <c r="AS278" s="141"/>
      <c r="AT278" s="141"/>
      <c r="AU278" s="141"/>
      <c r="AV278" s="141" t="s">
        <v>500</v>
      </c>
      <c r="AW278" s="141" t="s">
        <v>3254</v>
      </c>
      <c r="AX278" s="141" t="s">
        <v>658</v>
      </c>
      <c r="AY278" s="141" t="s">
        <v>3255</v>
      </c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73"/>
    </row>
    <row r="279" spans="2:105" x14ac:dyDescent="0.25">
      <c r="B279" s="172"/>
      <c r="C279" s="141" t="s">
        <v>3256</v>
      </c>
      <c r="D279" s="141" t="s">
        <v>3257</v>
      </c>
      <c r="E279" s="141" t="s">
        <v>3258</v>
      </c>
      <c r="F279" s="141" t="s">
        <v>3173</v>
      </c>
      <c r="G279" s="141"/>
      <c r="H279" s="141" t="s">
        <v>354</v>
      </c>
      <c r="I279" s="141"/>
      <c r="J279" s="141" t="s">
        <v>355</v>
      </c>
      <c r="K279" s="141" t="s">
        <v>439</v>
      </c>
      <c r="L279" s="141"/>
      <c r="M279" s="141"/>
      <c r="N279" s="141" t="s">
        <v>370</v>
      </c>
      <c r="O279" s="141" t="s">
        <v>394</v>
      </c>
      <c r="P279" s="141" t="s">
        <v>425</v>
      </c>
      <c r="Q279" s="141" t="s">
        <v>426</v>
      </c>
      <c r="R279" s="141" t="s">
        <v>362</v>
      </c>
      <c r="S279" s="141" t="s">
        <v>1340</v>
      </c>
      <c r="T279" s="141" t="s">
        <v>3094</v>
      </c>
      <c r="U279" s="141" t="s">
        <v>3094</v>
      </c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 t="s">
        <v>355</v>
      </c>
      <c r="AL279" s="141" t="s">
        <v>365</v>
      </c>
      <c r="AM279" s="141" t="s">
        <v>355</v>
      </c>
      <c r="AN279" s="141" t="s">
        <v>2663</v>
      </c>
      <c r="AO279" s="141" t="s">
        <v>3094</v>
      </c>
      <c r="AP279" s="141" t="s">
        <v>2428</v>
      </c>
      <c r="AQ279" s="141" t="s">
        <v>849</v>
      </c>
      <c r="AR279" s="141" t="s">
        <v>409</v>
      </c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73"/>
    </row>
    <row r="280" spans="2:105" x14ac:dyDescent="0.25">
      <c r="B280" s="172"/>
      <c r="C280" s="141" t="s">
        <v>3259</v>
      </c>
      <c r="D280" s="141" t="s">
        <v>3260</v>
      </c>
      <c r="E280" s="141" t="s">
        <v>3261</v>
      </c>
      <c r="F280" s="141" t="s">
        <v>3262</v>
      </c>
      <c r="G280" s="141"/>
      <c r="H280" s="141" t="s">
        <v>354</v>
      </c>
      <c r="I280" s="141"/>
      <c r="J280" s="141" t="s">
        <v>355</v>
      </c>
      <c r="K280" s="141" t="s">
        <v>2306</v>
      </c>
      <c r="L280" s="141" t="s">
        <v>3263</v>
      </c>
      <c r="M280" s="141" t="s">
        <v>3264</v>
      </c>
      <c r="N280" s="141" t="s">
        <v>355</v>
      </c>
      <c r="O280" s="141" t="s">
        <v>370</v>
      </c>
      <c r="P280" s="141" t="s">
        <v>529</v>
      </c>
      <c r="Q280" s="141" t="s">
        <v>530</v>
      </c>
      <c r="R280" s="141" t="s">
        <v>362</v>
      </c>
      <c r="S280" s="141" t="s">
        <v>1325</v>
      </c>
      <c r="T280" s="141" t="s">
        <v>3265</v>
      </c>
      <c r="U280" s="141" t="s">
        <v>3265</v>
      </c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 t="s">
        <v>355</v>
      </c>
      <c r="AL280" s="141" t="s">
        <v>365</v>
      </c>
      <c r="AM280" s="141" t="s">
        <v>355</v>
      </c>
      <c r="AN280" s="141" t="s">
        <v>773</v>
      </c>
      <c r="AO280" s="141" t="s">
        <v>3265</v>
      </c>
      <c r="AP280" s="141" t="s">
        <v>3266</v>
      </c>
      <c r="AQ280" s="141" t="s">
        <v>2930</v>
      </c>
      <c r="AR280" s="141" t="s">
        <v>409</v>
      </c>
      <c r="AS280" s="141" t="s">
        <v>370</v>
      </c>
      <c r="AT280" s="141"/>
      <c r="AU280" s="141" t="s">
        <v>3263</v>
      </c>
      <c r="AV280" s="141" t="s">
        <v>2638</v>
      </c>
      <c r="AW280" s="141" t="s">
        <v>3267</v>
      </c>
      <c r="AX280" s="141" t="s">
        <v>764</v>
      </c>
      <c r="AY280" s="141" t="s">
        <v>3268</v>
      </c>
      <c r="AZ280" s="141" t="s">
        <v>909</v>
      </c>
      <c r="BA280" s="141" t="s">
        <v>3269</v>
      </c>
      <c r="BB280" s="141" t="s">
        <v>903</v>
      </c>
      <c r="BC280" s="141" t="s">
        <v>3270</v>
      </c>
      <c r="BD280" s="141" t="s">
        <v>905</v>
      </c>
      <c r="BE280" s="141" t="s">
        <v>3040</v>
      </c>
      <c r="BF280" s="141" t="s">
        <v>1967</v>
      </c>
      <c r="BG280" s="141" t="s">
        <v>391</v>
      </c>
      <c r="BH280" s="141" t="s">
        <v>913</v>
      </c>
      <c r="BI280" s="141" t="s">
        <v>3271</v>
      </c>
      <c r="BJ280" s="141" t="s">
        <v>383</v>
      </c>
      <c r="BK280" s="141" t="s">
        <v>1341</v>
      </c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73"/>
    </row>
    <row r="281" spans="2:105" x14ac:dyDescent="0.25">
      <c r="B281" s="172"/>
      <c r="C281" s="141" t="s">
        <v>3272</v>
      </c>
      <c r="D281" s="141" t="s">
        <v>3273</v>
      </c>
      <c r="E281" s="141" t="s">
        <v>589</v>
      </c>
      <c r="F281" s="141" t="s">
        <v>3274</v>
      </c>
      <c r="G281" s="141"/>
      <c r="H281" s="141" t="s">
        <v>354</v>
      </c>
      <c r="I281" s="141"/>
      <c r="J281" s="141" t="s">
        <v>355</v>
      </c>
      <c r="K281" s="141" t="s">
        <v>2326</v>
      </c>
      <c r="L281" s="141" t="s">
        <v>3034</v>
      </c>
      <c r="M281" s="141" t="s">
        <v>3275</v>
      </c>
      <c r="N281" s="141" t="s">
        <v>355</v>
      </c>
      <c r="O281" s="141" t="s">
        <v>359</v>
      </c>
      <c r="P281" s="141" t="s">
        <v>360</v>
      </c>
      <c r="Q281" s="141" t="s">
        <v>361</v>
      </c>
      <c r="R281" s="141" t="s">
        <v>362</v>
      </c>
      <c r="S281" s="141" t="s">
        <v>1325</v>
      </c>
      <c r="T281" s="141" t="s">
        <v>3265</v>
      </c>
      <c r="U281" s="141" t="s">
        <v>3265</v>
      </c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 t="s">
        <v>355</v>
      </c>
      <c r="AL281" s="141" t="s">
        <v>365</v>
      </c>
      <c r="AM281" s="141" t="s">
        <v>355</v>
      </c>
      <c r="AN281" s="141" t="s">
        <v>773</v>
      </c>
      <c r="AO281" s="141" t="s">
        <v>3265</v>
      </c>
      <c r="AP281" s="141" t="s">
        <v>3266</v>
      </c>
      <c r="AQ281" s="141" t="s">
        <v>2930</v>
      </c>
      <c r="AR281" s="141" t="s">
        <v>409</v>
      </c>
      <c r="AS281" s="141" t="s">
        <v>394</v>
      </c>
      <c r="AT281" s="141"/>
      <c r="AU281" s="141" t="s">
        <v>3034</v>
      </c>
      <c r="AV281" s="141" t="s">
        <v>2638</v>
      </c>
      <c r="AW281" s="141" t="s">
        <v>2259</v>
      </c>
      <c r="AX281" s="141" t="s">
        <v>764</v>
      </c>
      <c r="AY281" s="141" t="s">
        <v>610</v>
      </c>
      <c r="AZ281" s="141" t="s">
        <v>909</v>
      </c>
      <c r="BA281" s="141" t="s">
        <v>1158</v>
      </c>
      <c r="BB281" s="141" t="s">
        <v>903</v>
      </c>
      <c r="BC281" s="141" t="s">
        <v>3276</v>
      </c>
      <c r="BD281" s="141" t="s">
        <v>905</v>
      </c>
      <c r="BE281" s="141" t="s">
        <v>3277</v>
      </c>
      <c r="BF281" s="141" t="s">
        <v>1967</v>
      </c>
      <c r="BG281" s="141" t="s">
        <v>1283</v>
      </c>
      <c r="BH281" s="141" t="s">
        <v>913</v>
      </c>
      <c r="BI281" s="141" t="s">
        <v>3278</v>
      </c>
      <c r="BJ281" s="141" t="s">
        <v>383</v>
      </c>
      <c r="BK281" s="141" t="s">
        <v>3145</v>
      </c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73"/>
    </row>
    <row r="282" spans="2:105" x14ac:dyDescent="0.25">
      <c r="B282" s="172"/>
      <c r="C282" s="141" t="s">
        <v>3279</v>
      </c>
      <c r="D282" s="141" t="s">
        <v>3280</v>
      </c>
      <c r="E282" s="141" t="s">
        <v>3281</v>
      </c>
      <c r="F282" s="141" t="s">
        <v>3239</v>
      </c>
      <c r="G282" s="141"/>
      <c r="H282" s="141" t="s">
        <v>354</v>
      </c>
      <c r="I282" s="141"/>
      <c r="J282" s="141" t="s">
        <v>355</v>
      </c>
      <c r="K282" s="141" t="s">
        <v>2208</v>
      </c>
      <c r="L282" s="141" t="s">
        <v>3282</v>
      </c>
      <c r="M282" s="141" t="s">
        <v>3283</v>
      </c>
      <c r="N282" s="141" t="s">
        <v>355</v>
      </c>
      <c r="O282" s="141" t="s">
        <v>392</v>
      </c>
      <c r="P282" s="141" t="s">
        <v>393</v>
      </c>
      <c r="Q282" s="141" t="s">
        <v>393</v>
      </c>
      <c r="R282" s="141" t="s">
        <v>362</v>
      </c>
      <c r="S282" s="141" t="s">
        <v>1325</v>
      </c>
      <c r="T282" s="141" t="s">
        <v>3265</v>
      </c>
      <c r="U282" s="141" t="s">
        <v>3265</v>
      </c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 t="s">
        <v>355</v>
      </c>
      <c r="AL282" s="141" t="s">
        <v>365</v>
      </c>
      <c r="AM282" s="141" t="s">
        <v>355</v>
      </c>
      <c r="AN282" s="141" t="s">
        <v>773</v>
      </c>
      <c r="AO282" s="141" t="s">
        <v>3265</v>
      </c>
      <c r="AP282" s="141" t="s">
        <v>3266</v>
      </c>
      <c r="AQ282" s="141" t="s">
        <v>2930</v>
      </c>
      <c r="AR282" s="141" t="s">
        <v>409</v>
      </c>
      <c r="AS282" s="141" t="s">
        <v>359</v>
      </c>
      <c r="AT282" s="141"/>
      <c r="AU282" s="141" t="s">
        <v>3282</v>
      </c>
      <c r="AV282" s="141" t="s">
        <v>2638</v>
      </c>
      <c r="AW282" s="141" t="s">
        <v>2952</v>
      </c>
      <c r="AX282" s="141" t="s">
        <v>764</v>
      </c>
      <c r="AY282" s="141" t="s">
        <v>2297</v>
      </c>
      <c r="AZ282" s="141" t="s">
        <v>909</v>
      </c>
      <c r="BA282" s="141" t="s">
        <v>3284</v>
      </c>
      <c r="BB282" s="141" t="s">
        <v>903</v>
      </c>
      <c r="BC282" s="141" t="s">
        <v>1080</v>
      </c>
      <c r="BD282" s="141" t="s">
        <v>905</v>
      </c>
      <c r="BE282" s="141" t="s">
        <v>3285</v>
      </c>
      <c r="BF282" s="141" t="s">
        <v>1967</v>
      </c>
      <c r="BG282" s="141" t="s">
        <v>3286</v>
      </c>
      <c r="BH282" s="141" t="s">
        <v>913</v>
      </c>
      <c r="BI282" s="141" t="s">
        <v>3287</v>
      </c>
      <c r="BJ282" s="141" t="s">
        <v>383</v>
      </c>
      <c r="BK282" s="141" t="s">
        <v>2885</v>
      </c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73"/>
    </row>
    <row r="283" spans="2:105" x14ac:dyDescent="0.25">
      <c r="B283" s="172"/>
      <c r="C283" s="141" t="s">
        <v>3288</v>
      </c>
      <c r="D283" s="141" t="s">
        <v>3289</v>
      </c>
      <c r="E283" s="141" t="s">
        <v>3290</v>
      </c>
      <c r="F283" s="141" t="s">
        <v>3291</v>
      </c>
      <c r="G283" s="141"/>
      <c r="H283" s="141" t="s">
        <v>354</v>
      </c>
      <c r="I283" s="141"/>
      <c r="J283" s="141" t="s">
        <v>355</v>
      </c>
      <c r="K283" s="141" t="s">
        <v>2192</v>
      </c>
      <c r="L283" s="141" t="s">
        <v>3292</v>
      </c>
      <c r="M283" s="141" t="s">
        <v>3293</v>
      </c>
      <c r="N283" s="141" t="s">
        <v>355</v>
      </c>
      <c r="O283" s="141" t="s">
        <v>370</v>
      </c>
      <c r="P283" s="141" t="s">
        <v>529</v>
      </c>
      <c r="Q283" s="141" t="s">
        <v>530</v>
      </c>
      <c r="R283" s="141" t="s">
        <v>362</v>
      </c>
      <c r="S283" s="141" t="s">
        <v>1325</v>
      </c>
      <c r="T283" s="141" t="s">
        <v>3265</v>
      </c>
      <c r="U283" s="141" t="s">
        <v>3265</v>
      </c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 t="s">
        <v>355</v>
      </c>
      <c r="AL283" s="141" t="s">
        <v>365</v>
      </c>
      <c r="AM283" s="141" t="s">
        <v>355</v>
      </c>
      <c r="AN283" s="141" t="s">
        <v>773</v>
      </c>
      <c r="AO283" s="141" t="s">
        <v>3265</v>
      </c>
      <c r="AP283" s="141" t="s">
        <v>3266</v>
      </c>
      <c r="AQ283" s="141" t="s">
        <v>2930</v>
      </c>
      <c r="AR283" s="141" t="s">
        <v>409</v>
      </c>
      <c r="AS283" s="141" t="s">
        <v>427</v>
      </c>
      <c r="AT283" s="141"/>
      <c r="AU283" s="141" t="s">
        <v>3292</v>
      </c>
      <c r="AV283" s="141" t="s">
        <v>2638</v>
      </c>
      <c r="AW283" s="141" t="s">
        <v>3294</v>
      </c>
      <c r="AX283" s="141" t="s">
        <v>764</v>
      </c>
      <c r="AY283" s="141" t="s">
        <v>3295</v>
      </c>
      <c r="AZ283" s="141" t="s">
        <v>909</v>
      </c>
      <c r="BA283" s="141" t="s">
        <v>3296</v>
      </c>
      <c r="BB283" s="141" t="s">
        <v>903</v>
      </c>
      <c r="BC283" s="141" t="s">
        <v>3297</v>
      </c>
      <c r="BD283" s="141" t="s">
        <v>905</v>
      </c>
      <c r="BE283" s="141" t="s">
        <v>682</v>
      </c>
      <c r="BF283" s="141" t="s">
        <v>1967</v>
      </c>
      <c r="BG283" s="141" t="s">
        <v>1690</v>
      </c>
      <c r="BH283" s="141" t="s">
        <v>913</v>
      </c>
      <c r="BI283" s="141" t="s">
        <v>964</v>
      </c>
      <c r="BJ283" s="141" t="s">
        <v>383</v>
      </c>
      <c r="BK283" s="141" t="s">
        <v>2078</v>
      </c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73"/>
    </row>
    <row r="284" spans="2:105" x14ac:dyDescent="0.25">
      <c r="B284" s="172"/>
      <c r="C284" s="141" t="s">
        <v>3298</v>
      </c>
      <c r="D284" s="141" t="s">
        <v>3299</v>
      </c>
      <c r="E284" s="141" t="s">
        <v>3300</v>
      </c>
      <c r="F284" s="141" t="s">
        <v>3301</v>
      </c>
      <c r="G284" s="141"/>
      <c r="H284" s="141" t="s">
        <v>354</v>
      </c>
      <c r="I284" s="141"/>
      <c r="J284" s="141" t="s">
        <v>355</v>
      </c>
      <c r="K284" s="141" t="s">
        <v>2359</v>
      </c>
      <c r="L284" s="141" t="s">
        <v>3302</v>
      </c>
      <c r="M284" s="141" t="s">
        <v>790</v>
      </c>
      <c r="N284" s="141" t="s">
        <v>355</v>
      </c>
      <c r="O284" s="141" t="s">
        <v>370</v>
      </c>
      <c r="P284" s="141" t="s">
        <v>529</v>
      </c>
      <c r="Q284" s="141" t="s">
        <v>530</v>
      </c>
      <c r="R284" s="141" t="s">
        <v>362</v>
      </c>
      <c r="S284" s="141" t="s">
        <v>1325</v>
      </c>
      <c r="T284" s="141" t="s">
        <v>3265</v>
      </c>
      <c r="U284" s="141" t="s">
        <v>3265</v>
      </c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 t="s">
        <v>355</v>
      </c>
      <c r="AL284" s="141" t="s">
        <v>365</v>
      </c>
      <c r="AM284" s="141" t="s">
        <v>355</v>
      </c>
      <c r="AN284" s="141" t="s">
        <v>773</v>
      </c>
      <c r="AO284" s="141" t="s">
        <v>3265</v>
      </c>
      <c r="AP284" s="141" t="s">
        <v>3266</v>
      </c>
      <c r="AQ284" s="141" t="s">
        <v>2930</v>
      </c>
      <c r="AR284" s="141" t="s">
        <v>409</v>
      </c>
      <c r="AS284" s="141" t="s">
        <v>442</v>
      </c>
      <c r="AT284" s="141"/>
      <c r="AU284" s="141" t="s">
        <v>3302</v>
      </c>
      <c r="AV284" s="141" t="s">
        <v>2638</v>
      </c>
      <c r="AW284" s="141" t="s">
        <v>1767</v>
      </c>
      <c r="AX284" s="141" t="s">
        <v>764</v>
      </c>
      <c r="AY284" s="141" t="s">
        <v>3303</v>
      </c>
      <c r="AZ284" s="141" t="s">
        <v>909</v>
      </c>
      <c r="BA284" s="141" t="s">
        <v>430</v>
      </c>
      <c r="BB284" s="141" t="s">
        <v>903</v>
      </c>
      <c r="BC284" s="141" t="s">
        <v>1241</v>
      </c>
      <c r="BD284" s="141" t="s">
        <v>905</v>
      </c>
      <c r="BE284" s="141" t="s">
        <v>3304</v>
      </c>
      <c r="BF284" s="141" t="s">
        <v>1967</v>
      </c>
      <c r="BG284" s="141" t="s">
        <v>3106</v>
      </c>
      <c r="BH284" s="141" t="s">
        <v>913</v>
      </c>
      <c r="BI284" s="141" t="s">
        <v>3305</v>
      </c>
      <c r="BJ284" s="141" t="s">
        <v>383</v>
      </c>
      <c r="BK284" s="141" t="s">
        <v>3306</v>
      </c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73"/>
    </row>
    <row r="285" spans="2:105" x14ac:dyDescent="0.25">
      <c r="B285" s="172"/>
      <c r="C285" s="141" t="s">
        <v>3307</v>
      </c>
      <c r="D285" s="141" t="s">
        <v>3308</v>
      </c>
      <c r="E285" s="141" t="s">
        <v>3309</v>
      </c>
      <c r="F285" s="141" t="s">
        <v>3310</v>
      </c>
      <c r="G285" s="141"/>
      <c r="H285" s="141" t="s">
        <v>354</v>
      </c>
      <c r="I285" s="141"/>
      <c r="J285" s="141" t="s">
        <v>355</v>
      </c>
      <c r="K285" s="141" t="s">
        <v>964</v>
      </c>
      <c r="L285" s="141" t="s">
        <v>3311</v>
      </c>
      <c r="M285" s="141" t="s">
        <v>3176</v>
      </c>
      <c r="N285" s="141" t="s">
        <v>355</v>
      </c>
      <c r="O285" s="141" t="s">
        <v>427</v>
      </c>
      <c r="P285" s="141" t="s">
        <v>455</v>
      </c>
      <c r="Q285" s="141" t="s">
        <v>456</v>
      </c>
      <c r="R285" s="141" t="s">
        <v>362</v>
      </c>
      <c r="S285" s="141" t="s">
        <v>1325</v>
      </c>
      <c r="T285" s="141" t="s">
        <v>3265</v>
      </c>
      <c r="U285" s="141" t="s">
        <v>3265</v>
      </c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 t="s">
        <v>355</v>
      </c>
      <c r="AL285" s="141" t="s">
        <v>365</v>
      </c>
      <c r="AM285" s="141" t="s">
        <v>355</v>
      </c>
      <c r="AN285" s="141" t="s">
        <v>773</v>
      </c>
      <c r="AO285" s="141" t="s">
        <v>3265</v>
      </c>
      <c r="AP285" s="141" t="s">
        <v>3266</v>
      </c>
      <c r="AQ285" s="141" t="s">
        <v>2930</v>
      </c>
      <c r="AR285" s="141" t="s">
        <v>409</v>
      </c>
      <c r="AS285" s="141" t="s">
        <v>392</v>
      </c>
      <c r="AT285" s="141"/>
      <c r="AU285" s="141" t="s">
        <v>3311</v>
      </c>
      <c r="AV285" s="141" t="s">
        <v>2638</v>
      </c>
      <c r="AW285" s="141" t="s">
        <v>3312</v>
      </c>
      <c r="AX285" s="141" t="s">
        <v>764</v>
      </c>
      <c r="AY285" s="141" t="s">
        <v>3313</v>
      </c>
      <c r="AZ285" s="141" t="s">
        <v>909</v>
      </c>
      <c r="BA285" s="141" t="s">
        <v>3314</v>
      </c>
      <c r="BB285" s="141" t="s">
        <v>903</v>
      </c>
      <c r="BC285" s="141" t="s">
        <v>3264</v>
      </c>
      <c r="BD285" s="141" t="s">
        <v>905</v>
      </c>
      <c r="BE285" s="141" t="s">
        <v>3315</v>
      </c>
      <c r="BF285" s="141" t="s">
        <v>1967</v>
      </c>
      <c r="BG285" s="141" t="s">
        <v>3316</v>
      </c>
      <c r="BH285" s="141" t="s">
        <v>913</v>
      </c>
      <c r="BI285" s="141" t="s">
        <v>3317</v>
      </c>
      <c r="BJ285" s="141" t="s">
        <v>383</v>
      </c>
      <c r="BK285" s="141" t="s">
        <v>2797</v>
      </c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73"/>
    </row>
    <row r="286" spans="2:105" x14ac:dyDescent="0.25">
      <c r="B286" s="172"/>
      <c r="C286" s="141" t="s">
        <v>3318</v>
      </c>
      <c r="D286" s="141" t="s">
        <v>1578</v>
      </c>
      <c r="E286" s="141" t="s">
        <v>2059</v>
      </c>
      <c r="F286" s="141" t="s">
        <v>3234</v>
      </c>
      <c r="G286" s="141"/>
      <c r="H286" s="141" t="s">
        <v>354</v>
      </c>
      <c r="I286" s="141"/>
      <c r="J286" s="141" t="s">
        <v>355</v>
      </c>
      <c r="K286" s="141" t="s">
        <v>2361</v>
      </c>
      <c r="L286" s="141" t="s">
        <v>3319</v>
      </c>
      <c r="M286" s="141" t="s">
        <v>3320</v>
      </c>
      <c r="N286" s="141" t="s">
        <v>355</v>
      </c>
      <c r="O286" s="141" t="s">
        <v>486</v>
      </c>
      <c r="P286" s="141" t="s">
        <v>1631</v>
      </c>
      <c r="Q286" s="141" t="s">
        <v>1632</v>
      </c>
      <c r="R286" s="141" t="s">
        <v>362</v>
      </c>
      <c r="S286" s="141" t="s">
        <v>1325</v>
      </c>
      <c r="T286" s="141" t="s">
        <v>3265</v>
      </c>
      <c r="U286" s="141" t="s">
        <v>3265</v>
      </c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 t="s">
        <v>355</v>
      </c>
      <c r="AL286" s="141" t="s">
        <v>365</v>
      </c>
      <c r="AM286" s="141" t="s">
        <v>355</v>
      </c>
      <c r="AN286" s="141" t="s">
        <v>773</v>
      </c>
      <c r="AO286" s="141" t="s">
        <v>3265</v>
      </c>
      <c r="AP286" s="141" t="s">
        <v>3266</v>
      </c>
      <c r="AQ286" s="141" t="s">
        <v>2930</v>
      </c>
      <c r="AR286" s="141" t="s">
        <v>409</v>
      </c>
      <c r="AS286" s="141" t="s">
        <v>369</v>
      </c>
      <c r="AT286" s="141"/>
      <c r="AU286" s="141" t="s">
        <v>3319</v>
      </c>
      <c r="AV286" s="141" t="s">
        <v>2638</v>
      </c>
      <c r="AW286" s="141" t="s">
        <v>3321</v>
      </c>
      <c r="AX286" s="141" t="s">
        <v>764</v>
      </c>
      <c r="AY286" s="141" t="s">
        <v>3322</v>
      </c>
      <c r="AZ286" s="141" t="s">
        <v>909</v>
      </c>
      <c r="BA286" s="141" t="s">
        <v>1937</v>
      </c>
      <c r="BB286" s="141" t="s">
        <v>903</v>
      </c>
      <c r="BC286" s="141" t="s">
        <v>3323</v>
      </c>
      <c r="BD286" s="141" t="s">
        <v>905</v>
      </c>
      <c r="BE286" s="141" t="s">
        <v>1588</v>
      </c>
      <c r="BF286" s="141" t="s">
        <v>1967</v>
      </c>
      <c r="BG286" s="141" t="s">
        <v>3324</v>
      </c>
      <c r="BH286" s="141" t="s">
        <v>913</v>
      </c>
      <c r="BI286" s="141" t="s">
        <v>3325</v>
      </c>
      <c r="BJ286" s="141" t="s">
        <v>383</v>
      </c>
      <c r="BK286" s="141" t="s">
        <v>2843</v>
      </c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73"/>
    </row>
    <row r="287" spans="2:105" x14ac:dyDescent="0.25">
      <c r="B287" s="172"/>
      <c r="C287" s="141" t="s">
        <v>3326</v>
      </c>
      <c r="D287" s="141" t="s">
        <v>905</v>
      </c>
      <c r="E287" s="141" t="s">
        <v>3327</v>
      </c>
      <c r="F287" s="141" t="s">
        <v>3328</v>
      </c>
      <c r="G287" s="141"/>
      <c r="H287" s="141" t="s">
        <v>354</v>
      </c>
      <c r="I287" s="141"/>
      <c r="J287" s="141" t="s">
        <v>355</v>
      </c>
      <c r="K287" s="141" t="s">
        <v>1681</v>
      </c>
      <c r="L287" s="141" t="s">
        <v>3329</v>
      </c>
      <c r="M287" s="141" t="s">
        <v>2300</v>
      </c>
      <c r="N287" s="141" t="s">
        <v>355</v>
      </c>
      <c r="O287" s="141" t="s">
        <v>392</v>
      </c>
      <c r="P287" s="141" t="s">
        <v>393</v>
      </c>
      <c r="Q287" s="141" t="s">
        <v>393</v>
      </c>
      <c r="R287" s="141" t="s">
        <v>362</v>
      </c>
      <c r="S287" s="141" t="s">
        <v>1325</v>
      </c>
      <c r="T287" s="141" t="s">
        <v>3265</v>
      </c>
      <c r="U287" s="141" t="s">
        <v>3265</v>
      </c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 t="s">
        <v>355</v>
      </c>
      <c r="AL287" s="141" t="s">
        <v>365</v>
      </c>
      <c r="AM287" s="141" t="s">
        <v>355</v>
      </c>
      <c r="AN287" s="141" t="s">
        <v>773</v>
      </c>
      <c r="AO287" s="141" t="s">
        <v>3265</v>
      </c>
      <c r="AP287" s="141" t="s">
        <v>3266</v>
      </c>
      <c r="AQ287" s="141" t="s">
        <v>2930</v>
      </c>
      <c r="AR287" s="141" t="s">
        <v>409</v>
      </c>
      <c r="AS287" s="141" t="s">
        <v>409</v>
      </c>
      <c r="AT287" s="141"/>
      <c r="AU287" s="141" t="s">
        <v>3329</v>
      </c>
      <c r="AV287" s="141" t="s">
        <v>2638</v>
      </c>
      <c r="AW287" s="141" t="s">
        <v>797</v>
      </c>
      <c r="AX287" s="141" t="s">
        <v>764</v>
      </c>
      <c r="AY287" s="141" t="s">
        <v>2212</v>
      </c>
      <c r="AZ287" s="141" t="s">
        <v>909</v>
      </c>
      <c r="BA287" s="141" t="s">
        <v>3330</v>
      </c>
      <c r="BB287" s="141" t="s">
        <v>903</v>
      </c>
      <c r="BC287" s="141" t="s">
        <v>3331</v>
      </c>
      <c r="BD287" s="141" t="s">
        <v>905</v>
      </c>
      <c r="BE287" s="141" t="s">
        <v>3332</v>
      </c>
      <c r="BF287" s="141" t="s">
        <v>1967</v>
      </c>
      <c r="BG287" s="141" t="s">
        <v>751</v>
      </c>
      <c r="BH287" s="141" t="s">
        <v>913</v>
      </c>
      <c r="BI287" s="141" t="s">
        <v>3333</v>
      </c>
      <c r="BJ287" s="141" t="s">
        <v>383</v>
      </c>
      <c r="BK287" s="141" t="s">
        <v>3334</v>
      </c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73"/>
    </row>
    <row r="288" spans="2:105" x14ac:dyDescent="0.25">
      <c r="B288" s="172"/>
      <c r="C288" s="141" t="s">
        <v>3335</v>
      </c>
      <c r="D288" s="141" t="s">
        <v>3336</v>
      </c>
      <c r="E288" s="141" t="s">
        <v>3337</v>
      </c>
      <c r="F288" s="141" t="s">
        <v>2742</v>
      </c>
      <c r="G288" s="141"/>
      <c r="H288" s="141" t="s">
        <v>354</v>
      </c>
      <c r="I288" s="141"/>
      <c r="J288" s="141" t="s">
        <v>355</v>
      </c>
      <c r="K288" s="141" t="s">
        <v>1416</v>
      </c>
      <c r="L288" s="141" t="s">
        <v>3338</v>
      </c>
      <c r="M288" s="141" t="s">
        <v>3339</v>
      </c>
      <c r="N288" s="141" t="s">
        <v>355</v>
      </c>
      <c r="O288" s="141" t="s">
        <v>370</v>
      </c>
      <c r="P288" s="141" t="s">
        <v>529</v>
      </c>
      <c r="Q288" s="141" t="s">
        <v>530</v>
      </c>
      <c r="R288" s="141" t="s">
        <v>362</v>
      </c>
      <c r="S288" s="141" t="s">
        <v>1325</v>
      </c>
      <c r="T288" s="141" t="s">
        <v>3265</v>
      </c>
      <c r="U288" s="141" t="s">
        <v>3265</v>
      </c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 t="s">
        <v>355</v>
      </c>
      <c r="AL288" s="141" t="s">
        <v>365</v>
      </c>
      <c r="AM288" s="141" t="s">
        <v>355</v>
      </c>
      <c r="AN288" s="141" t="s">
        <v>773</v>
      </c>
      <c r="AO288" s="141" t="s">
        <v>3265</v>
      </c>
      <c r="AP288" s="141" t="s">
        <v>3266</v>
      </c>
      <c r="AQ288" s="141" t="s">
        <v>2930</v>
      </c>
      <c r="AR288" s="141" t="s">
        <v>409</v>
      </c>
      <c r="AS288" s="141" t="s">
        <v>491</v>
      </c>
      <c r="AT288" s="141"/>
      <c r="AU288" s="141" t="s">
        <v>3338</v>
      </c>
      <c r="AV288" s="141" t="s">
        <v>2638</v>
      </c>
      <c r="AW288" s="141" t="s">
        <v>3340</v>
      </c>
      <c r="AX288" s="141" t="s">
        <v>764</v>
      </c>
      <c r="AY288" s="141" t="s">
        <v>3341</v>
      </c>
      <c r="AZ288" s="141" t="s">
        <v>909</v>
      </c>
      <c r="BA288" s="141" t="s">
        <v>2028</v>
      </c>
      <c r="BB288" s="141" t="s">
        <v>903</v>
      </c>
      <c r="BC288" s="141" t="s">
        <v>964</v>
      </c>
      <c r="BD288" s="141" t="s">
        <v>905</v>
      </c>
      <c r="BE288" s="141" t="s">
        <v>3342</v>
      </c>
      <c r="BF288" s="141" t="s">
        <v>1967</v>
      </c>
      <c r="BG288" s="141" t="s">
        <v>3343</v>
      </c>
      <c r="BH288" s="141" t="s">
        <v>913</v>
      </c>
      <c r="BI288" s="141" t="s">
        <v>2311</v>
      </c>
      <c r="BJ288" s="141" t="s">
        <v>383</v>
      </c>
      <c r="BK288" s="141" t="s">
        <v>3344</v>
      </c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73"/>
    </row>
    <row r="289" spans="2:105" x14ac:dyDescent="0.25">
      <c r="B289" s="172"/>
      <c r="C289" s="141" t="s">
        <v>3345</v>
      </c>
      <c r="D289" s="141" t="s">
        <v>3346</v>
      </c>
      <c r="E289" s="141" t="s">
        <v>3347</v>
      </c>
      <c r="F289" s="141" t="s">
        <v>3348</v>
      </c>
      <c r="G289" s="141"/>
      <c r="H289" s="141" t="s">
        <v>354</v>
      </c>
      <c r="I289" s="141"/>
      <c r="J289" s="141" t="s">
        <v>355</v>
      </c>
      <c r="K289" s="141" t="s">
        <v>581</v>
      </c>
      <c r="L289" s="141" t="s">
        <v>3349</v>
      </c>
      <c r="M289" s="141" t="s">
        <v>3350</v>
      </c>
      <c r="N289" s="141" t="s">
        <v>355</v>
      </c>
      <c r="O289" s="141" t="s">
        <v>394</v>
      </c>
      <c r="P289" s="141" t="s">
        <v>425</v>
      </c>
      <c r="Q289" s="141" t="s">
        <v>426</v>
      </c>
      <c r="R289" s="141" t="s">
        <v>362</v>
      </c>
      <c r="S289" s="141" t="s">
        <v>1325</v>
      </c>
      <c r="T289" s="141" t="s">
        <v>3265</v>
      </c>
      <c r="U289" s="141" t="s">
        <v>3265</v>
      </c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 t="s">
        <v>355</v>
      </c>
      <c r="AL289" s="141" t="s">
        <v>365</v>
      </c>
      <c r="AM289" s="141" t="s">
        <v>355</v>
      </c>
      <c r="AN289" s="141" t="s">
        <v>773</v>
      </c>
      <c r="AO289" s="141" t="s">
        <v>3265</v>
      </c>
      <c r="AP289" s="141" t="s">
        <v>3266</v>
      </c>
      <c r="AQ289" s="141" t="s">
        <v>2930</v>
      </c>
      <c r="AR289" s="141" t="s">
        <v>409</v>
      </c>
      <c r="AS289" s="141" t="s">
        <v>486</v>
      </c>
      <c r="AT289" s="141"/>
      <c r="AU289" s="141" t="s">
        <v>3349</v>
      </c>
      <c r="AV289" s="141" t="s">
        <v>2638</v>
      </c>
      <c r="AW289" s="141" t="s">
        <v>3351</v>
      </c>
      <c r="AX289" s="141" t="s">
        <v>764</v>
      </c>
      <c r="AY289" s="141" t="s">
        <v>3352</v>
      </c>
      <c r="AZ289" s="141" t="s">
        <v>909</v>
      </c>
      <c r="BA289" s="141" t="s">
        <v>3353</v>
      </c>
      <c r="BB289" s="141" t="s">
        <v>903</v>
      </c>
      <c r="BC289" s="141" t="s">
        <v>3354</v>
      </c>
      <c r="BD289" s="141" t="s">
        <v>905</v>
      </c>
      <c r="BE289" s="141" t="s">
        <v>3355</v>
      </c>
      <c r="BF289" s="141" t="s">
        <v>1967</v>
      </c>
      <c r="BG289" s="141" t="s">
        <v>3356</v>
      </c>
      <c r="BH289" s="141" t="s">
        <v>913</v>
      </c>
      <c r="BI289" s="141" t="s">
        <v>3357</v>
      </c>
      <c r="BJ289" s="141" t="s">
        <v>383</v>
      </c>
      <c r="BK289" s="141" t="s">
        <v>3358</v>
      </c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73"/>
    </row>
    <row r="290" spans="2:105" x14ac:dyDescent="0.25">
      <c r="B290" s="172"/>
      <c r="C290" s="141" t="s">
        <v>3359</v>
      </c>
      <c r="D290" s="141" t="s">
        <v>3360</v>
      </c>
      <c r="E290" s="141" t="s">
        <v>3361</v>
      </c>
      <c r="F290" s="141" t="s">
        <v>3362</v>
      </c>
      <c r="G290" s="141"/>
      <c r="H290" s="141" t="s">
        <v>354</v>
      </c>
      <c r="I290" s="141"/>
      <c r="J290" s="141" t="s">
        <v>355</v>
      </c>
      <c r="K290" s="141" t="s">
        <v>2294</v>
      </c>
      <c r="L290" s="141" t="s">
        <v>3363</v>
      </c>
      <c r="M290" s="141" t="s">
        <v>3055</v>
      </c>
      <c r="N290" s="141" t="s">
        <v>355</v>
      </c>
      <c r="O290" s="141" t="s">
        <v>394</v>
      </c>
      <c r="P290" s="141" t="s">
        <v>425</v>
      </c>
      <c r="Q290" s="141" t="s">
        <v>426</v>
      </c>
      <c r="R290" s="141" t="s">
        <v>362</v>
      </c>
      <c r="S290" s="141" t="s">
        <v>1325</v>
      </c>
      <c r="T290" s="141" t="s">
        <v>3265</v>
      </c>
      <c r="U290" s="141" t="s">
        <v>3265</v>
      </c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 t="s">
        <v>355</v>
      </c>
      <c r="AL290" s="141" t="s">
        <v>365</v>
      </c>
      <c r="AM290" s="141" t="s">
        <v>355</v>
      </c>
      <c r="AN290" s="141" t="s">
        <v>773</v>
      </c>
      <c r="AO290" s="141" t="s">
        <v>3265</v>
      </c>
      <c r="AP290" s="141" t="s">
        <v>3266</v>
      </c>
      <c r="AQ290" s="141" t="s">
        <v>2930</v>
      </c>
      <c r="AR290" s="141" t="s">
        <v>409</v>
      </c>
      <c r="AS290" s="141" t="s">
        <v>363</v>
      </c>
      <c r="AT290" s="141"/>
      <c r="AU290" s="141" t="s">
        <v>3363</v>
      </c>
      <c r="AV290" s="141" t="s">
        <v>2638</v>
      </c>
      <c r="AW290" s="141" t="s">
        <v>2817</v>
      </c>
      <c r="AX290" s="141" t="s">
        <v>764</v>
      </c>
      <c r="AY290" s="141" t="s">
        <v>3364</v>
      </c>
      <c r="AZ290" s="141" t="s">
        <v>909</v>
      </c>
      <c r="BA290" s="141" t="s">
        <v>3365</v>
      </c>
      <c r="BB290" s="141" t="s">
        <v>903</v>
      </c>
      <c r="BC290" s="141" t="s">
        <v>3324</v>
      </c>
      <c r="BD290" s="141" t="s">
        <v>905</v>
      </c>
      <c r="BE290" s="141" t="s">
        <v>3366</v>
      </c>
      <c r="BF290" s="141" t="s">
        <v>1967</v>
      </c>
      <c r="BG290" s="141" t="s">
        <v>3156</v>
      </c>
      <c r="BH290" s="141" t="s">
        <v>913</v>
      </c>
      <c r="BI290" s="141" t="s">
        <v>3367</v>
      </c>
      <c r="BJ290" s="141" t="s">
        <v>383</v>
      </c>
      <c r="BK290" s="141" t="s">
        <v>3368</v>
      </c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73"/>
    </row>
    <row r="291" spans="2:105" x14ac:dyDescent="0.25">
      <c r="B291" s="172"/>
      <c r="C291" s="141" t="s">
        <v>3369</v>
      </c>
      <c r="D291" s="141" t="s">
        <v>3370</v>
      </c>
      <c r="E291" s="141" t="s">
        <v>3371</v>
      </c>
      <c r="F291" s="141" t="s">
        <v>3372</v>
      </c>
      <c r="G291" s="141"/>
      <c r="H291" s="141" t="s">
        <v>354</v>
      </c>
      <c r="I291" s="141"/>
      <c r="J291" s="141" t="s">
        <v>355</v>
      </c>
      <c r="K291" s="141" t="s">
        <v>921</v>
      </c>
      <c r="L291" s="141" t="s">
        <v>3373</v>
      </c>
      <c r="M291" s="141" t="s">
        <v>1063</v>
      </c>
      <c r="N291" s="141" t="s">
        <v>355</v>
      </c>
      <c r="O291" s="141" t="s">
        <v>359</v>
      </c>
      <c r="P291" s="141" t="s">
        <v>360</v>
      </c>
      <c r="Q291" s="141" t="s">
        <v>361</v>
      </c>
      <c r="R291" s="141" t="s">
        <v>362</v>
      </c>
      <c r="S291" s="141" t="s">
        <v>1325</v>
      </c>
      <c r="T291" s="141" t="s">
        <v>3265</v>
      </c>
      <c r="U291" s="141" t="s">
        <v>3265</v>
      </c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 t="s">
        <v>355</v>
      </c>
      <c r="AL291" s="141" t="s">
        <v>365</v>
      </c>
      <c r="AM291" s="141" t="s">
        <v>355</v>
      </c>
      <c r="AN291" s="141" t="s">
        <v>773</v>
      </c>
      <c r="AO291" s="141" t="s">
        <v>3265</v>
      </c>
      <c r="AP291" s="141" t="s">
        <v>3266</v>
      </c>
      <c r="AQ291" s="141" t="s">
        <v>2930</v>
      </c>
      <c r="AR291" s="141" t="s">
        <v>409</v>
      </c>
      <c r="AS291" s="141" t="s">
        <v>1280</v>
      </c>
      <c r="AT291" s="141"/>
      <c r="AU291" s="141" t="s">
        <v>3373</v>
      </c>
      <c r="AV291" s="141" t="s">
        <v>2638</v>
      </c>
      <c r="AW291" s="141" t="s">
        <v>3374</v>
      </c>
      <c r="AX291" s="141" t="s">
        <v>764</v>
      </c>
      <c r="AY291" s="141" t="s">
        <v>2652</v>
      </c>
      <c r="AZ291" s="141" t="s">
        <v>909</v>
      </c>
      <c r="BA291" s="141" t="s">
        <v>3375</v>
      </c>
      <c r="BB291" s="141" t="s">
        <v>903</v>
      </c>
      <c r="BC291" s="141" t="s">
        <v>2306</v>
      </c>
      <c r="BD291" s="141" t="s">
        <v>905</v>
      </c>
      <c r="BE291" s="141" t="s">
        <v>3376</v>
      </c>
      <c r="BF291" s="141" t="s">
        <v>1967</v>
      </c>
      <c r="BG291" s="141" t="s">
        <v>3377</v>
      </c>
      <c r="BH291" s="141" t="s">
        <v>913</v>
      </c>
      <c r="BI291" s="141" t="s">
        <v>2296</v>
      </c>
      <c r="BJ291" s="141" t="s">
        <v>383</v>
      </c>
      <c r="BK291" s="141" t="s">
        <v>3378</v>
      </c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73"/>
    </row>
    <row r="292" spans="2:105" x14ac:dyDescent="0.25">
      <c r="B292" s="172"/>
      <c r="C292" s="141" t="s">
        <v>3379</v>
      </c>
      <c r="D292" s="141" t="s">
        <v>3380</v>
      </c>
      <c r="E292" s="141" t="s">
        <v>3381</v>
      </c>
      <c r="F292" s="141" t="s">
        <v>2537</v>
      </c>
      <c r="G292" s="141"/>
      <c r="H292" s="141" t="s">
        <v>354</v>
      </c>
      <c r="I292" s="141"/>
      <c r="J292" s="141" t="s">
        <v>355</v>
      </c>
      <c r="K292" s="141" t="s">
        <v>1851</v>
      </c>
      <c r="L292" s="141" t="s">
        <v>3382</v>
      </c>
      <c r="M292" s="141" t="s">
        <v>3383</v>
      </c>
      <c r="N292" s="141" t="s">
        <v>355</v>
      </c>
      <c r="O292" s="141" t="s">
        <v>370</v>
      </c>
      <c r="P292" s="141" t="s">
        <v>529</v>
      </c>
      <c r="Q292" s="141" t="s">
        <v>530</v>
      </c>
      <c r="R292" s="141" t="s">
        <v>362</v>
      </c>
      <c r="S292" s="141" t="s">
        <v>1325</v>
      </c>
      <c r="T292" s="141" t="s">
        <v>3265</v>
      </c>
      <c r="U292" s="141" t="s">
        <v>3265</v>
      </c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 t="s">
        <v>355</v>
      </c>
      <c r="AL292" s="141" t="s">
        <v>365</v>
      </c>
      <c r="AM292" s="141" t="s">
        <v>355</v>
      </c>
      <c r="AN292" s="141" t="s">
        <v>773</v>
      </c>
      <c r="AO292" s="141" t="s">
        <v>3265</v>
      </c>
      <c r="AP292" s="141" t="s">
        <v>3266</v>
      </c>
      <c r="AQ292" s="141" t="s">
        <v>2930</v>
      </c>
      <c r="AR292" s="141" t="s">
        <v>409</v>
      </c>
      <c r="AS292" s="141" t="s">
        <v>1295</v>
      </c>
      <c r="AT292" s="141"/>
      <c r="AU292" s="141" t="s">
        <v>3382</v>
      </c>
      <c r="AV292" s="141" t="s">
        <v>2638</v>
      </c>
      <c r="AW292" s="141" t="s">
        <v>3384</v>
      </c>
      <c r="AX292" s="141" t="s">
        <v>764</v>
      </c>
      <c r="AY292" s="141" t="s">
        <v>3385</v>
      </c>
      <c r="AZ292" s="141" t="s">
        <v>909</v>
      </c>
      <c r="BA292" s="141" t="s">
        <v>444</v>
      </c>
      <c r="BB292" s="141" t="s">
        <v>903</v>
      </c>
      <c r="BC292" s="141" t="s">
        <v>1595</v>
      </c>
      <c r="BD292" s="141" t="s">
        <v>905</v>
      </c>
      <c r="BE292" s="141" t="s">
        <v>3386</v>
      </c>
      <c r="BF292" s="141" t="s">
        <v>1967</v>
      </c>
      <c r="BG292" s="141" t="s">
        <v>3387</v>
      </c>
      <c r="BH292" s="141" t="s">
        <v>913</v>
      </c>
      <c r="BI292" s="141" t="s">
        <v>3388</v>
      </c>
      <c r="BJ292" s="141" t="s">
        <v>383</v>
      </c>
      <c r="BK292" s="141" t="s">
        <v>3207</v>
      </c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73"/>
    </row>
    <row r="293" spans="2:105" x14ac:dyDescent="0.25">
      <c r="B293" s="172"/>
      <c r="C293" s="141" t="s">
        <v>3389</v>
      </c>
      <c r="D293" s="141" t="s">
        <v>3390</v>
      </c>
      <c r="E293" s="141" t="s">
        <v>3391</v>
      </c>
      <c r="F293" s="141" t="s">
        <v>3392</v>
      </c>
      <c r="G293" s="141"/>
      <c r="H293" s="141" t="s">
        <v>354</v>
      </c>
      <c r="I293" s="141"/>
      <c r="J293" s="141" t="s">
        <v>355</v>
      </c>
      <c r="K293" s="141" t="s">
        <v>872</v>
      </c>
      <c r="L293" s="141" t="s">
        <v>3393</v>
      </c>
      <c r="M293" s="141" t="s">
        <v>3394</v>
      </c>
      <c r="N293" s="141" t="s">
        <v>355</v>
      </c>
      <c r="O293" s="141" t="s">
        <v>370</v>
      </c>
      <c r="P293" s="141" t="s">
        <v>529</v>
      </c>
      <c r="Q293" s="141" t="s">
        <v>530</v>
      </c>
      <c r="R293" s="141" t="s">
        <v>362</v>
      </c>
      <c r="S293" s="141" t="s">
        <v>1325</v>
      </c>
      <c r="T293" s="141" t="s">
        <v>3265</v>
      </c>
      <c r="U293" s="141" t="s">
        <v>3265</v>
      </c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 t="s">
        <v>355</v>
      </c>
      <c r="AL293" s="141" t="s">
        <v>365</v>
      </c>
      <c r="AM293" s="141" t="s">
        <v>355</v>
      </c>
      <c r="AN293" s="141" t="s">
        <v>773</v>
      </c>
      <c r="AO293" s="141" t="s">
        <v>3265</v>
      </c>
      <c r="AP293" s="141" t="s">
        <v>3266</v>
      </c>
      <c r="AQ293" s="141" t="s">
        <v>2930</v>
      </c>
      <c r="AR293" s="141" t="s">
        <v>409</v>
      </c>
      <c r="AS293" s="141" t="s">
        <v>1309</v>
      </c>
      <c r="AT293" s="141"/>
      <c r="AU293" s="141" t="s">
        <v>3393</v>
      </c>
      <c r="AV293" s="141" t="s">
        <v>2638</v>
      </c>
      <c r="AW293" s="141" t="s">
        <v>1947</v>
      </c>
      <c r="AX293" s="141" t="s">
        <v>764</v>
      </c>
      <c r="AY293" s="141" t="s">
        <v>1144</v>
      </c>
      <c r="AZ293" s="141" t="s">
        <v>909</v>
      </c>
      <c r="BA293" s="141" t="s">
        <v>3395</v>
      </c>
      <c r="BB293" s="141" t="s">
        <v>903</v>
      </c>
      <c r="BC293" s="141" t="s">
        <v>528</v>
      </c>
      <c r="BD293" s="141" t="s">
        <v>905</v>
      </c>
      <c r="BE293" s="141" t="s">
        <v>3396</v>
      </c>
      <c r="BF293" s="141" t="s">
        <v>1967</v>
      </c>
      <c r="BG293" s="141" t="s">
        <v>3397</v>
      </c>
      <c r="BH293" s="141" t="s">
        <v>913</v>
      </c>
      <c r="BI293" s="141" t="s">
        <v>743</v>
      </c>
      <c r="BJ293" s="141" t="s">
        <v>383</v>
      </c>
      <c r="BK293" s="141" t="s">
        <v>3398</v>
      </c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73"/>
    </row>
    <row r="294" spans="2:105" x14ac:dyDescent="0.25">
      <c r="B294" s="172"/>
      <c r="C294" s="141" t="s">
        <v>3399</v>
      </c>
      <c r="D294" s="141" t="s">
        <v>3400</v>
      </c>
      <c r="E294" s="141" t="s">
        <v>3401</v>
      </c>
      <c r="F294" s="141" t="s">
        <v>2485</v>
      </c>
      <c r="G294" s="141"/>
      <c r="H294" s="141" t="s">
        <v>354</v>
      </c>
      <c r="I294" s="141"/>
      <c r="J294" s="141" t="s">
        <v>355</v>
      </c>
      <c r="K294" s="141" t="s">
        <v>2268</v>
      </c>
      <c r="L294" s="141" t="s">
        <v>1236</v>
      </c>
      <c r="M294" s="141" t="s">
        <v>3402</v>
      </c>
      <c r="N294" s="141" t="s">
        <v>355</v>
      </c>
      <c r="O294" s="141" t="s">
        <v>394</v>
      </c>
      <c r="P294" s="141" t="s">
        <v>425</v>
      </c>
      <c r="Q294" s="141" t="s">
        <v>426</v>
      </c>
      <c r="R294" s="141" t="s">
        <v>362</v>
      </c>
      <c r="S294" s="141" t="s">
        <v>1325</v>
      </c>
      <c r="T294" s="141" t="s">
        <v>3265</v>
      </c>
      <c r="U294" s="141" t="s">
        <v>3265</v>
      </c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 t="s">
        <v>355</v>
      </c>
      <c r="AL294" s="141" t="s">
        <v>365</v>
      </c>
      <c r="AM294" s="141" t="s">
        <v>355</v>
      </c>
      <c r="AN294" s="141" t="s">
        <v>773</v>
      </c>
      <c r="AO294" s="141" t="s">
        <v>3265</v>
      </c>
      <c r="AP294" s="141" t="s">
        <v>3266</v>
      </c>
      <c r="AQ294" s="141" t="s">
        <v>2930</v>
      </c>
      <c r="AR294" s="141" t="s">
        <v>409</v>
      </c>
      <c r="AS294" s="141" t="s">
        <v>1325</v>
      </c>
      <c r="AT294" s="141"/>
      <c r="AU294" s="141" t="s">
        <v>1236</v>
      </c>
      <c r="AV294" s="141" t="s">
        <v>2638</v>
      </c>
      <c r="AW294" s="141" t="s">
        <v>1871</v>
      </c>
      <c r="AX294" s="141" t="s">
        <v>764</v>
      </c>
      <c r="AY294" s="141" t="s">
        <v>3064</v>
      </c>
      <c r="AZ294" s="141" t="s">
        <v>909</v>
      </c>
      <c r="BA294" s="141" t="s">
        <v>3403</v>
      </c>
      <c r="BB294" s="141" t="s">
        <v>903</v>
      </c>
      <c r="BC294" s="141" t="s">
        <v>3404</v>
      </c>
      <c r="BD294" s="141" t="s">
        <v>905</v>
      </c>
      <c r="BE294" s="141" t="s">
        <v>3405</v>
      </c>
      <c r="BF294" s="141" t="s">
        <v>1967</v>
      </c>
      <c r="BG294" s="141" t="s">
        <v>3406</v>
      </c>
      <c r="BH294" s="141" t="s">
        <v>913</v>
      </c>
      <c r="BI294" s="141" t="s">
        <v>3407</v>
      </c>
      <c r="BJ294" s="141" t="s">
        <v>383</v>
      </c>
      <c r="BK294" s="141" t="s">
        <v>3408</v>
      </c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73"/>
    </row>
    <row r="295" spans="2:105" x14ac:dyDescent="0.25">
      <c r="B295" s="172"/>
      <c r="C295" s="141" t="s">
        <v>3409</v>
      </c>
      <c r="D295" s="141" t="s">
        <v>3410</v>
      </c>
      <c r="E295" s="141" t="s">
        <v>2872</v>
      </c>
      <c r="F295" s="141" t="s">
        <v>3411</v>
      </c>
      <c r="G295" s="141"/>
      <c r="H295" s="141" t="s">
        <v>354</v>
      </c>
      <c r="I295" s="141"/>
      <c r="J295" s="141" t="s">
        <v>355</v>
      </c>
      <c r="K295" s="141" t="s">
        <v>465</v>
      </c>
      <c r="L295" s="141" t="s">
        <v>3412</v>
      </c>
      <c r="M295" s="141" t="s">
        <v>3413</v>
      </c>
      <c r="N295" s="141" t="s">
        <v>355</v>
      </c>
      <c r="O295" s="141" t="s">
        <v>409</v>
      </c>
      <c r="P295" s="141" t="s">
        <v>410</v>
      </c>
      <c r="Q295" s="141" t="s">
        <v>410</v>
      </c>
      <c r="R295" s="141" t="s">
        <v>362</v>
      </c>
      <c r="S295" s="141" t="s">
        <v>1325</v>
      </c>
      <c r="T295" s="141" t="s">
        <v>3265</v>
      </c>
      <c r="U295" s="141" t="s">
        <v>3265</v>
      </c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 t="s">
        <v>355</v>
      </c>
      <c r="AL295" s="141" t="s">
        <v>365</v>
      </c>
      <c r="AM295" s="141" t="s">
        <v>355</v>
      </c>
      <c r="AN295" s="141" t="s">
        <v>773</v>
      </c>
      <c r="AO295" s="141" t="s">
        <v>3265</v>
      </c>
      <c r="AP295" s="141" t="s">
        <v>3266</v>
      </c>
      <c r="AQ295" s="141" t="s">
        <v>2930</v>
      </c>
      <c r="AR295" s="141" t="s">
        <v>409</v>
      </c>
      <c r="AS295" s="141" t="s">
        <v>1340</v>
      </c>
      <c r="AT295" s="141"/>
      <c r="AU295" s="141" t="s">
        <v>3412</v>
      </c>
      <c r="AV295" s="141" t="s">
        <v>2638</v>
      </c>
      <c r="AW295" s="141" t="s">
        <v>895</v>
      </c>
      <c r="AX295" s="141" t="s">
        <v>764</v>
      </c>
      <c r="AY295" s="141" t="s">
        <v>3414</v>
      </c>
      <c r="AZ295" s="141" t="s">
        <v>909</v>
      </c>
      <c r="BA295" s="141" t="s">
        <v>504</v>
      </c>
      <c r="BB295" s="141" t="s">
        <v>903</v>
      </c>
      <c r="BC295" s="141" t="s">
        <v>3415</v>
      </c>
      <c r="BD295" s="141" t="s">
        <v>905</v>
      </c>
      <c r="BE295" s="141" t="s">
        <v>3416</v>
      </c>
      <c r="BF295" s="141" t="s">
        <v>1967</v>
      </c>
      <c r="BG295" s="141" t="s">
        <v>3417</v>
      </c>
      <c r="BH295" s="141" t="s">
        <v>913</v>
      </c>
      <c r="BI295" s="141" t="s">
        <v>3418</v>
      </c>
      <c r="BJ295" s="141" t="s">
        <v>383</v>
      </c>
      <c r="BK295" s="141" t="s">
        <v>3419</v>
      </c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73"/>
    </row>
    <row r="296" spans="2:105" x14ac:dyDescent="0.25">
      <c r="B296" s="172"/>
      <c r="C296" s="141" t="s">
        <v>3420</v>
      </c>
      <c r="D296" s="141" t="s">
        <v>3421</v>
      </c>
      <c r="E296" s="141" t="s">
        <v>3422</v>
      </c>
      <c r="F296" s="141" t="s">
        <v>2595</v>
      </c>
      <c r="G296" s="141"/>
      <c r="H296" s="141" t="s">
        <v>354</v>
      </c>
      <c r="I296" s="141"/>
      <c r="J296" s="141" t="s">
        <v>355</v>
      </c>
      <c r="K296" s="141" t="s">
        <v>856</v>
      </c>
      <c r="L296" s="141" t="s">
        <v>3423</v>
      </c>
      <c r="M296" s="141" t="s">
        <v>3424</v>
      </c>
      <c r="N296" s="141" t="s">
        <v>355</v>
      </c>
      <c r="O296" s="141" t="s">
        <v>394</v>
      </c>
      <c r="P296" s="141" t="s">
        <v>425</v>
      </c>
      <c r="Q296" s="141" t="s">
        <v>426</v>
      </c>
      <c r="R296" s="141" t="s">
        <v>362</v>
      </c>
      <c r="S296" s="141" t="s">
        <v>1325</v>
      </c>
      <c r="T296" s="141" t="s">
        <v>3265</v>
      </c>
      <c r="U296" s="141" t="s">
        <v>3265</v>
      </c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 t="s">
        <v>355</v>
      </c>
      <c r="AL296" s="141" t="s">
        <v>365</v>
      </c>
      <c r="AM296" s="141" t="s">
        <v>355</v>
      </c>
      <c r="AN296" s="141" t="s">
        <v>773</v>
      </c>
      <c r="AO296" s="141" t="s">
        <v>3265</v>
      </c>
      <c r="AP296" s="141" t="s">
        <v>3266</v>
      </c>
      <c r="AQ296" s="141" t="s">
        <v>2930</v>
      </c>
      <c r="AR296" s="141" t="s">
        <v>409</v>
      </c>
      <c r="AS296" s="141" t="s">
        <v>890</v>
      </c>
      <c r="AT296" s="141"/>
      <c r="AU296" s="141" t="s">
        <v>3423</v>
      </c>
      <c r="AV296" s="141" t="s">
        <v>2638</v>
      </c>
      <c r="AW296" s="141" t="s">
        <v>3425</v>
      </c>
      <c r="AX296" s="141" t="s">
        <v>764</v>
      </c>
      <c r="AY296" s="141" t="s">
        <v>2739</v>
      </c>
      <c r="AZ296" s="141" t="s">
        <v>909</v>
      </c>
      <c r="BA296" s="141" t="s">
        <v>3426</v>
      </c>
      <c r="BB296" s="141" t="s">
        <v>903</v>
      </c>
      <c r="BC296" s="141" t="s">
        <v>3427</v>
      </c>
      <c r="BD296" s="141" t="s">
        <v>905</v>
      </c>
      <c r="BE296" s="141" t="s">
        <v>3185</v>
      </c>
      <c r="BF296" s="141" t="s">
        <v>1967</v>
      </c>
      <c r="BG296" s="141" t="s">
        <v>3428</v>
      </c>
      <c r="BH296" s="141" t="s">
        <v>913</v>
      </c>
      <c r="BI296" s="141" t="s">
        <v>3429</v>
      </c>
      <c r="BJ296" s="141" t="s">
        <v>383</v>
      </c>
      <c r="BK296" s="141" t="s">
        <v>3430</v>
      </c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73"/>
    </row>
    <row r="297" spans="2:105" x14ac:dyDescent="0.25">
      <c r="B297" s="172"/>
      <c r="C297" s="141" t="s">
        <v>3431</v>
      </c>
      <c r="D297" s="141" t="s">
        <v>1295</v>
      </c>
      <c r="E297" s="141" t="s">
        <v>1592</v>
      </c>
      <c r="F297" s="141" t="s">
        <v>2437</v>
      </c>
      <c r="G297" s="141"/>
      <c r="H297" s="141" t="s">
        <v>354</v>
      </c>
      <c r="I297" s="141"/>
      <c r="J297" s="141" t="s">
        <v>355</v>
      </c>
      <c r="K297" s="141" t="s">
        <v>2234</v>
      </c>
      <c r="L297" s="141"/>
      <c r="M297" s="141"/>
      <c r="N297" s="141" t="s">
        <v>370</v>
      </c>
      <c r="O297" s="141" t="s">
        <v>392</v>
      </c>
      <c r="P297" s="141" t="s">
        <v>393</v>
      </c>
      <c r="Q297" s="141" t="s">
        <v>393</v>
      </c>
      <c r="R297" s="141" t="s">
        <v>362</v>
      </c>
      <c r="S297" s="141" t="s">
        <v>1325</v>
      </c>
      <c r="T297" s="141" t="s">
        <v>3265</v>
      </c>
      <c r="U297" s="141" t="s">
        <v>3265</v>
      </c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 t="s">
        <v>355</v>
      </c>
      <c r="AL297" s="141" t="s">
        <v>365</v>
      </c>
      <c r="AM297" s="141" t="s">
        <v>355</v>
      </c>
      <c r="AN297" s="141" t="s">
        <v>773</v>
      </c>
      <c r="AO297" s="141" t="s">
        <v>3265</v>
      </c>
      <c r="AP297" s="141" t="s">
        <v>3266</v>
      </c>
      <c r="AQ297" s="141" t="s">
        <v>2930</v>
      </c>
      <c r="AR297" s="141" t="s">
        <v>409</v>
      </c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73"/>
    </row>
    <row r="298" spans="2:105" x14ac:dyDescent="0.25">
      <c r="B298" s="172"/>
      <c r="C298" s="141"/>
      <c r="D298" s="141" t="s">
        <v>3432</v>
      </c>
      <c r="E298" s="141"/>
      <c r="F298" s="141" t="s">
        <v>467</v>
      </c>
      <c r="G298" s="141"/>
      <c r="H298" s="141" t="s">
        <v>354</v>
      </c>
      <c r="I298" s="141"/>
      <c r="J298" s="141" t="s">
        <v>355</v>
      </c>
      <c r="K298" s="141" t="s">
        <v>2246</v>
      </c>
      <c r="L298" s="141"/>
      <c r="M298" s="141"/>
      <c r="N298" s="141" t="s">
        <v>355</v>
      </c>
      <c r="O298" s="141"/>
      <c r="P298" s="141"/>
      <c r="Q298" s="141"/>
      <c r="R298" s="141"/>
      <c r="S298" s="141" t="s">
        <v>1325</v>
      </c>
      <c r="T298" s="141" t="s">
        <v>3265</v>
      </c>
      <c r="U298" s="141" t="s">
        <v>3265</v>
      </c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 t="s">
        <v>355</v>
      </c>
      <c r="AL298" s="141" t="s">
        <v>365</v>
      </c>
      <c r="AM298" s="141" t="s">
        <v>355</v>
      </c>
      <c r="AN298" s="141" t="s">
        <v>773</v>
      </c>
      <c r="AO298" s="141" t="s">
        <v>3265</v>
      </c>
      <c r="AP298" s="141" t="s">
        <v>3266</v>
      </c>
      <c r="AQ298" s="141" t="s">
        <v>2930</v>
      </c>
      <c r="AR298" s="141" t="s">
        <v>409</v>
      </c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73"/>
    </row>
    <row r="299" spans="2:105" x14ac:dyDescent="0.25">
      <c r="B299" s="172"/>
      <c r="C299" s="141"/>
      <c r="D299" s="141" t="s">
        <v>3433</v>
      </c>
      <c r="E299" s="141"/>
      <c r="F299" s="141" t="s">
        <v>467</v>
      </c>
      <c r="G299" s="141"/>
      <c r="H299" s="141" t="s">
        <v>354</v>
      </c>
      <c r="I299" s="141"/>
      <c r="J299" s="141" t="s">
        <v>355</v>
      </c>
      <c r="K299" s="141" t="s">
        <v>356</v>
      </c>
      <c r="L299" s="141"/>
      <c r="M299" s="141"/>
      <c r="N299" s="141" t="s">
        <v>355</v>
      </c>
      <c r="O299" s="141"/>
      <c r="P299" s="141"/>
      <c r="Q299" s="141"/>
      <c r="R299" s="141"/>
      <c r="S299" s="141" t="s">
        <v>1325</v>
      </c>
      <c r="T299" s="141" t="s">
        <v>3265</v>
      </c>
      <c r="U299" s="141" t="s">
        <v>3265</v>
      </c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 t="s">
        <v>355</v>
      </c>
      <c r="AL299" s="141" t="s">
        <v>365</v>
      </c>
      <c r="AM299" s="141" t="s">
        <v>355</v>
      </c>
      <c r="AN299" s="141" t="s">
        <v>773</v>
      </c>
      <c r="AO299" s="141" t="s">
        <v>3265</v>
      </c>
      <c r="AP299" s="141" t="s">
        <v>3266</v>
      </c>
      <c r="AQ299" s="141" t="s">
        <v>2930</v>
      </c>
      <c r="AR299" s="141" t="s">
        <v>409</v>
      </c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73"/>
    </row>
    <row r="300" spans="2:105" x14ac:dyDescent="0.25">
      <c r="B300" s="172"/>
      <c r="C300" s="141" t="s">
        <v>3434</v>
      </c>
      <c r="D300" s="141" t="s">
        <v>3435</v>
      </c>
      <c r="E300" s="141" t="s">
        <v>3436</v>
      </c>
      <c r="F300" s="141" t="s">
        <v>3437</v>
      </c>
      <c r="G300" s="141"/>
      <c r="H300" s="141" t="s">
        <v>354</v>
      </c>
      <c r="I300" s="141"/>
      <c r="J300" s="141" t="s">
        <v>355</v>
      </c>
      <c r="K300" s="141" t="s">
        <v>1833</v>
      </c>
      <c r="L300" s="141"/>
      <c r="M300" s="141"/>
      <c r="N300" s="141" t="s">
        <v>370</v>
      </c>
      <c r="O300" s="141" t="s">
        <v>394</v>
      </c>
      <c r="P300" s="141" t="s">
        <v>425</v>
      </c>
      <c r="Q300" s="141" t="s">
        <v>426</v>
      </c>
      <c r="R300" s="141" t="s">
        <v>362</v>
      </c>
      <c r="S300" s="141" t="s">
        <v>1325</v>
      </c>
      <c r="T300" s="141" t="s">
        <v>3265</v>
      </c>
      <c r="U300" s="141" t="s">
        <v>3265</v>
      </c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 t="s">
        <v>355</v>
      </c>
      <c r="AL300" s="141" t="s">
        <v>365</v>
      </c>
      <c r="AM300" s="141" t="s">
        <v>355</v>
      </c>
      <c r="AN300" s="141" t="s">
        <v>773</v>
      </c>
      <c r="AO300" s="141" t="s">
        <v>3265</v>
      </c>
      <c r="AP300" s="141" t="s">
        <v>3266</v>
      </c>
      <c r="AQ300" s="141" t="s">
        <v>2930</v>
      </c>
      <c r="AR300" s="141" t="s">
        <v>409</v>
      </c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73"/>
    </row>
    <row r="301" spans="2:105" x14ac:dyDescent="0.25">
      <c r="B301" s="172"/>
      <c r="C301" s="141" t="s">
        <v>3438</v>
      </c>
      <c r="D301" s="141" t="s">
        <v>3439</v>
      </c>
      <c r="E301" s="141" t="s">
        <v>463</v>
      </c>
      <c r="F301" s="141" t="s">
        <v>3328</v>
      </c>
      <c r="G301" s="141"/>
      <c r="H301" s="141" t="s">
        <v>354</v>
      </c>
      <c r="I301" s="141"/>
      <c r="J301" s="141" t="s">
        <v>355</v>
      </c>
      <c r="K301" s="141" t="s">
        <v>468</v>
      </c>
      <c r="L301" s="141"/>
      <c r="M301" s="141"/>
      <c r="N301" s="141" t="s">
        <v>370</v>
      </c>
      <c r="O301" s="141" t="s">
        <v>394</v>
      </c>
      <c r="P301" s="141" t="s">
        <v>425</v>
      </c>
      <c r="Q301" s="141" t="s">
        <v>426</v>
      </c>
      <c r="R301" s="141" t="s">
        <v>362</v>
      </c>
      <c r="S301" s="141" t="s">
        <v>1325</v>
      </c>
      <c r="T301" s="141" t="s">
        <v>3265</v>
      </c>
      <c r="U301" s="141" t="s">
        <v>3265</v>
      </c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 t="s">
        <v>355</v>
      </c>
      <c r="AL301" s="141" t="s">
        <v>365</v>
      </c>
      <c r="AM301" s="141" t="s">
        <v>355</v>
      </c>
      <c r="AN301" s="141" t="s">
        <v>773</v>
      </c>
      <c r="AO301" s="141" t="s">
        <v>3265</v>
      </c>
      <c r="AP301" s="141" t="s">
        <v>3266</v>
      </c>
      <c r="AQ301" s="141" t="s">
        <v>2930</v>
      </c>
      <c r="AR301" s="141" t="s">
        <v>409</v>
      </c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73"/>
    </row>
    <row r="302" spans="2:105" x14ac:dyDescent="0.25">
      <c r="B302" s="172"/>
      <c r="C302" s="141" t="s">
        <v>3440</v>
      </c>
      <c r="D302" s="141" t="s">
        <v>373</v>
      </c>
      <c r="E302" s="141" t="s">
        <v>765</v>
      </c>
      <c r="F302" s="141" t="s">
        <v>2448</v>
      </c>
      <c r="G302" s="141"/>
      <c r="H302" s="141" t="s">
        <v>354</v>
      </c>
      <c r="I302" s="141"/>
      <c r="J302" s="141" t="s">
        <v>355</v>
      </c>
      <c r="K302" s="141" t="s">
        <v>1994</v>
      </c>
      <c r="L302" s="141" t="s">
        <v>3441</v>
      </c>
      <c r="M302" s="141" t="s">
        <v>3442</v>
      </c>
      <c r="N302" s="141" t="s">
        <v>355</v>
      </c>
      <c r="O302" s="141" t="s">
        <v>394</v>
      </c>
      <c r="P302" s="141" t="s">
        <v>425</v>
      </c>
      <c r="Q302" s="141" t="s">
        <v>426</v>
      </c>
      <c r="R302" s="141" t="s">
        <v>362</v>
      </c>
      <c r="S302" s="141" t="s">
        <v>1309</v>
      </c>
      <c r="T302" s="141" t="s">
        <v>3443</v>
      </c>
      <c r="U302" s="141" t="s">
        <v>3443</v>
      </c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 t="s">
        <v>355</v>
      </c>
      <c r="AL302" s="141" t="s">
        <v>365</v>
      </c>
      <c r="AM302" s="141" t="s">
        <v>355</v>
      </c>
      <c r="AN302" s="141" t="s">
        <v>1578</v>
      </c>
      <c r="AO302" s="141" t="s">
        <v>3443</v>
      </c>
      <c r="AP302" s="141" t="s">
        <v>3444</v>
      </c>
      <c r="AQ302" s="141" t="s">
        <v>1072</v>
      </c>
      <c r="AR302" s="141" t="s">
        <v>409</v>
      </c>
      <c r="AS302" s="141" t="s">
        <v>370</v>
      </c>
      <c r="AT302" s="141"/>
      <c r="AU302" s="141" t="s">
        <v>3441</v>
      </c>
      <c r="AV302" s="141" t="s">
        <v>2663</v>
      </c>
      <c r="AW302" s="141" t="s">
        <v>2540</v>
      </c>
      <c r="AX302" s="141" t="s">
        <v>2638</v>
      </c>
      <c r="AY302" s="141" t="s">
        <v>3445</v>
      </c>
      <c r="AZ302" s="141" t="s">
        <v>1587</v>
      </c>
      <c r="BA302" s="141" t="s">
        <v>3446</v>
      </c>
      <c r="BB302" s="141" t="s">
        <v>903</v>
      </c>
      <c r="BC302" s="141" t="s">
        <v>3447</v>
      </c>
      <c r="BD302" s="141" t="s">
        <v>905</v>
      </c>
      <c r="BE302" s="141" t="s">
        <v>973</v>
      </c>
      <c r="BF302" s="141" t="s">
        <v>1967</v>
      </c>
      <c r="BG302" s="141" t="s">
        <v>2372</v>
      </c>
      <c r="BH302" s="141" t="s">
        <v>786</v>
      </c>
      <c r="BI302" s="141" t="s">
        <v>1950</v>
      </c>
      <c r="BJ302" s="141" t="s">
        <v>383</v>
      </c>
      <c r="BK302" s="141" t="s">
        <v>3448</v>
      </c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73"/>
    </row>
    <row r="303" spans="2:105" x14ac:dyDescent="0.25">
      <c r="B303" s="172"/>
      <c r="C303" s="141" t="s">
        <v>3449</v>
      </c>
      <c r="D303" s="141" t="s">
        <v>780</v>
      </c>
      <c r="E303" s="141" t="s">
        <v>573</v>
      </c>
      <c r="F303" s="141" t="s">
        <v>3450</v>
      </c>
      <c r="G303" s="141"/>
      <c r="H303" s="141" t="s">
        <v>354</v>
      </c>
      <c r="I303" s="141"/>
      <c r="J303" s="141" t="s">
        <v>355</v>
      </c>
      <c r="K303" s="141" t="s">
        <v>2306</v>
      </c>
      <c r="L303" s="141" t="s">
        <v>3451</v>
      </c>
      <c r="M303" s="141" t="s">
        <v>3452</v>
      </c>
      <c r="N303" s="141" t="s">
        <v>355</v>
      </c>
      <c r="O303" s="141" t="s">
        <v>394</v>
      </c>
      <c r="P303" s="141" t="s">
        <v>425</v>
      </c>
      <c r="Q303" s="141" t="s">
        <v>426</v>
      </c>
      <c r="R303" s="141" t="s">
        <v>362</v>
      </c>
      <c r="S303" s="141" t="s">
        <v>1309</v>
      </c>
      <c r="T303" s="141" t="s">
        <v>3443</v>
      </c>
      <c r="U303" s="141" t="s">
        <v>3443</v>
      </c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 t="s">
        <v>355</v>
      </c>
      <c r="AL303" s="141" t="s">
        <v>365</v>
      </c>
      <c r="AM303" s="141" t="s">
        <v>355</v>
      </c>
      <c r="AN303" s="141" t="s">
        <v>1578</v>
      </c>
      <c r="AO303" s="141" t="s">
        <v>3443</v>
      </c>
      <c r="AP303" s="141" t="s">
        <v>3444</v>
      </c>
      <c r="AQ303" s="141" t="s">
        <v>1072</v>
      </c>
      <c r="AR303" s="141" t="s">
        <v>409</v>
      </c>
      <c r="AS303" s="141" t="s">
        <v>394</v>
      </c>
      <c r="AT303" s="141"/>
      <c r="AU303" s="141" t="s">
        <v>3451</v>
      </c>
      <c r="AV303" s="141" t="s">
        <v>2663</v>
      </c>
      <c r="AW303" s="141" t="s">
        <v>2788</v>
      </c>
      <c r="AX303" s="141" t="s">
        <v>2638</v>
      </c>
      <c r="AY303" s="141" t="s">
        <v>3453</v>
      </c>
      <c r="AZ303" s="141" t="s">
        <v>1587</v>
      </c>
      <c r="BA303" s="141" t="s">
        <v>3454</v>
      </c>
      <c r="BB303" s="141" t="s">
        <v>903</v>
      </c>
      <c r="BC303" s="141" t="s">
        <v>3455</v>
      </c>
      <c r="BD303" s="141" t="s">
        <v>905</v>
      </c>
      <c r="BE303" s="141" t="s">
        <v>591</v>
      </c>
      <c r="BF303" s="141" t="s">
        <v>1967</v>
      </c>
      <c r="BG303" s="141" t="s">
        <v>3456</v>
      </c>
      <c r="BH303" s="141" t="s">
        <v>786</v>
      </c>
      <c r="BI303" s="141" t="s">
        <v>3457</v>
      </c>
      <c r="BJ303" s="141" t="s">
        <v>383</v>
      </c>
      <c r="BK303" s="141" t="s">
        <v>3458</v>
      </c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73"/>
    </row>
    <row r="304" spans="2:105" x14ac:dyDescent="0.25">
      <c r="B304" s="172"/>
      <c r="C304" s="141" t="s">
        <v>3459</v>
      </c>
      <c r="D304" s="141" t="s">
        <v>3460</v>
      </c>
      <c r="E304" s="141" t="s">
        <v>3461</v>
      </c>
      <c r="F304" s="141" t="s">
        <v>3462</v>
      </c>
      <c r="G304" s="141"/>
      <c r="H304" s="141" t="s">
        <v>354</v>
      </c>
      <c r="I304" s="141"/>
      <c r="J304" s="141" t="s">
        <v>355</v>
      </c>
      <c r="K304" s="141" t="s">
        <v>483</v>
      </c>
      <c r="L304" s="141" t="s">
        <v>3463</v>
      </c>
      <c r="M304" s="141" t="s">
        <v>3464</v>
      </c>
      <c r="N304" s="141" t="s">
        <v>355</v>
      </c>
      <c r="O304" s="141" t="s">
        <v>427</v>
      </c>
      <c r="P304" s="141" t="s">
        <v>455</v>
      </c>
      <c r="Q304" s="141" t="s">
        <v>456</v>
      </c>
      <c r="R304" s="141" t="s">
        <v>362</v>
      </c>
      <c r="S304" s="141" t="s">
        <v>1309</v>
      </c>
      <c r="T304" s="141" t="s">
        <v>3443</v>
      </c>
      <c r="U304" s="141" t="s">
        <v>3443</v>
      </c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 t="s">
        <v>355</v>
      </c>
      <c r="AL304" s="141" t="s">
        <v>365</v>
      </c>
      <c r="AM304" s="141" t="s">
        <v>355</v>
      </c>
      <c r="AN304" s="141" t="s">
        <v>1578</v>
      </c>
      <c r="AO304" s="141" t="s">
        <v>3443</v>
      </c>
      <c r="AP304" s="141" t="s">
        <v>3444</v>
      </c>
      <c r="AQ304" s="141" t="s">
        <v>1072</v>
      </c>
      <c r="AR304" s="141" t="s">
        <v>409</v>
      </c>
      <c r="AS304" s="141" t="s">
        <v>359</v>
      </c>
      <c r="AT304" s="141"/>
      <c r="AU304" s="141" t="s">
        <v>3463</v>
      </c>
      <c r="AV304" s="141" t="s">
        <v>2663</v>
      </c>
      <c r="AW304" s="141" t="s">
        <v>3465</v>
      </c>
      <c r="AX304" s="141" t="s">
        <v>2638</v>
      </c>
      <c r="AY304" s="141" t="s">
        <v>3466</v>
      </c>
      <c r="AZ304" s="141" t="s">
        <v>1587</v>
      </c>
      <c r="BA304" s="141" t="s">
        <v>3467</v>
      </c>
      <c r="BB304" s="141" t="s">
        <v>903</v>
      </c>
      <c r="BC304" s="141" t="s">
        <v>3468</v>
      </c>
      <c r="BD304" s="141" t="s">
        <v>905</v>
      </c>
      <c r="BE304" s="141" t="s">
        <v>3469</v>
      </c>
      <c r="BF304" s="141" t="s">
        <v>1967</v>
      </c>
      <c r="BG304" s="141" t="s">
        <v>3448</v>
      </c>
      <c r="BH304" s="141" t="s">
        <v>786</v>
      </c>
      <c r="BI304" s="141" t="s">
        <v>3470</v>
      </c>
      <c r="BJ304" s="141" t="s">
        <v>383</v>
      </c>
      <c r="BK304" s="141" t="s">
        <v>3471</v>
      </c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73"/>
    </row>
    <row r="305" spans="2:105" x14ac:dyDescent="0.25">
      <c r="B305" s="172"/>
      <c r="C305" s="141" t="s">
        <v>3472</v>
      </c>
      <c r="D305" s="141" t="s">
        <v>3473</v>
      </c>
      <c r="E305" s="141" t="s">
        <v>765</v>
      </c>
      <c r="F305" s="141" t="s">
        <v>3474</v>
      </c>
      <c r="G305" s="141"/>
      <c r="H305" s="141" t="s">
        <v>354</v>
      </c>
      <c r="I305" s="141"/>
      <c r="J305" s="141" t="s">
        <v>355</v>
      </c>
      <c r="K305" s="141" t="s">
        <v>1127</v>
      </c>
      <c r="L305" s="141" t="s">
        <v>3475</v>
      </c>
      <c r="M305" s="141" t="s">
        <v>3287</v>
      </c>
      <c r="N305" s="141" t="s">
        <v>355</v>
      </c>
      <c r="O305" s="141" t="s">
        <v>394</v>
      </c>
      <c r="P305" s="141" t="s">
        <v>425</v>
      </c>
      <c r="Q305" s="141" t="s">
        <v>426</v>
      </c>
      <c r="R305" s="141" t="s">
        <v>362</v>
      </c>
      <c r="S305" s="141" t="s">
        <v>1309</v>
      </c>
      <c r="T305" s="141" t="s">
        <v>3443</v>
      </c>
      <c r="U305" s="141" t="s">
        <v>3443</v>
      </c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 t="s">
        <v>355</v>
      </c>
      <c r="AL305" s="141" t="s">
        <v>365</v>
      </c>
      <c r="AM305" s="141" t="s">
        <v>355</v>
      </c>
      <c r="AN305" s="141" t="s">
        <v>1578</v>
      </c>
      <c r="AO305" s="141" t="s">
        <v>3443</v>
      </c>
      <c r="AP305" s="141" t="s">
        <v>3444</v>
      </c>
      <c r="AQ305" s="141" t="s">
        <v>1072</v>
      </c>
      <c r="AR305" s="141" t="s">
        <v>409</v>
      </c>
      <c r="AS305" s="141" t="s">
        <v>427</v>
      </c>
      <c r="AT305" s="141"/>
      <c r="AU305" s="141" t="s">
        <v>3475</v>
      </c>
      <c r="AV305" s="141" t="s">
        <v>2663</v>
      </c>
      <c r="AW305" s="141" t="s">
        <v>514</v>
      </c>
      <c r="AX305" s="141" t="s">
        <v>2638</v>
      </c>
      <c r="AY305" s="141" t="s">
        <v>3476</v>
      </c>
      <c r="AZ305" s="141" t="s">
        <v>1587</v>
      </c>
      <c r="BA305" s="141" t="s">
        <v>3477</v>
      </c>
      <c r="BB305" s="141" t="s">
        <v>903</v>
      </c>
      <c r="BC305" s="141" t="s">
        <v>3478</v>
      </c>
      <c r="BD305" s="141" t="s">
        <v>905</v>
      </c>
      <c r="BE305" s="141" t="s">
        <v>2707</v>
      </c>
      <c r="BF305" s="141" t="s">
        <v>1967</v>
      </c>
      <c r="BG305" s="141" t="s">
        <v>3479</v>
      </c>
      <c r="BH305" s="141" t="s">
        <v>786</v>
      </c>
      <c r="BI305" s="141" t="s">
        <v>3480</v>
      </c>
      <c r="BJ305" s="141" t="s">
        <v>383</v>
      </c>
      <c r="BK305" s="141" t="s">
        <v>3481</v>
      </c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73"/>
    </row>
    <row r="306" spans="2:105" x14ac:dyDescent="0.25">
      <c r="B306" s="172"/>
      <c r="C306" s="141" t="s">
        <v>3482</v>
      </c>
      <c r="D306" s="141" t="s">
        <v>3483</v>
      </c>
      <c r="E306" s="141" t="s">
        <v>1745</v>
      </c>
      <c r="F306" s="141" t="s">
        <v>3484</v>
      </c>
      <c r="G306" s="141"/>
      <c r="H306" s="141" t="s">
        <v>354</v>
      </c>
      <c r="I306" s="141"/>
      <c r="J306" s="141" t="s">
        <v>355</v>
      </c>
      <c r="K306" s="141" t="s">
        <v>755</v>
      </c>
      <c r="L306" s="141" t="s">
        <v>3485</v>
      </c>
      <c r="M306" s="141" t="s">
        <v>3486</v>
      </c>
      <c r="N306" s="141" t="s">
        <v>355</v>
      </c>
      <c r="O306" s="141" t="s">
        <v>370</v>
      </c>
      <c r="P306" s="141" t="s">
        <v>529</v>
      </c>
      <c r="Q306" s="141" t="s">
        <v>530</v>
      </c>
      <c r="R306" s="141" t="s">
        <v>362</v>
      </c>
      <c r="S306" s="141" t="s">
        <v>1309</v>
      </c>
      <c r="T306" s="141" t="s">
        <v>3443</v>
      </c>
      <c r="U306" s="141" t="s">
        <v>3443</v>
      </c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 t="s">
        <v>355</v>
      </c>
      <c r="AL306" s="141" t="s">
        <v>365</v>
      </c>
      <c r="AM306" s="141" t="s">
        <v>355</v>
      </c>
      <c r="AN306" s="141" t="s">
        <v>1578</v>
      </c>
      <c r="AO306" s="141" t="s">
        <v>3443</v>
      </c>
      <c r="AP306" s="141" t="s">
        <v>3444</v>
      </c>
      <c r="AQ306" s="141" t="s">
        <v>1072</v>
      </c>
      <c r="AR306" s="141" t="s">
        <v>409</v>
      </c>
      <c r="AS306" s="141" t="s">
        <v>442</v>
      </c>
      <c r="AT306" s="141"/>
      <c r="AU306" s="141" t="s">
        <v>3485</v>
      </c>
      <c r="AV306" s="141" t="s">
        <v>2663</v>
      </c>
      <c r="AW306" s="141" t="s">
        <v>3487</v>
      </c>
      <c r="AX306" s="141" t="s">
        <v>2638</v>
      </c>
      <c r="AY306" s="141" t="s">
        <v>3488</v>
      </c>
      <c r="AZ306" s="141" t="s">
        <v>1587</v>
      </c>
      <c r="BA306" s="141" t="s">
        <v>3489</v>
      </c>
      <c r="BB306" s="141" t="s">
        <v>903</v>
      </c>
      <c r="BC306" s="141" t="s">
        <v>2382</v>
      </c>
      <c r="BD306" s="141" t="s">
        <v>905</v>
      </c>
      <c r="BE306" s="141" t="s">
        <v>3490</v>
      </c>
      <c r="BF306" s="141" t="s">
        <v>1967</v>
      </c>
      <c r="BG306" s="141" t="s">
        <v>3491</v>
      </c>
      <c r="BH306" s="141" t="s">
        <v>786</v>
      </c>
      <c r="BI306" s="141" t="s">
        <v>3492</v>
      </c>
      <c r="BJ306" s="141" t="s">
        <v>383</v>
      </c>
      <c r="BK306" s="141" t="s">
        <v>3493</v>
      </c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73"/>
    </row>
    <row r="307" spans="2:105" x14ac:dyDescent="0.25">
      <c r="B307" s="172"/>
      <c r="C307" s="141" t="s">
        <v>3494</v>
      </c>
      <c r="D307" s="141" t="s">
        <v>3495</v>
      </c>
      <c r="E307" s="141" t="s">
        <v>3496</v>
      </c>
      <c r="F307" s="141" t="s">
        <v>2537</v>
      </c>
      <c r="G307" s="141"/>
      <c r="H307" s="141" t="s">
        <v>354</v>
      </c>
      <c r="I307" s="141"/>
      <c r="J307" s="141" t="s">
        <v>355</v>
      </c>
      <c r="K307" s="141" t="s">
        <v>2326</v>
      </c>
      <c r="L307" s="141" t="s">
        <v>3497</v>
      </c>
      <c r="M307" s="141" t="s">
        <v>3498</v>
      </c>
      <c r="N307" s="141" t="s">
        <v>355</v>
      </c>
      <c r="O307" s="141" t="s">
        <v>359</v>
      </c>
      <c r="P307" s="141" t="s">
        <v>360</v>
      </c>
      <c r="Q307" s="141" t="s">
        <v>361</v>
      </c>
      <c r="R307" s="141" t="s">
        <v>362</v>
      </c>
      <c r="S307" s="141" t="s">
        <v>1309</v>
      </c>
      <c r="T307" s="141" t="s">
        <v>3443</v>
      </c>
      <c r="U307" s="141" t="s">
        <v>3443</v>
      </c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 t="s">
        <v>355</v>
      </c>
      <c r="AL307" s="141" t="s">
        <v>365</v>
      </c>
      <c r="AM307" s="141" t="s">
        <v>355</v>
      </c>
      <c r="AN307" s="141" t="s">
        <v>1578</v>
      </c>
      <c r="AO307" s="141" t="s">
        <v>3443</v>
      </c>
      <c r="AP307" s="141" t="s">
        <v>3444</v>
      </c>
      <c r="AQ307" s="141" t="s">
        <v>1072</v>
      </c>
      <c r="AR307" s="141" t="s">
        <v>409</v>
      </c>
      <c r="AS307" s="141" t="s">
        <v>392</v>
      </c>
      <c r="AT307" s="141"/>
      <c r="AU307" s="141" t="s">
        <v>3497</v>
      </c>
      <c r="AV307" s="141" t="s">
        <v>2663</v>
      </c>
      <c r="AW307" s="141" t="s">
        <v>3499</v>
      </c>
      <c r="AX307" s="141" t="s">
        <v>2638</v>
      </c>
      <c r="AY307" s="141" t="s">
        <v>2052</v>
      </c>
      <c r="AZ307" s="141" t="s">
        <v>1587</v>
      </c>
      <c r="BA307" s="141" t="s">
        <v>413</v>
      </c>
      <c r="BB307" s="141" t="s">
        <v>903</v>
      </c>
      <c r="BC307" s="141" t="s">
        <v>1653</v>
      </c>
      <c r="BD307" s="141" t="s">
        <v>905</v>
      </c>
      <c r="BE307" s="141" t="s">
        <v>3500</v>
      </c>
      <c r="BF307" s="141" t="s">
        <v>1967</v>
      </c>
      <c r="BG307" s="141" t="s">
        <v>2916</v>
      </c>
      <c r="BH307" s="141" t="s">
        <v>786</v>
      </c>
      <c r="BI307" s="141" t="s">
        <v>3501</v>
      </c>
      <c r="BJ307" s="141" t="s">
        <v>383</v>
      </c>
      <c r="BK307" s="141" t="s">
        <v>3502</v>
      </c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73"/>
    </row>
    <row r="308" spans="2:105" x14ac:dyDescent="0.25">
      <c r="B308" s="172"/>
      <c r="C308" s="141" t="s">
        <v>3503</v>
      </c>
      <c r="D308" s="141" t="s">
        <v>3504</v>
      </c>
      <c r="E308" s="141" t="s">
        <v>714</v>
      </c>
      <c r="F308" s="141" t="s">
        <v>2448</v>
      </c>
      <c r="G308" s="141"/>
      <c r="H308" s="141" t="s">
        <v>354</v>
      </c>
      <c r="I308" s="141"/>
      <c r="J308" s="141" t="s">
        <v>355</v>
      </c>
      <c r="K308" s="141" t="s">
        <v>742</v>
      </c>
      <c r="L308" s="141" t="s">
        <v>3505</v>
      </c>
      <c r="M308" s="141" t="s">
        <v>3506</v>
      </c>
      <c r="N308" s="141" t="s">
        <v>355</v>
      </c>
      <c r="O308" s="141" t="s">
        <v>359</v>
      </c>
      <c r="P308" s="141" t="s">
        <v>360</v>
      </c>
      <c r="Q308" s="141" t="s">
        <v>361</v>
      </c>
      <c r="R308" s="141" t="s">
        <v>362</v>
      </c>
      <c r="S308" s="141" t="s">
        <v>1309</v>
      </c>
      <c r="T308" s="141" t="s">
        <v>3443</v>
      </c>
      <c r="U308" s="141" t="s">
        <v>3443</v>
      </c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 t="s">
        <v>355</v>
      </c>
      <c r="AL308" s="141" t="s">
        <v>365</v>
      </c>
      <c r="AM308" s="141" t="s">
        <v>355</v>
      </c>
      <c r="AN308" s="141" t="s">
        <v>1578</v>
      </c>
      <c r="AO308" s="141" t="s">
        <v>3443</v>
      </c>
      <c r="AP308" s="141" t="s">
        <v>3444</v>
      </c>
      <c r="AQ308" s="141" t="s">
        <v>1072</v>
      </c>
      <c r="AR308" s="141" t="s">
        <v>409</v>
      </c>
      <c r="AS308" s="141" t="s">
        <v>369</v>
      </c>
      <c r="AT308" s="141"/>
      <c r="AU308" s="141" t="s">
        <v>3505</v>
      </c>
      <c r="AV308" s="141" t="s">
        <v>2663</v>
      </c>
      <c r="AW308" s="141" t="s">
        <v>3507</v>
      </c>
      <c r="AX308" s="141" t="s">
        <v>2638</v>
      </c>
      <c r="AY308" s="141" t="s">
        <v>3015</v>
      </c>
      <c r="AZ308" s="141" t="s">
        <v>1587</v>
      </c>
      <c r="BA308" s="141" t="s">
        <v>3508</v>
      </c>
      <c r="BB308" s="141" t="s">
        <v>903</v>
      </c>
      <c r="BC308" s="141" t="s">
        <v>3509</v>
      </c>
      <c r="BD308" s="141" t="s">
        <v>905</v>
      </c>
      <c r="BE308" s="141" t="s">
        <v>2665</v>
      </c>
      <c r="BF308" s="141" t="s">
        <v>1967</v>
      </c>
      <c r="BG308" s="141" t="s">
        <v>3510</v>
      </c>
      <c r="BH308" s="141" t="s">
        <v>786</v>
      </c>
      <c r="BI308" s="141" t="s">
        <v>3511</v>
      </c>
      <c r="BJ308" s="141" t="s">
        <v>383</v>
      </c>
      <c r="BK308" s="141" t="s">
        <v>964</v>
      </c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73"/>
    </row>
    <row r="309" spans="2:105" x14ac:dyDescent="0.25">
      <c r="B309" s="172"/>
      <c r="C309" s="141" t="s">
        <v>3512</v>
      </c>
      <c r="D309" s="141" t="s">
        <v>3513</v>
      </c>
      <c r="E309" s="141" t="s">
        <v>940</v>
      </c>
      <c r="F309" s="141" t="s">
        <v>2623</v>
      </c>
      <c r="G309" s="141"/>
      <c r="H309" s="141" t="s">
        <v>354</v>
      </c>
      <c r="I309" s="141"/>
      <c r="J309" s="141" t="s">
        <v>355</v>
      </c>
      <c r="K309" s="141" t="s">
        <v>1544</v>
      </c>
      <c r="L309" s="141" t="s">
        <v>3514</v>
      </c>
      <c r="M309" s="141" t="s">
        <v>707</v>
      </c>
      <c r="N309" s="141" t="s">
        <v>355</v>
      </c>
      <c r="O309" s="141" t="s">
        <v>427</v>
      </c>
      <c r="P309" s="141" t="s">
        <v>455</v>
      </c>
      <c r="Q309" s="141" t="s">
        <v>456</v>
      </c>
      <c r="R309" s="141" t="s">
        <v>362</v>
      </c>
      <c r="S309" s="141" t="s">
        <v>1309</v>
      </c>
      <c r="T309" s="141" t="s">
        <v>3443</v>
      </c>
      <c r="U309" s="141" t="s">
        <v>3443</v>
      </c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 t="s">
        <v>355</v>
      </c>
      <c r="AL309" s="141" t="s">
        <v>365</v>
      </c>
      <c r="AM309" s="141" t="s">
        <v>355</v>
      </c>
      <c r="AN309" s="141" t="s">
        <v>1578</v>
      </c>
      <c r="AO309" s="141" t="s">
        <v>3443</v>
      </c>
      <c r="AP309" s="141" t="s">
        <v>3444</v>
      </c>
      <c r="AQ309" s="141" t="s">
        <v>1072</v>
      </c>
      <c r="AR309" s="141" t="s">
        <v>409</v>
      </c>
      <c r="AS309" s="141" t="s">
        <v>409</v>
      </c>
      <c r="AT309" s="141"/>
      <c r="AU309" s="141" t="s">
        <v>3514</v>
      </c>
      <c r="AV309" s="141" t="s">
        <v>2663</v>
      </c>
      <c r="AW309" s="141" t="s">
        <v>3515</v>
      </c>
      <c r="AX309" s="141" t="s">
        <v>2638</v>
      </c>
      <c r="AY309" s="141" t="s">
        <v>2817</v>
      </c>
      <c r="AZ309" s="141" t="s">
        <v>1587</v>
      </c>
      <c r="BA309" s="141" t="s">
        <v>3516</v>
      </c>
      <c r="BB309" s="141" t="s">
        <v>903</v>
      </c>
      <c r="BC309" s="141" t="s">
        <v>3517</v>
      </c>
      <c r="BD309" s="141" t="s">
        <v>905</v>
      </c>
      <c r="BE309" s="141" t="s">
        <v>1016</v>
      </c>
      <c r="BF309" s="141" t="s">
        <v>1967</v>
      </c>
      <c r="BG309" s="141" t="s">
        <v>2241</v>
      </c>
      <c r="BH309" s="141" t="s">
        <v>786</v>
      </c>
      <c r="BI309" s="141" t="s">
        <v>3518</v>
      </c>
      <c r="BJ309" s="141" t="s">
        <v>383</v>
      </c>
      <c r="BK309" s="141" t="s">
        <v>3519</v>
      </c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73"/>
    </row>
    <row r="310" spans="2:105" x14ac:dyDescent="0.25">
      <c r="B310" s="172"/>
      <c r="C310" s="141" t="s">
        <v>3520</v>
      </c>
      <c r="D310" s="141" t="s">
        <v>3521</v>
      </c>
      <c r="E310" s="141" t="s">
        <v>820</v>
      </c>
      <c r="F310" s="141" t="s">
        <v>3522</v>
      </c>
      <c r="G310" s="141"/>
      <c r="H310" s="141" t="s">
        <v>354</v>
      </c>
      <c r="I310" s="141"/>
      <c r="J310" s="141" t="s">
        <v>355</v>
      </c>
      <c r="K310" s="141" t="s">
        <v>737</v>
      </c>
      <c r="L310" s="141" t="s">
        <v>3523</v>
      </c>
      <c r="M310" s="141" t="s">
        <v>1958</v>
      </c>
      <c r="N310" s="141" t="s">
        <v>355</v>
      </c>
      <c r="O310" s="141" t="s">
        <v>394</v>
      </c>
      <c r="P310" s="141" t="s">
        <v>425</v>
      </c>
      <c r="Q310" s="141" t="s">
        <v>426</v>
      </c>
      <c r="R310" s="141" t="s">
        <v>362</v>
      </c>
      <c r="S310" s="141" t="s">
        <v>1309</v>
      </c>
      <c r="T310" s="141" t="s">
        <v>3443</v>
      </c>
      <c r="U310" s="141" t="s">
        <v>3443</v>
      </c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 t="s">
        <v>355</v>
      </c>
      <c r="AL310" s="141" t="s">
        <v>365</v>
      </c>
      <c r="AM310" s="141" t="s">
        <v>355</v>
      </c>
      <c r="AN310" s="141" t="s">
        <v>1578</v>
      </c>
      <c r="AO310" s="141" t="s">
        <v>3443</v>
      </c>
      <c r="AP310" s="141" t="s">
        <v>3444</v>
      </c>
      <c r="AQ310" s="141" t="s">
        <v>1072</v>
      </c>
      <c r="AR310" s="141" t="s">
        <v>409</v>
      </c>
      <c r="AS310" s="141" t="s">
        <v>491</v>
      </c>
      <c r="AT310" s="141"/>
      <c r="AU310" s="141" t="s">
        <v>3523</v>
      </c>
      <c r="AV310" s="141" t="s">
        <v>2663</v>
      </c>
      <c r="AW310" s="141" t="s">
        <v>2540</v>
      </c>
      <c r="AX310" s="141" t="s">
        <v>2638</v>
      </c>
      <c r="AY310" s="141" t="s">
        <v>3524</v>
      </c>
      <c r="AZ310" s="141" t="s">
        <v>1587</v>
      </c>
      <c r="BA310" s="141" t="s">
        <v>3525</v>
      </c>
      <c r="BB310" s="141" t="s">
        <v>903</v>
      </c>
      <c r="BC310" s="141" t="s">
        <v>3526</v>
      </c>
      <c r="BD310" s="141" t="s">
        <v>905</v>
      </c>
      <c r="BE310" s="141" t="s">
        <v>3527</v>
      </c>
      <c r="BF310" s="141" t="s">
        <v>1967</v>
      </c>
      <c r="BG310" s="141" t="s">
        <v>3528</v>
      </c>
      <c r="BH310" s="141" t="s">
        <v>786</v>
      </c>
      <c r="BI310" s="141" t="s">
        <v>3529</v>
      </c>
      <c r="BJ310" s="141" t="s">
        <v>383</v>
      </c>
      <c r="BK310" s="141" t="s">
        <v>2150</v>
      </c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73"/>
    </row>
    <row r="311" spans="2:105" x14ac:dyDescent="0.25">
      <c r="B311" s="172"/>
      <c r="C311" s="141" t="s">
        <v>3530</v>
      </c>
      <c r="D311" s="141" t="s">
        <v>3531</v>
      </c>
      <c r="E311" s="141" t="s">
        <v>3532</v>
      </c>
      <c r="F311" s="141" t="s">
        <v>3533</v>
      </c>
      <c r="G311" s="141"/>
      <c r="H311" s="141" t="s">
        <v>354</v>
      </c>
      <c r="I311" s="141"/>
      <c r="J311" s="141" t="s">
        <v>355</v>
      </c>
      <c r="K311" s="141" t="s">
        <v>852</v>
      </c>
      <c r="L311" s="141" t="s">
        <v>3534</v>
      </c>
      <c r="M311" s="141" t="s">
        <v>3366</v>
      </c>
      <c r="N311" s="141" t="s">
        <v>355</v>
      </c>
      <c r="O311" s="141" t="s">
        <v>427</v>
      </c>
      <c r="P311" s="141" t="s">
        <v>455</v>
      </c>
      <c r="Q311" s="141" t="s">
        <v>456</v>
      </c>
      <c r="R311" s="141" t="s">
        <v>362</v>
      </c>
      <c r="S311" s="141" t="s">
        <v>1309</v>
      </c>
      <c r="T311" s="141" t="s">
        <v>3443</v>
      </c>
      <c r="U311" s="141" t="s">
        <v>3443</v>
      </c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 t="s">
        <v>355</v>
      </c>
      <c r="AL311" s="141" t="s">
        <v>365</v>
      </c>
      <c r="AM311" s="141" t="s">
        <v>355</v>
      </c>
      <c r="AN311" s="141" t="s">
        <v>1578</v>
      </c>
      <c r="AO311" s="141" t="s">
        <v>3443</v>
      </c>
      <c r="AP311" s="141" t="s">
        <v>3444</v>
      </c>
      <c r="AQ311" s="141" t="s">
        <v>1072</v>
      </c>
      <c r="AR311" s="141" t="s">
        <v>409</v>
      </c>
      <c r="AS311" s="141" t="s">
        <v>486</v>
      </c>
      <c r="AT311" s="141"/>
      <c r="AU311" s="141" t="s">
        <v>3534</v>
      </c>
      <c r="AV311" s="141" t="s">
        <v>2663</v>
      </c>
      <c r="AW311" s="141" t="s">
        <v>3535</v>
      </c>
      <c r="AX311" s="141" t="s">
        <v>2638</v>
      </c>
      <c r="AY311" s="141" t="s">
        <v>3536</v>
      </c>
      <c r="AZ311" s="141" t="s">
        <v>1587</v>
      </c>
      <c r="BA311" s="141" t="s">
        <v>3537</v>
      </c>
      <c r="BB311" s="141" t="s">
        <v>903</v>
      </c>
      <c r="BC311" s="141" t="s">
        <v>3538</v>
      </c>
      <c r="BD311" s="141" t="s">
        <v>905</v>
      </c>
      <c r="BE311" s="141" t="s">
        <v>902</v>
      </c>
      <c r="BF311" s="141" t="s">
        <v>1967</v>
      </c>
      <c r="BG311" s="141" t="s">
        <v>2491</v>
      </c>
      <c r="BH311" s="141" t="s">
        <v>786</v>
      </c>
      <c r="BI311" s="141" t="s">
        <v>3078</v>
      </c>
      <c r="BJ311" s="141" t="s">
        <v>383</v>
      </c>
      <c r="BK311" s="141" t="s">
        <v>3485</v>
      </c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73"/>
    </row>
    <row r="312" spans="2:105" x14ac:dyDescent="0.25">
      <c r="B312" s="172"/>
      <c r="C312" s="141" t="s">
        <v>3539</v>
      </c>
      <c r="D312" s="141" t="s">
        <v>3540</v>
      </c>
      <c r="E312" s="141" t="s">
        <v>3541</v>
      </c>
      <c r="F312" s="141" t="s">
        <v>3542</v>
      </c>
      <c r="G312" s="141"/>
      <c r="H312" s="141" t="s">
        <v>354</v>
      </c>
      <c r="I312" s="141"/>
      <c r="J312" s="141" t="s">
        <v>355</v>
      </c>
      <c r="K312" s="141" t="s">
        <v>872</v>
      </c>
      <c r="L312" s="141" t="s">
        <v>1367</v>
      </c>
      <c r="M312" s="141" t="s">
        <v>3543</v>
      </c>
      <c r="N312" s="141" t="s">
        <v>355</v>
      </c>
      <c r="O312" s="141" t="s">
        <v>359</v>
      </c>
      <c r="P312" s="141" t="s">
        <v>360</v>
      </c>
      <c r="Q312" s="141" t="s">
        <v>361</v>
      </c>
      <c r="R312" s="141" t="s">
        <v>362</v>
      </c>
      <c r="S312" s="141" t="s">
        <v>1309</v>
      </c>
      <c r="T312" s="141" t="s">
        <v>3443</v>
      </c>
      <c r="U312" s="141" t="s">
        <v>3443</v>
      </c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 t="s">
        <v>355</v>
      </c>
      <c r="AL312" s="141" t="s">
        <v>365</v>
      </c>
      <c r="AM312" s="141" t="s">
        <v>355</v>
      </c>
      <c r="AN312" s="141" t="s">
        <v>1578</v>
      </c>
      <c r="AO312" s="141" t="s">
        <v>3443</v>
      </c>
      <c r="AP312" s="141" t="s">
        <v>3444</v>
      </c>
      <c r="AQ312" s="141" t="s">
        <v>1072</v>
      </c>
      <c r="AR312" s="141" t="s">
        <v>409</v>
      </c>
      <c r="AS312" s="141" t="s">
        <v>363</v>
      </c>
      <c r="AT312" s="141"/>
      <c r="AU312" s="141" t="s">
        <v>1367</v>
      </c>
      <c r="AV312" s="141" t="s">
        <v>2663</v>
      </c>
      <c r="AW312" s="141" t="s">
        <v>3544</v>
      </c>
      <c r="AX312" s="141" t="s">
        <v>2638</v>
      </c>
      <c r="AY312" s="141" t="s">
        <v>2260</v>
      </c>
      <c r="AZ312" s="141" t="s">
        <v>1587</v>
      </c>
      <c r="BA312" s="141" t="s">
        <v>2029</v>
      </c>
      <c r="BB312" s="141" t="s">
        <v>903</v>
      </c>
      <c r="BC312" s="141" t="s">
        <v>3545</v>
      </c>
      <c r="BD312" s="141" t="s">
        <v>905</v>
      </c>
      <c r="BE312" s="141" t="s">
        <v>3155</v>
      </c>
      <c r="BF312" s="141" t="s">
        <v>1967</v>
      </c>
      <c r="BG312" s="141" t="s">
        <v>3546</v>
      </c>
      <c r="BH312" s="141" t="s">
        <v>786</v>
      </c>
      <c r="BI312" s="141" t="s">
        <v>3547</v>
      </c>
      <c r="BJ312" s="141" t="s">
        <v>383</v>
      </c>
      <c r="BK312" s="141" t="s">
        <v>460</v>
      </c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73"/>
    </row>
    <row r="313" spans="2:105" x14ac:dyDescent="0.25">
      <c r="B313" s="172"/>
      <c r="C313" s="141" t="s">
        <v>3548</v>
      </c>
      <c r="D313" s="141" t="s">
        <v>3549</v>
      </c>
      <c r="E313" s="141" t="s">
        <v>3550</v>
      </c>
      <c r="F313" s="141" t="s">
        <v>3551</v>
      </c>
      <c r="G313" s="141"/>
      <c r="H313" s="141" t="s">
        <v>354</v>
      </c>
      <c r="I313" s="141"/>
      <c r="J313" s="141" t="s">
        <v>355</v>
      </c>
      <c r="K313" s="141" t="s">
        <v>575</v>
      </c>
      <c r="L313" s="141" t="s">
        <v>3552</v>
      </c>
      <c r="M313" s="141" t="s">
        <v>3553</v>
      </c>
      <c r="N313" s="141" t="s">
        <v>355</v>
      </c>
      <c r="O313" s="141" t="s">
        <v>370</v>
      </c>
      <c r="P313" s="141" t="s">
        <v>529</v>
      </c>
      <c r="Q313" s="141" t="s">
        <v>530</v>
      </c>
      <c r="R313" s="141" t="s">
        <v>362</v>
      </c>
      <c r="S313" s="141" t="s">
        <v>1309</v>
      </c>
      <c r="T313" s="141" t="s">
        <v>3443</v>
      </c>
      <c r="U313" s="141" t="s">
        <v>3443</v>
      </c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 t="s">
        <v>355</v>
      </c>
      <c r="AL313" s="141" t="s">
        <v>365</v>
      </c>
      <c r="AM313" s="141" t="s">
        <v>355</v>
      </c>
      <c r="AN313" s="141" t="s">
        <v>1578</v>
      </c>
      <c r="AO313" s="141" t="s">
        <v>3443</v>
      </c>
      <c r="AP313" s="141" t="s">
        <v>3444</v>
      </c>
      <c r="AQ313" s="141" t="s">
        <v>1072</v>
      </c>
      <c r="AR313" s="141" t="s">
        <v>409</v>
      </c>
      <c r="AS313" s="141" t="s">
        <v>1280</v>
      </c>
      <c r="AT313" s="141"/>
      <c r="AU313" s="141" t="s">
        <v>3552</v>
      </c>
      <c r="AV313" s="141" t="s">
        <v>2663</v>
      </c>
      <c r="AW313" s="141" t="s">
        <v>3554</v>
      </c>
      <c r="AX313" s="141" t="s">
        <v>2638</v>
      </c>
      <c r="AY313" s="141" t="s">
        <v>548</v>
      </c>
      <c r="AZ313" s="141" t="s">
        <v>1587</v>
      </c>
      <c r="BA313" s="141" t="s">
        <v>2645</v>
      </c>
      <c r="BB313" s="141" t="s">
        <v>903</v>
      </c>
      <c r="BC313" s="141" t="s">
        <v>3555</v>
      </c>
      <c r="BD313" s="141" t="s">
        <v>905</v>
      </c>
      <c r="BE313" s="141" t="s">
        <v>3556</v>
      </c>
      <c r="BF313" s="141" t="s">
        <v>1967</v>
      </c>
      <c r="BG313" s="141" t="s">
        <v>2184</v>
      </c>
      <c r="BH313" s="141" t="s">
        <v>786</v>
      </c>
      <c r="BI313" s="141" t="s">
        <v>2570</v>
      </c>
      <c r="BJ313" s="141" t="s">
        <v>383</v>
      </c>
      <c r="BK313" s="141" t="s">
        <v>2806</v>
      </c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73"/>
    </row>
    <row r="314" spans="2:105" x14ac:dyDescent="0.25">
      <c r="B314" s="172"/>
      <c r="C314" s="141" t="s">
        <v>3557</v>
      </c>
      <c r="D314" s="141" t="s">
        <v>3558</v>
      </c>
      <c r="E314" s="141" t="s">
        <v>3559</v>
      </c>
      <c r="F314" s="141" t="s">
        <v>3560</v>
      </c>
      <c r="G314" s="141"/>
      <c r="H314" s="141" t="s">
        <v>354</v>
      </c>
      <c r="I314" s="141"/>
      <c r="J314" s="141" t="s">
        <v>355</v>
      </c>
      <c r="K314" s="141" t="s">
        <v>807</v>
      </c>
      <c r="L314" s="141" t="s">
        <v>3561</v>
      </c>
      <c r="M314" s="141" t="s">
        <v>3562</v>
      </c>
      <c r="N314" s="141" t="s">
        <v>355</v>
      </c>
      <c r="O314" s="141" t="s">
        <v>370</v>
      </c>
      <c r="P314" s="141" t="s">
        <v>529</v>
      </c>
      <c r="Q314" s="141" t="s">
        <v>530</v>
      </c>
      <c r="R314" s="141" t="s">
        <v>362</v>
      </c>
      <c r="S314" s="141" t="s">
        <v>1309</v>
      </c>
      <c r="T314" s="141" t="s">
        <v>3443</v>
      </c>
      <c r="U314" s="141" t="s">
        <v>3443</v>
      </c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 t="s">
        <v>355</v>
      </c>
      <c r="AL314" s="141" t="s">
        <v>365</v>
      </c>
      <c r="AM314" s="141" t="s">
        <v>355</v>
      </c>
      <c r="AN314" s="141" t="s">
        <v>1578</v>
      </c>
      <c r="AO314" s="141" t="s">
        <v>3443</v>
      </c>
      <c r="AP314" s="141" t="s">
        <v>3444</v>
      </c>
      <c r="AQ314" s="141" t="s">
        <v>1072</v>
      </c>
      <c r="AR314" s="141" t="s">
        <v>409</v>
      </c>
      <c r="AS314" s="141" t="s">
        <v>1295</v>
      </c>
      <c r="AT314" s="141"/>
      <c r="AU314" s="141" t="s">
        <v>3561</v>
      </c>
      <c r="AV314" s="141" t="s">
        <v>2663</v>
      </c>
      <c r="AW314" s="141" t="s">
        <v>2514</v>
      </c>
      <c r="AX314" s="141" t="s">
        <v>2638</v>
      </c>
      <c r="AY314" s="141" t="s">
        <v>3563</v>
      </c>
      <c r="AZ314" s="141" t="s">
        <v>1587</v>
      </c>
      <c r="BA314" s="141" t="s">
        <v>3564</v>
      </c>
      <c r="BB314" s="141" t="s">
        <v>903</v>
      </c>
      <c r="BC314" s="141" t="s">
        <v>3565</v>
      </c>
      <c r="BD314" s="141" t="s">
        <v>905</v>
      </c>
      <c r="BE314" s="141" t="s">
        <v>3566</v>
      </c>
      <c r="BF314" s="141" t="s">
        <v>1967</v>
      </c>
      <c r="BG314" s="141" t="s">
        <v>1707</v>
      </c>
      <c r="BH314" s="141" t="s">
        <v>786</v>
      </c>
      <c r="BI314" s="141" t="s">
        <v>612</v>
      </c>
      <c r="BJ314" s="141" t="s">
        <v>383</v>
      </c>
      <c r="BK314" s="141" t="s">
        <v>3567</v>
      </c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73"/>
    </row>
    <row r="315" spans="2:105" x14ac:dyDescent="0.25">
      <c r="B315" s="172"/>
      <c r="C315" s="141" t="s">
        <v>3568</v>
      </c>
      <c r="D315" s="141" t="s">
        <v>3569</v>
      </c>
      <c r="E315" s="141" t="s">
        <v>3570</v>
      </c>
      <c r="F315" s="141" t="s">
        <v>3560</v>
      </c>
      <c r="G315" s="141"/>
      <c r="H315" s="141" t="s">
        <v>354</v>
      </c>
      <c r="I315" s="141"/>
      <c r="J315" s="141" t="s">
        <v>355</v>
      </c>
      <c r="K315" s="141" t="s">
        <v>866</v>
      </c>
      <c r="L315" s="141" t="s">
        <v>3571</v>
      </c>
      <c r="M315" s="141" t="s">
        <v>3572</v>
      </c>
      <c r="N315" s="141" t="s">
        <v>355</v>
      </c>
      <c r="O315" s="141" t="s">
        <v>409</v>
      </c>
      <c r="P315" s="141" t="s">
        <v>410</v>
      </c>
      <c r="Q315" s="141" t="s">
        <v>410</v>
      </c>
      <c r="R315" s="141" t="s">
        <v>362</v>
      </c>
      <c r="S315" s="141" t="s">
        <v>1309</v>
      </c>
      <c r="T315" s="141" t="s">
        <v>3443</v>
      </c>
      <c r="U315" s="141" t="s">
        <v>3443</v>
      </c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 t="s">
        <v>355</v>
      </c>
      <c r="AL315" s="141" t="s">
        <v>365</v>
      </c>
      <c r="AM315" s="141" t="s">
        <v>355</v>
      </c>
      <c r="AN315" s="141" t="s">
        <v>1578</v>
      </c>
      <c r="AO315" s="141" t="s">
        <v>3443</v>
      </c>
      <c r="AP315" s="141" t="s">
        <v>3444</v>
      </c>
      <c r="AQ315" s="141" t="s">
        <v>1072</v>
      </c>
      <c r="AR315" s="141" t="s">
        <v>409</v>
      </c>
      <c r="AS315" s="141" t="s">
        <v>1309</v>
      </c>
      <c r="AT315" s="141"/>
      <c r="AU315" s="141" t="s">
        <v>3571</v>
      </c>
      <c r="AV315" s="141" t="s">
        <v>2663</v>
      </c>
      <c r="AW315" s="141" t="s">
        <v>2379</v>
      </c>
      <c r="AX315" s="141" t="s">
        <v>2638</v>
      </c>
      <c r="AY315" s="141" t="s">
        <v>2798</v>
      </c>
      <c r="AZ315" s="141" t="s">
        <v>1587</v>
      </c>
      <c r="BA315" s="141" t="s">
        <v>3573</v>
      </c>
      <c r="BB315" s="141" t="s">
        <v>903</v>
      </c>
      <c r="BC315" s="141" t="s">
        <v>1673</v>
      </c>
      <c r="BD315" s="141" t="s">
        <v>905</v>
      </c>
      <c r="BE315" s="141" t="s">
        <v>2821</v>
      </c>
      <c r="BF315" s="141" t="s">
        <v>1967</v>
      </c>
      <c r="BG315" s="141" t="s">
        <v>3354</v>
      </c>
      <c r="BH315" s="141" t="s">
        <v>786</v>
      </c>
      <c r="BI315" s="141" t="s">
        <v>2718</v>
      </c>
      <c r="BJ315" s="141" t="s">
        <v>383</v>
      </c>
      <c r="BK315" s="141" t="s">
        <v>3574</v>
      </c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73"/>
    </row>
    <row r="316" spans="2:105" x14ac:dyDescent="0.25">
      <c r="B316" s="172"/>
      <c r="C316" s="141" t="s">
        <v>3575</v>
      </c>
      <c r="D316" s="141" t="s">
        <v>3576</v>
      </c>
      <c r="E316" s="141" t="s">
        <v>3577</v>
      </c>
      <c r="F316" s="141" t="s">
        <v>3560</v>
      </c>
      <c r="G316" s="141"/>
      <c r="H316" s="141" t="s">
        <v>354</v>
      </c>
      <c r="I316" s="141"/>
      <c r="J316" s="141" t="s">
        <v>355</v>
      </c>
      <c r="K316" s="141" t="s">
        <v>1557</v>
      </c>
      <c r="L316" s="141" t="s">
        <v>3578</v>
      </c>
      <c r="M316" s="141" t="s">
        <v>3579</v>
      </c>
      <c r="N316" s="141" t="s">
        <v>355</v>
      </c>
      <c r="O316" s="141" t="s">
        <v>370</v>
      </c>
      <c r="P316" s="141" t="s">
        <v>529</v>
      </c>
      <c r="Q316" s="141" t="s">
        <v>530</v>
      </c>
      <c r="R316" s="141" t="s">
        <v>362</v>
      </c>
      <c r="S316" s="141" t="s">
        <v>1309</v>
      </c>
      <c r="T316" s="141" t="s">
        <v>3443</v>
      </c>
      <c r="U316" s="141" t="s">
        <v>3443</v>
      </c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 t="s">
        <v>355</v>
      </c>
      <c r="AL316" s="141" t="s">
        <v>365</v>
      </c>
      <c r="AM316" s="141" t="s">
        <v>355</v>
      </c>
      <c r="AN316" s="141" t="s">
        <v>1578</v>
      </c>
      <c r="AO316" s="141" t="s">
        <v>3443</v>
      </c>
      <c r="AP316" s="141" t="s">
        <v>3444</v>
      </c>
      <c r="AQ316" s="141" t="s">
        <v>1072</v>
      </c>
      <c r="AR316" s="141" t="s">
        <v>409</v>
      </c>
      <c r="AS316" s="141" t="s">
        <v>1325</v>
      </c>
      <c r="AT316" s="141"/>
      <c r="AU316" s="141" t="s">
        <v>3578</v>
      </c>
      <c r="AV316" s="141" t="s">
        <v>2663</v>
      </c>
      <c r="AW316" s="141" t="s">
        <v>3580</v>
      </c>
      <c r="AX316" s="141" t="s">
        <v>2638</v>
      </c>
      <c r="AY316" s="141" t="s">
        <v>3581</v>
      </c>
      <c r="AZ316" s="141" t="s">
        <v>1587</v>
      </c>
      <c r="BA316" s="141" t="s">
        <v>3582</v>
      </c>
      <c r="BB316" s="141" t="s">
        <v>903</v>
      </c>
      <c r="BC316" s="141" t="s">
        <v>3583</v>
      </c>
      <c r="BD316" s="141" t="s">
        <v>905</v>
      </c>
      <c r="BE316" s="141" t="s">
        <v>3342</v>
      </c>
      <c r="BF316" s="141" t="s">
        <v>1967</v>
      </c>
      <c r="BG316" s="141" t="s">
        <v>3584</v>
      </c>
      <c r="BH316" s="141" t="s">
        <v>786</v>
      </c>
      <c r="BI316" s="141" t="s">
        <v>1657</v>
      </c>
      <c r="BJ316" s="141" t="s">
        <v>383</v>
      </c>
      <c r="BK316" s="141" t="s">
        <v>3585</v>
      </c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73"/>
    </row>
    <row r="317" spans="2:105" x14ac:dyDescent="0.25">
      <c r="B317" s="172"/>
      <c r="C317" s="141" t="s">
        <v>3586</v>
      </c>
      <c r="D317" s="141" t="s">
        <v>3587</v>
      </c>
      <c r="E317" s="141" t="s">
        <v>3588</v>
      </c>
      <c r="F317" s="141" t="s">
        <v>3589</v>
      </c>
      <c r="G317" s="141"/>
      <c r="H317" s="141" t="s">
        <v>354</v>
      </c>
      <c r="I317" s="141"/>
      <c r="J317" s="141" t="s">
        <v>355</v>
      </c>
      <c r="K317" s="141" t="s">
        <v>883</v>
      </c>
      <c r="L317" s="141" t="s">
        <v>3590</v>
      </c>
      <c r="M317" s="141" t="s">
        <v>3591</v>
      </c>
      <c r="N317" s="141" t="s">
        <v>355</v>
      </c>
      <c r="O317" s="141" t="s">
        <v>359</v>
      </c>
      <c r="P317" s="141" t="s">
        <v>360</v>
      </c>
      <c r="Q317" s="141" t="s">
        <v>361</v>
      </c>
      <c r="R317" s="141" t="s">
        <v>362</v>
      </c>
      <c r="S317" s="141" t="s">
        <v>1309</v>
      </c>
      <c r="T317" s="141" t="s">
        <v>3443</v>
      </c>
      <c r="U317" s="141" t="s">
        <v>3443</v>
      </c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 t="s">
        <v>355</v>
      </c>
      <c r="AL317" s="141" t="s">
        <v>365</v>
      </c>
      <c r="AM317" s="141" t="s">
        <v>355</v>
      </c>
      <c r="AN317" s="141" t="s">
        <v>1578</v>
      </c>
      <c r="AO317" s="141" t="s">
        <v>3443</v>
      </c>
      <c r="AP317" s="141" t="s">
        <v>3444</v>
      </c>
      <c r="AQ317" s="141" t="s">
        <v>1072</v>
      </c>
      <c r="AR317" s="141" t="s">
        <v>409</v>
      </c>
      <c r="AS317" s="141" t="s">
        <v>1340</v>
      </c>
      <c r="AT317" s="141"/>
      <c r="AU317" s="141" t="s">
        <v>3590</v>
      </c>
      <c r="AV317" s="141" t="s">
        <v>2663</v>
      </c>
      <c r="AW317" s="141" t="s">
        <v>3374</v>
      </c>
      <c r="AX317" s="141" t="s">
        <v>2638</v>
      </c>
      <c r="AY317" s="141" t="s">
        <v>3592</v>
      </c>
      <c r="AZ317" s="141" t="s">
        <v>1587</v>
      </c>
      <c r="BA317" s="141" t="s">
        <v>3593</v>
      </c>
      <c r="BB317" s="141" t="s">
        <v>903</v>
      </c>
      <c r="BC317" s="141" t="s">
        <v>3594</v>
      </c>
      <c r="BD317" s="141" t="s">
        <v>905</v>
      </c>
      <c r="BE317" s="141" t="s">
        <v>3595</v>
      </c>
      <c r="BF317" s="141" t="s">
        <v>1967</v>
      </c>
      <c r="BG317" s="141" t="s">
        <v>2326</v>
      </c>
      <c r="BH317" s="141" t="s">
        <v>786</v>
      </c>
      <c r="BI317" s="141" t="s">
        <v>3596</v>
      </c>
      <c r="BJ317" s="141" t="s">
        <v>383</v>
      </c>
      <c r="BK317" s="141" t="s">
        <v>3597</v>
      </c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73"/>
    </row>
    <row r="318" spans="2:105" x14ac:dyDescent="0.25">
      <c r="B318" s="172"/>
      <c r="C318" s="141" t="s">
        <v>3598</v>
      </c>
      <c r="D318" s="141" t="s">
        <v>911</v>
      </c>
      <c r="E318" s="141" t="s">
        <v>3599</v>
      </c>
      <c r="F318" s="141" t="s">
        <v>3600</v>
      </c>
      <c r="G318" s="141"/>
      <c r="H318" s="141" t="s">
        <v>354</v>
      </c>
      <c r="I318" s="141"/>
      <c r="J318" s="141" t="s">
        <v>355</v>
      </c>
      <c r="K318" s="141" t="s">
        <v>2180</v>
      </c>
      <c r="L318" s="141" t="s">
        <v>3601</v>
      </c>
      <c r="M318" s="141" t="s">
        <v>1347</v>
      </c>
      <c r="N318" s="141" t="s">
        <v>355</v>
      </c>
      <c r="O318" s="141" t="s">
        <v>409</v>
      </c>
      <c r="P318" s="141" t="s">
        <v>410</v>
      </c>
      <c r="Q318" s="141" t="s">
        <v>410</v>
      </c>
      <c r="R318" s="141" t="s">
        <v>362</v>
      </c>
      <c r="S318" s="141" t="s">
        <v>1309</v>
      </c>
      <c r="T318" s="141" t="s">
        <v>3443</v>
      </c>
      <c r="U318" s="141" t="s">
        <v>3443</v>
      </c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 t="s">
        <v>355</v>
      </c>
      <c r="AL318" s="141" t="s">
        <v>365</v>
      </c>
      <c r="AM318" s="141" t="s">
        <v>355</v>
      </c>
      <c r="AN318" s="141" t="s">
        <v>1578</v>
      </c>
      <c r="AO318" s="141" t="s">
        <v>3443</v>
      </c>
      <c r="AP318" s="141" t="s">
        <v>3444</v>
      </c>
      <c r="AQ318" s="141" t="s">
        <v>1072</v>
      </c>
      <c r="AR318" s="141" t="s">
        <v>409</v>
      </c>
      <c r="AS318" s="141" t="s">
        <v>890</v>
      </c>
      <c r="AT318" s="141"/>
      <c r="AU318" s="141" t="s">
        <v>3601</v>
      </c>
      <c r="AV318" s="141" t="s">
        <v>2663</v>
      </c>
      <c r="AW318" s="141" t="s">
        <v>3602</v>
      </c>
      <c r="AX318" s="141" t="s">
        <v>2638</v>
      </c>
      <c r="AY318" s="141" t="s">
        <v>3603</v>
      </c>
      <c r="AZ318" s="141" t="s">
        <v>1587</v>
      </c>
      <c r="BA318" s="141" t="s">
        <v>3604</v>
      </c>
      <c r="BB318" s="141" t="s">
        <v>903</v>
      </c>
      <c r="BC318" s="141" t="s">
        <v>3605</v>
      </c>
      <c r="BD318" s="141" t="s">
        <v>905</v>
      </c>
      <c r="BE318" s="141" t="s">
        <v>3606</v>
      </c>
      <c r="BF318" s="141" t="s">
        <v>1967</v>
      </c>
      <c r="BG318" s="141" t="s">
        <v>3607</v>
      </c>
      <c r="BH318" s="141" t="s">
        <v>786</v>
      </c>
      <c r="BI318" s="141" t="s">
        <v>3608</v>
      </c>
      <c r="BJ318" s="141" t="s">
        <v>383</v>
      </c>
      <c r="BK318" s="141" t="s">
        <v>3609</v>
      </c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73"/>
    </row>
    <row r="319" spans="2:105" x14ac:dyDescent="0.25">
      <c r="B319" s="172"/>
      <c r="C319" s="141" t="s">
        <v>3610</v>
      </c>
      <c r="D319" s="141" t="s">
        <v>3611</v>
      </c>
      <c r="E319" s="141" t="s">
        <v>2993</v>
      </c>
      <c r="F319" s="141" t="s">
        <v>3612</v>
      </c>
      <c r="G319" s="141"/>
      <c r="H319" s="141" t="s">
        <v>354</v>
      </c>
      <c r="I319" s="141"/>
      <c r="J319" s="141" t="s">
        <v>355</v>
      </c>
      <c r="K319" s="141" t="s">
        <v>1292</v>
      </c>
      <c r="L319" s="141"/>
      <c r="M319" s="141"/>
      <c r="N319" s="141" t="s">
        <v>370</v>
      </c>
      <c r="O319" s="141" t="s">
        <v>409</v>
      </c>
      <c r="P319" s="141" t="s">
        <v>410</v>
      </c>
      <c r="Q319" s="141" t="s">
        <v>410</v>
      </c>
      <c r="R319" s="141" t="s">
        <v>362</v>
      </c>
      <c r="S319" s="141" t="s">
        <v>1309</v>
      </c>
      <c r="T319" s="141" t="s">
        <v>3443</v>
      </c>
      <c r="U319" s="141" t="s">
        <v>3443</v>
      </c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 t="s">
        <v>355</v>
      </c>
      <c r="AL319" s="141" t="s">
        <v>365</v>
      </c>
      <c r="AM319" s="141" t="s">
        <v>355</v>
      </c>
      <c r="AN319" s="141" t="s">
        <v>1578</v>
      </c>
      <c r="AO319" s="141" t="s">
        <v>3443</v>
      </c>
      <c r="AP319" s="141" t="s">
        <v>3444</v>
      </c>
      <c r="AQ319" s="141" t="s">
        <v>1072</v>
      </c>
      <c r="AR319" s="141" t="s">
        <v>409</v>
      </c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73"/>
    </row>
    <row r="320" spans="2:105" x14ac:dyDescent="0.25">
      <c r="B320" s="172"/>
      <c r="C320" s="141"/>
      <c r="D320" s="141" t="s">
        <v>3613</v>
      </c>
      <c r="E320" s="141"/>
      <c r="F320" s="141" t="s">
        <v>467</v>
      </c>
      <c r="G320" s="141"/>
      <c r="H320" s="141" t="s">
        <v>354</v>
      </c>
      <c r="I320" s="141"/>
      <c r="J320" s="141" t="s">
        <v>355</v>
      </c>
      <c r="K320" s="141" t="s">
        <v>2359</v>
      </c>
      <c r="L320" s="141"/>
      <c r="M320" s="141"/>
      <c r="N320" s="141" t="s">
        <v>355</v>
      </c>
      <c r="O320" s="141"/>
      <c r="P320" s="141"/>
      <c r="Q320" s="141"/>
      <c r="R320" s="141"/>
      <c r="S320" s="141" t="s">
        <v>1309</v>
      </c>
      <c r="T320" s="141" t="s">
        <v>3443</v>
      </c>
      <c r="U320" s="141" t="s">
        <v>3443</v>
      </c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 t="s">
        <v>355</v>
      </c>
      <c r="AL320" s="141" t="s">
        <v>365</v>
      </c>
      <c r="AM320" s="141" t="s">
        <v>355</v>
      </c>
      <c r="AN320" s="141" t="s">
        <v>1578</v>
      </c>
      <c r="AO320" s="141" t="s">
        <v>3443</v>
      </c>
      <c r="AP320" s="141" t="s">
        <v>3444</v>
      </c>
      <c r="AQ320" s="141" t="s">
        <v>1072</v>
      </c>
      <c r="AR320" s="141" t="s">
        <v>409</v>
      </c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73"/>
    </row>
    <row r="321" spans="2:105" x14ac:dyDescent="0.25">
      <c r="B321" s="172"/>
      <c r="C321" s="141"/>
      <c r="D321" s="141" t="s">
        <v>3614</v>
      </c>
      <c r="E321" s="141"/>
      <c r="F321" s="141" t="s">
        <v>467</v>
      </c>
      <c r="G321" s="141"/>
      <c r="H321" s="141" t="s">
        <v>354</v>
      </c>
      <c r="I321" s="141"/>
      <c r="J321" s="141" t="s">
        <v>355</v>
      </c>
      <c r="K321" s="141" t="s">
        <v>606</v>
      </c>
      <c r="L321" s="141"/>
      <c r="M321" s="141"/>
      <c r="N321" s="141" t="s">
        <v>355</v>
      </c>
      <c r="O321" s="141"/>
      <c r="P321" s="141"/>
      <c r="Q321" s="141"/>
      <c r="R321" s="141"/>
      <c r="S321" s="141" t="s">
        <v>1309</v>
      </c>
      <c r="T321" s="141" t="s">
        <v>3443</v>
      </c>
      <c r="U321" s="141" t="s">
        <v>3443</v>
      </c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 t="s">
        <v>355</v>
      </c>
      <c r="AL321" s="141" t="s">
        <v>365</v>
      </c>
      <c r="AM321" s="141" t="s">
        <v>355</v>
      </c>
      <c r="AN321" s="141" t="s">
        <v>1578</v>
      </c>
      <c r="AO321" s="141" t="s">
        <v>3443</v>
      </c>
      <c r="AP321" s="141" t="s">
        <v>3444</v>
      </c>
      <c r="AQ321" s="141" t="s">
        <v>1072</v>
      </c>
      <c r="AR321" s="141" t="s">
        <v>409</v>
      </c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73"/>
    </row>
    <row r="322" spans="2:105" x14ac:dyDescent="0.25">
      <c r="B322" s="172"/>
      <c r="C322" s="141" t="s">
        <v>3615</v>
      </c>
      <c r="D322" s="141" t="s">
        <v>3616</v>
      </c>
      <c r="E322" s="141" t="s">
        <v>3617</v>
      </c>
      <c r="F322" s="141" t="s">
        <v>2595</v>
      </c>
      <c r="G322" s="141"/>
      <c r="H322" s="141" t="s">
        <v>354</v>
      </c>
      <c r="I322" s="141"/>
      <c r="J322" s="141" t="s">
        <v>355</v>
      </c>
      <c r="K322" s="141" t="s">
        <v>2726</v>
      </c>
      <c r="L322" s="141" t="s">
        <v>3197</v>
      </c>
      <c r="M322" s="141" t="s">
        <v>3618</v>
      </c>
      <c r="N322" s="141" t="s">
        <v>355</v>
      </c>
      <c r="O322" s="141" t="s">
        <v>394</v>
      </c>
      <c r="P322" s="141" t="s">
        <v>425</v>
      </c>
      <c r="Q322" s="141" t="s">
        <v>426</v>
      </c>
      <c r="R322" s="141" t="s">
        <v>362</v>
      </c>
      <c r="S322" s="141" t="s">
        <v>1295</v>
      </c>
      <c r="T322" s="141" t="s">
        <v>3619</v>
      </c>
      <c r="U322" s="141" t="s">
        <v>3619</v>
      </c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 t="s">
        <v>355</v>
      </c>
      <c r="AL322" s="141" t="s">
        <v>365</v>
      </c>
      <c r="AM322" s="141" t="s">
        <v>355</v>
      </c>
      <c r="AN322" s="141" t="s">
        <v>891</v>
      </c>
      <c r="AO322" s="141" t="s">
        <v>3619</v>
      </c>
      <c r="AP322" s="141" t="s">
        <v>3620</v>
      </c>
      <c r="AQ322" s="141" t="s">
        <v>3621</v>
      </c>
      <c r="AR322" s="141" t="s">
        <v>369</v>
      </c>
      <c r="AS322" s="141" t="s">
        <v>370</v>
      </c>
      <c r="AT322" s="141"/>
      <c r="AU322" s="141" t="s">
        <v>3197</v>
      </c>
      <c r="AV322" s="141" t="s">
        <v>907</v>
      </c>
      <c r="AW322" s="141" t="s">
        <v>3622</v>
      </c>
      <c r="AX322" s="141" t="s">
        <v>500</v>
      </c>
      <c r="AY322" s="141" t="s">
        <v>1704</v>
      </c>
      <c r="AZ322" s="141" t="s">
        <v>1578</v>
      </c>
      <c r="BA322" s="141" t="s">
        <v>3623</v>
      </c>
      <c r="BB322" s="141" t="s">
        <v>494</v>
      </c>
      <c r="BC322" s="141" t="s">
        <v>3624</v>
      </c>
      <c r="BD322" s="141" t="s">
        <v>1587</v>
      </c>
      <c r="BE322" s="141" t="s">
        <v>682</v>
      </c>
      <c r="BF322" s="141" t="s">
        <v>913</v>
      </c>
      <c r="BG322" s="141" t="s">
        <v>1774</v>
      </c>
      <c r="BH322" s="141" t="s">
        <v>383</v>
      </c>
      <c r="BI322" s="141" t="s">
        <v>3625</v>
      </c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73"/>
    </row>
    <row r="323" spans="2:105" x14ac:dyDescent="0.25">
      <c r="B323" s="172"/>
      <c r="C323" s="141" t="s">
        <v>3626</v>
      </c>
      <c r="D323" s="141" t="s">
        <v>3627</v>
      </c>
      <c r="E323" s="141" t="s">
        <v>1166</v>
      </c>
      <c r="F323" s="141" t="s">
        <v>3628</v>
      </c>
      <c r="G323" s="141"/>
      <c r="H323" s="141" t="s">
        <v>354</v>
      </c>
      <c r="I323" s="141"/>
      <c r="J323" s="141" t="s">
        <v>355</v>
      </c>
      <c r="K323" s="141" t="s">
        <v>1007</v>
      </c>
      <c r="L323" s="141" t="s">
        <v>3629</v>
      </c>
      <c r="M323" s="141" t="s">
        <v>1989</v>
      </c>
      <c r="N323" s="141" t="s">
        <v>355</v>
      </c>
      <c r="O323" s="141" t="s">
        <v>394</v>
      </c>
      <c r="P323" s="141" t="s">
        <v>425</v>
      </c>
      <c r="Q323" s="141" t="s">
        <v>426</v>
      </c>
      <c r="R323" s="141" t="s">
        <v>362</v>
      </c>
      <c r="S323" s="141" t="s">
        <v>1295</v>
      </c>
      <c r="T323" s="141" t="s">
        <v>3619</v>
      </c>
      <c r="U323" s="141" t="s">
        <v>3619</v>
      </c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 t="s">
        <v>355</v>
      </c>
      <c r="AL323" s="141" t="s">
        <v>365</v>
      </c>
      <c r="AM323" s="141" t="s">
        <v>355</v>
      </c>
      <c r="AN323" s="141" t="s">
        <v>891</v>
      </c>
      <c r="AO323" s="141" t="s">
        <v>3619</v>
      </c>
      <c r="AP323" s="141" t="s">
        <v>3620</v>
      </c>
      <c r="AQ323" s="141" t="s">
        <v>3621</v>
      </c>
      <c r="AR323" s="141" t="s">
        <v>369</v>
      </c>
      <c r="AS323" s="141" t="s">
        <v>394</v>
      </c>
      <c r="AT323" s="141"/>
      <c r="AU323" s="141" t="s">
        <v>3629</v>
      </c>
      <c r="AV323" s="141" t="s">
        <v>907</v>
      </c>
      <c r="AW323" s="141" t="s">
        <v>2199</v>
      </c>
      <c r="AX323" s="141" t="s">
        <v>500</v>
      </c>
      <c r="AY323" s="141" t="s">
        <v>3630</v>
      </c>
      <c r="AZ323" s="141" t="s">
        <v>1578</v>
      </c>
      <c r="BA323" s="141" t="s">
        <v>2932</v>
      </c>
      <c r="BB323" s="141" t="s">
        <v>494</v>
      </c>
      <c r="BC323" s="141" t="s">
        <v>3631</v>
      </c>
      <c r="BD323" s="141" t="s">
        <v>1587</v>
      </c>
      <c r="BE323" s="141" t="s">
        <v>3632</v>
      </c>
      <c r="BF323" s="141" t="s">
        <v>913</v>
      </c>
      <c r="BG323" s="141" t="s">
        <v>3324</v>
      </c>
      <c r="BH323" s="141" t="s">
        <v>383</v>
      </c>
      <c r="BI323" s="141" t="s">
        <v>3633</v>
      </c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73"/>
    </row>
    <row r="324" spans="2:105" x14ac:dyDescent="0.25">
      <c r="B324" s="172"/>
      <c r="C324" s="141" t="s">
        <v>3634</v>
      </c>
      <c r="D324" s="141" t="s">
        <v>3635</v>
      </c>
      <c r="E324" s="141" t="s">
        <v>3636</v>
      </c>
      <c r="F324" s="141" t="s">
        <v>3637</v>
      </c>
      <c r="G324" s="141"/>
      <c r="H324" s="141" t="s">
        <v>354</v>
      </c>
      <c r="I324" s="141"/>
      <c r="J324" s="141" t="s">
        <v>355</v>
      </c>
      <c r="K324" s="141" t="s">
        <v>1030</v>
      </c>
      <c r="L324" s="141" t="s">
        <v>3638</v>
      </c>
      <c r="M324" s="141" t="s">
        <v>3639</v>
      </c>
      <c r="N324" s="141" t="s">
        <v>355</v>
      </c>
      <c r="O324" s="141" t="s">
        <v>359</v>
      </c>
      <c r="P324" s="141" t="s">
        <v>360</v>
      </c>
      <c r="Q324" s="141" t="s">
        <v>361</v>
      </c>
      <c r="R324" s="141" t="s">
        <v>362</v>
      </c>
      <c r="S324" s="141" t="s">
        <v>1295</v>
      </c>
      <c r="T324" s="141" t="s">
        <v>3619</v>
      </c>
      <c r="U324" s="141" t="s">
        <v>3619</v>
      </c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 t="s">
        <v>355</v>
      </c>
      <c r="AL324" s="141" t="s">
        <v>365</v>
      </c>
      <c r="AM324" s="141" t="s">
        <v>355</v>
      </c>
      <c r="AN324" s="141" t="s">
        <v>891</v>
      </c>
      <c r="AO324" s="141" t="s">
        <v>3619</v>
      </c>
      <c r="AP324" s="141" t="s">
        <v>3620</v>
      </c>
      <c r="AQ324" s="141" t="s">
        <v>3621</v>
      </c>
      <c r="AR324" s="141" t="s">
        <v>369</v>
      </c>
      <c r="AS324" s="141" t="s">
        <v>359</v>
      </c>
      <c r="AT324" s="141"/>
      <c r="AU324" s="141" t="s">
        <v>3638</v>
      </c>
      <c r="AV324" s="141" t="s">
        <v>907</v>
      </c>
      <c r="AW324" s="141" t="s">
        <v>3640</v>
      </c>
      <c r="AX324" s="141" t="s">
        <v>500</v>
      </c>
      <c r="AY324" s="141" t="s">
        <v>1598</v>
      </c>
      <c r="AZ324" s="141" t="s">
        <v>1578</v>
      </c>
      <c r="BA324" s="141" t="s">
        <v>3641</v>
      </c>
      <c r="BB324" s="141" t="s">
        <v>494</v>
      </c>
      <c r="BC324" s="141" t="s">
        <v>3642</v>
      </c>
      <c r="BD324" s="141" t="s">
        <v>1587</v>
      </c>
      <c r="BE324" s="141" t="s">
        <v>3643</v>
      </c>
      <c r="BF324" s="141" t="s">
        <v>913</v>
      </c>
      <c r="BG324" s="141" t="s">
        <v>3644</v>
      </c>
      <c r="BH324" s="141" t="s">
        <v>383</v>
      </c>
      <c r="BI324" s="141" t="s">
        <v>2383</v>
      </c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73"/>
    </row>
    <row r="325" spans="2:105" x14ac:dyDescent="0.25">
      <c r="B325" s="172"/>
      <c r="C325" s="141" t="s">
        <v>3645</v>
      </c>
      <c r="D325" s="141" t="s">
        <v>491</v>
      </c>
      <c r="E325" s="141" t="s">
        <v>2266</v>
      </c>
      <c r="F325" s="141" t="s">
        <v>3600</v>
      </c>
      <c r="G325" s="141"/>
      <c r="H325" s="141" t="s">
        <v>354</v>
      </c>
      <c r="I325" s="141"/>
      <c r="J325" s="141" t="s">
        <v>355</v>
      </c>
      <c r="K325" s="141" t="s">
        <v>2396</v>
      </c>
      <c r="L325" s="141" t="s">
        <v>3646</v>
      </c>
      <c r="M325" s="141" t="s">
        <v>3647</v>
      </c>
      <c r="N325" s="141" t="s">
        <v>355</v>
      </c>
      <c r="O325" s="141" t="s">
        <v>486</v>
      </c>
      <c r="P325" s="141" t="s">
        <v>1631</v>
      </c>
      <c r="Q325" s="141" t="s">
        <v>1632</v>
      </c>
      <c r="R325" s="141" t="s">
        <v>362</v>
      </c>
      <c r="S325" s="141" t="s">
        <v>1295</v>
      </c>
      <c r="T325" s="141" t="s">
        <v>3619</v>
      </c>
      <c r="U325" s="141" t="s">
        <v>3619</v>
      </c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 t="s">
        <v>355</v>
      </c>
      <c r="AL325" s="141" t="s">
        <v>365</v>
      </c>
      <c r="AM325" s="141" t="s">
        <v>355</v>
      </c>
      <c r="AN325" s="141" t="s">
        <v>891</v>
      </c>
      <c r="AO325" s="141" t="s">
        <v>3619</v>
      </c>
      <c r="AP325" s="141" t="s">
        <v>3620</v>
      </c>
      <c r="AQ325" s="141" t="s">
        <v>3621</v>
      </c>
      <c r="AR325" s="141" t="s">
        <v>369</v>
      </c>
      <c r="AS325" s="141" t="s">
        <v>427</v>
      </c>
      <c r="AT325" s="141"/>
      <c r="AU325" s="141" t="s">
        <v>3646</v>
      </c>
      <c r="AV325" s="141" t="s">
        <v>907</v>
      </c>
      <c r="AW325" s="141" t="s">
        <v>3648</v>
      </c>
      <c r="AX325" s="141" t="s">
        <v>500</v>
      </c>
      <c r="AY325" s="141" t="s">
        <v>3284</v>
      </c>
      <c r="AZ325" s="141" t="s">
        <v>1578</v>
      </c>
      <c r="BA325" s="141" t="s">
        <v>3649</v>
      </c>
      <c r="BB325" s="141" t="s">
        <v>494</v>
      </c>
      <c r="BC325" s="141" t="s">
        <v>3650</v>
      </c>
      <c r="BD325" s="141" t="s">
        <v>1587</v>
      </c>
      <c r="BE325" s="141" t="s">
        <v>3146</v>
      </c>
      <c r="BF325" s="141" t="s">
        <v>913</v>
      </c>
      <c r="BG325" s="141" t="s">
        <v>3651</v>
      </c>
      <c r="BH325" s="141" t="s">
        <v>383</v>
      </c>
      <c r="BI325" s="141" t="s">
        <v>3652</v>
      </c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73"/>
    </row>
    <row r="326" spans="2:105" x14ac:dyDescent="0.25">
      <c r="B326" s="172"/>
      <c r="C326" s="141" t="s">
        <v>3653</v>
      </c>
      <c r="D326" s="141" t="s">
        <v>3654</v>
      </c>
      <c r="E326" s="141" t="s">
        <v>3655</v>
      </c>
      <c r="F326" s="141" t="s">
        <v>3656</v>
      </c>
      <c r="G326" s="141"/>
      <c r="H326" s="141" t="s">
        <v>354</v>
      </c>
      <c r="I326" s="141"/>
      <c r="J326" s="141" t="s">
        <v>355</v>
      </c>
      <c r="K326" s="141" t="s">
        <v>866</v>
      </c>
      <c r="L326" s="141" t="s">
        <v>3657</v>
      </c>
      <c r="M326" s="141" t="s">
        <v>3658</v>
      </c>
      <c r="N326" s="141" t="s">
        <v>355</v>
      </c>
      <c r="O326" s="141" t="s">
        <v>370</v>
      </c>
      <c r="P326" s="141" t="s">
        <v>529</v>
      </c>
      <c r="Q326" s="141" t="s">
        <v>530</v>
      </c>
      <c r="R326" s="141" t="s">
        <v>362</v>
      </c>
      <c r="S326" s="141" t="s">
        <v>1295</v>
      </c>
      <c r="T326" s="141" t="s">
        <v>3619</v>
      </c>
      <c r="U326" s="141" t="s">
        <v>3619</v>
      </c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 t="s">
        <v>355</v>
      </c>
      <c r="AL326" s="141" t="s">
        <v>365</v>
      </c>
      <c r="AM326" s="141" t="s">
        <v>355</v>
      </c>
      <c r="AN326" s="141" t="s">
        <v>891</v>
      </c>
      <c r="AO326" s="141" t="s">
        <v>3619</v>
      </c>
      <c r="AP326" s="141" t="s">
        <v>3620</v>
      </c>
      <c r="AQ326" s="141" t="s">
        <v>3621</v>
      </c>
      <c r="AR326" s="141" t="s">
        <v>369</v>
      </c>
      <c r="AS326" s="141" t="s">
        <v>442</v>
      </c>
      <c r="AT326" s="141"/>
      <c r="AU326" s="141" t="s">
        <v>3657</v>
      </c>
      <c r="AV326" s="141" t="s">
        <v>907</v>
      </c>
      <c r="AW326" s="141" t="s">
        <v>2052</v>
      </c>
      <c r="AX326" s="141" t="s">
        <v>500</v>
      </c>
      <c r="AY326" s="141" t="s">
        <v>3659</v>
      </c>
      <c r="AZ326" s="141" t="s">
        <v>1578</v>
      </c>
      <c r="BA326" s="141" t="s">
        <v>1079</v>
      </c>
      <c r="BB326" s="141" t="s">
        <v>494</v>
      </c>
      <c r="BC326" s="141" t="s">
        <v>993</v>
      </c>
      <c r="BD326" s="141" t="s">
        <v>1587</v>
      </c>
      <c r="BE326" s="141" t="s">
        <v>910</v>
      </c>
      <c r="BF326" s="141" t="s">
        <v>913</v>
      </c>
      <c r="BG326" s="141" t="s">
        <v>3660</v>
      </c>
      <c r="BH326" s="141" t="s">
        <v>383</v>
      </c>
      <c r="BI326" s="141" t="s">
        <v>3661</v>
      </c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73"/>
    </row>
    <row r="327" spans="2:105" x14ac:dyDescent="0.25">
      <c r="B327" s="172"/>
      <c r="C327" s="141" t="s">
        <v>3662</v>
      </c>
      <c r="D327" s="141" t="s">
        <v>3663</v>
      </c>
      <c r="E327" s="141" t="s">
        <v>3664</v>
      </c>
      <c r="F327" s="141" t="s">
        <v>3665</v>
      </c>
      <c r="G327" s="141"/>
      <c r="H327" s="141" t="s">
        <v>354</v>
      </c>
      <c r="I327" s="141"/>
      <c r="J327" s="141" t="s">
        <v>355</v>
      </c>
      <c r="K327" s="141" t="s">
        <v>852</v>
      </c>
      <c r="L327" s="141" t="s">
        <v>3666</v>
      </c>
      <c r="M327" s="141" t="s">
        <v>3667</v>
      </c>
      <c r="N327" s="141" t="s">
        <v>355</v>
      </c>
      <c r="O327" s="141" t="s">
        <v>409</v>
      </c>
      <c r="P327" s="141" t="s">
        <v>410</v>
      </c>
      <c r="Q327" s="141" t="s">
        <v>410</v>
      </c>
      <c r="R327" s="141" t="s">
        <v>362</v>
      </c>
      <c r="S327" s="141" t="s">
        <v>1295</v>
      </c>
      <c r="T327" s="141" t="s">
        <v>3619</v>
      </c>
      <c r="U327" s="141" t="s">
        <v>3619</v>
      </c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 t="s">
        <v>355</v>
      </c>
      <c r="AL327" s="141" t="s">
        <v>365</v>
      </c>
      <c r="AM327" s="141" t="s">
        <v>355</v>
      </c>
      <c r="AN327" s="141" t="s">
        <v>891</v>
      </c>
      <c r="AO327" s="141" t="s">
        <v>3619</v>
      </c>
      <c r="AP327" s="141" t="s">
        <v>3620</v>
      </c>
      <c r="AQ327" s="141" t="s">
        <v>3621</v>
      </c>
      <c r="AR327" s="141" t="s">
        <v>369</v>
      </c>
      <c r="AS327" s="141" t="s">
        <v>392</v>
      </c>
      <c r="AT327" s="141"/>
      <c r="AU327" s="141" t="s">
        <v>3666</v>
      </c>
      <c r="AV327" s="141" t="s">
        <v>907</v>
      </c>
      <c r="AW327" s="141" t="s">
        <v>443</v>
      </c>
      <c r="AX327" s="141" t="s">
        <v>500</v>
      </c>
      <c r="AY327" s="141" t="s">
        <v>2816</v>
      </c>
      <c r="AZ327" s="141" t="s">
        <v>1578</v>
      </c>
      <c r="BA327" s="141" t="s">
        <v>3668</v>
      </c>
      <c r="BB327" s="141" t="s">
        <v>494</v>
      </c>
      <c r="BC327" s="141" t="s">
        <v>3669</v>
      </c>
      <c r="BD327" s="141" t="s">
        <v>1587</v>
      </c>
      <c r="BE327" s="141" t="s">
        <v>3670</v>
      </c>
      <c r="BF327" s="141" t="s">
        <v>913</v>
      </c>
      <c r="BG327" s="141" t="s">
        <v>3671</v>
      </c>
      <c r="BH327" s="141" t="s">
        <v>383</v>
      </c>
      <c r="BI327" s="141" t="s">
        <v>3672</v>
      </c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73"/>
    </row>
    <row r="328" spans="2:105" x14ac:dyDescent="0.25">
      <c r="B328" s="172"/>
      <c r="C328" s="141"/>
      <c r="D328" s="141" t="s">
        <v>3673</v>
      </c>
      <c r="E328" s="141"/>
      <c r="F328" s="141" t="s">
        <v>467</v>
      </c>
      <c r="G328" s="141"/>
      <c r="H328" s="141" t="s">
        <v>354</v>
      </c>
      <c r="I328" s="141"/>
      <c r="J328" s="141" t="s">
        <v>355</v>
      </c>
      <c r="K328" s="141" t="s">
        <v>2693</v>
      </c>
      <c r="L328" s="141"/>
      <c r="M328" s="141"/>
      <c r="N328" s="141" t="s">
        <v>355</v>
      </c>
      <c r="O328" s="141"/>
      <c r="P328" s="141"/>
      <c r="Q328" s="141"/>
      <c r="R328" s="141"/>
      <c r="S328" s="141" t="s">
        <v>1295</v>
      </c>
      <c r="T328" s="141" t="s">
        <v>3619</v>
      </c>
      <c r="U328" s="141" t="s">
        <v>3619</v>
      </c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 t="s">
        <v>355</v>
      </c>
      <c r="AL328" s="141" t="s">
        <v>365</v>
      </c>
      <c r="AM328" s="141" t="s">
        <v>355</v>
      </c>
      <c r="AN328" s="141" t="s">
        <v>891</v>
      </c>
      <c r="AO328" s="141" t="s">
        <v>3619</v>
      </c>
      <c r="AP328" s="141" t="s">
        <v>3620</v>
      </c>
      <c r="AQ328" s="141" t="s">
        <v>3621</v>
      </c>
      <c r="AR328" s="141" t="s">
        <v>369</v>
      </c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73"/>
    </row>
    <row r="329" spans="2:105" x14ac:dyDescent="0.25">
      <c r="B329" s="172"/>
      <c r="C329" s="141"/>
      <c r="D329" s="141" t="s">
        <v>3674</v>
      </c>
      <c r="E329" s="141"/>
      <c r="F329" s="141" t="s">
        <v>467</v>
      </c>
      <c r="G329" s="141"/>
      <c r="H329" s="141" t="s">
        <v>354</v>
      </c>
      <c r="I329" s="141"/>
      <c r="J329" s="141" t="s">
        <v>355</v>
      </c>
      <c r="K329" s="141" t="s">
        <v>2364</v>
      </c>
      <c r="L329" s="141"/>
      <c r="M329" s="141"/>
      <c r="N329" s="141" t="s">
        <v>355</v>
      </c>
      <c r="O329" s="141"/>
      <c r="P329" s="141"/>
      <c r="Q329" s="141"/>
      <c r="R329" s="141"/>
      <c r="S329" s="141" t="s">
        <v>1295</v>
      </c>
      <c r="T329" s="141" t="s">
        <v>3619</v>
      </c>
      <c r="U329" s="141" t="s">
        <v>3619</v>
      </c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 t="s">
        <v>355</v>
      </c>
      <c r="AL329" s="141" t="s">
        <v>365</v>
      </c>
      <c r="AM329" s="141" t="s">
        <v>355</v>
      </c>
      <c r="AN329" s="141" t="s">
        <v>891</v>
      </c>
      <c r="AO329" s="141" t="s">
        <v>3619</v>
      </c>
      <c r="AP329" s="141" t="s">
        <v>3620</v>
      </c>
      <c r="AQ329" s="141" t="s">
        <v>3621</v>
      </c>
      <c r="AR329" s="141" t="s">
        <v>369</v>
      </c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73"/>
    </row>
    <row r="330" spans="2:105" x14ac:dyDescent="0.25">
      <c r="B330" s="172"/>
      <c r="C330" s="141" t="s">
        <v>3675</v>
      </c>
      <c r="D330" s="141" t="s">
        <v>3676</v>
      </c>
      <c r="E330" s="141" t="s">
        <v>3677</v>
      </c>
      <c r="F330" s="141" t="s">
        <v>3262</v>
      </c>
      <c r="G330" s="141"/>
      <c r="H330" s="141" t="s">
        <v>354</v>
      </c>
      <c r="I330" s="141"/>
      <c r="J330" s="141" t="s">
        <v>355</v>
      </c>
      <c r="K330" s="141" t="s">
        <v>2364</v>
      </c>
      <c r="L330" s="141" t="s">
        <v>3678</v>
      </c>
      <c r="M330" s="141" t="s">
        <v>3679</v>
      </c>
      <c r="N330" s="141" t="s">
        <v>355</v>
      </c>
      <c r="O330" s="141" t="s">
        <v>427</v>
      </c>
      <c r="P330" s="141" t="s">
        <v>455</v>
      </c>
      <c r="Q330" s="141" t="s">
        <v>456</v>
      </c>
      <c r="R330" s="141" t="s">
        <v>362</v>
      </c>
      <c r="S330" s="141" t="s">
        <v>1280</v>
      </c>
      <c r="T330" s="141" t="s">
        <v>3680</v>
      </c>
      <c r="U330" s="141" t="s">
        <v>3680</v>
      </c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 t="s">
        <v>355</v>
      </c>
      <c r="AL330" s="141" t="s">
        <v>365</v>
      </c>
      <c r="AM330" s="141" t="s">
        <v>355</v>
      </c>
      <c r="AN330" s="141" t="s">
        <v>1882</v>
      </c>
      <c r="AO330" s="141" t="s">
        <v>3680</v>
      </c>
      <c r="AP330" s="141" t="s">
        <v>3681</v>
      </c>
      <c r="AQ330" s="141" t="s">
        <v>780</v>
      </c>
      <c r="AR330" s="141" t="s">
        <v>392</v>
      </c>
      <c r="AS330" s="141" t="s">
        <v>370</v>
      </c>
      <c r="AT330" s="141"/>
      <c r="AU330" s="141" t="s">
        <v>3678</v>
      </c>
      <c r="AV330" s="141" t="s">
        <v>1578</v>
      </c>
      <c r="AW330" s="141" t="s">
        <v>3682</v>
      </c>
      <c r="AX330" s="141" t="s">
        <v>656</v>
      </c>
      <c r="AY330" s="141" t="s">
        <v>3683</v>
      </c>
      <c r="AZ330" s="141" t="s">
        <v>1587</v>
      </c>
      <c r="BA330" s="141" t="s">
        <v>3684</v>
      </c>
      <c r="BB330" s="141" t="s">
        <v>786</v>
      </c>
      <c r="BC330" s="141" t="s">
        <v>1755</v>
      </c>
      <c r="BD330" s="141" t="s">
        <v>913</v>
      </c>
      <c r="BE330" s="141" t="s">
        <v>2180</v>
      </c>
      <c r="BF330" s="141" t="s">
        <v>383</v>
      </c>
      <c r="BG330" s="141" t="s">
        <v>3685</v>
      </c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73"/>
    </row>
    <row r="331" spans="2:105" x14ac:dyDescent="0.25">
      <c r="B331" s="172"/>
      <c r="C331" s="141" t="s">
        <v>3686</v>
      </c>
      <c r="D331" s="141" t="s">
        <v>777</v>
      </c>
      <c r="E331" s="141" t="s">
        <v>3687</v>
      </c>
      <c r="F331" s="141" t="s">
        <v>3688</v>
      </c>
      <c r="G331" s="141"/>
      <c r="H331" s="141" t="s">
        <v>354</v>
      </c>
      <c r="I331" s="141"/>
      <c r="J331" s="141" t="s">
        <v>355</v>
      </c>
      <c r="K331" s="141" t="s">
        <v>687</v>
      </c>
      <c r="L331" s="141" t="s">
        <v>3689</v>
      </c>
      <c r="M331" s="141" t="s">
        <v>3690</v>
      </c>
      <c r="N331" s="141" t="s">
        <v>355</v>
      </c>
      <c r="O331" s="141" t="s">
        <v>394</v>
      </c>
      <c r="P331" s="141" t="s">
        <v>425</v>
      </c>
      <c r="Q331" s="141" t="s">
        <v>426</v>
      </c>
      <c r="R331" s="141" t="s">
        <v>362</v>
      </c>
      <c r="S331" s="141" t="s">
        <v>1280</v>
      </c>
      <c r="T331" s="141" t="s">
        <v>3680</v>
      </c>
      <c r="U331" s="141" t="s">
        <v>3680</v>
      </c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 t="s">
        <v>355</v>
      </c>
      <c r="AL331" s="141" t="s">
        <v>365</v>
      </c>
      <c r="AM331" s="141" t="s">
        <v>355</v>
      </c>
      <c r="AN331" s="141" t="s">
        <v>1882</v>
      </c>
      <c r="AO331" s="141" t="s">
        <v>3680</v>
      </c>
      <c r="AP331" s="141" t="s">
        <v>3681</v>
      </c>
      <c r="AQ331" s="141" t="s">
        <v>780</v>
      </c>
      <c r="AR331" s="141" t="s">
        <v>392</v>
      </c>
      <c r="AS331" s="141" t="s">
        <v>394</v>
      </c>
      <c r="AT331" s="141"/>
      <c r="AU331" s="141" t="s">
        <v>3689</v>
      </c>
      <c r="AV331" s="141" t="s">
        <v>1578</v>
      </c>
      <c r="AW331" s="141" t="s">
        <v>3691</v>
      </c>
      <c r="AX331" s="141" t="s">
        <v>656</v>
      </c>
      <c r="AY331" s="141" t="s">
        <v>416</v>
      </c>
      <c r="AZ331" s="141" t="s">
        <v>1587</v>
      </c>
      <c r="BA331" s="141" t="s">
        <v>1190</v>
      </c>
      <c r="BB331" s="141" t="s">
        <v>786</v>
      </c>
      <c r="BC331" s="141" t="s">
        <v>3633</v>
      </c>
      <c r="BD331" s="141" t="s">
        <v>913</v>
      </c>
      <c r="BE331" s="141" t="s">
        <v>3692</v>
      </c>
      <c r="BF331" s="141" t="s">
        <v>383</v>
      </c>
      <c r="BG331" s="141" t="s">
        <v>3661</v>
      </c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73"/>
    </row>
    <row r="332" spans="2:105" x14ac:dyDescent="0.25">
      <c r="B332" s="172"/>
      <c r="C332" s="141" t="s">
        <v>3693</v>
      </c>
      <c r="D332" s="141" t="s">
        <v>3694</v>
      </c>
      <c r="E332" s="141" t="s">
        <v>3695</v>
      </c>
      <c r="F332" s="141" t="s">
        <v>3696</v>
      </c>
      <c r="G332" s="141"/>
      <c r="H332" s="141" t="s">
        <v>354</v>
      </c>
      <c r="I332" s="141"/>
      <c r="J332" s="141" t="s">
        <v>355</v>
      </c>
      <c r="K332" s="141" t="s">
        <v>544</v>
      </c>
      <c r="L332" s="141" t="s">
        <v>3607</v>
      </c>
      <c r="M332" s="141" t="s">
        <v>3606</v>
      </c>
      <c r="N332" s="141" t="s">
        <v>355</v>
      </c>
      <c r="O332" s="141" t="s">
        <v>370</v>
      </c>
      <c r="P332" s="141" t="s">
        <v>529</v>
      </c>
      <c r="Q332" s="141" t="s">
        <v>530</v>
      </c>
      <c r="R332" s="141" t="s">
        <v>362</v>
      </c>
      <c r="S332" s="141" t="s">
        <v>1280</v>
      </c>
      <c r="T332" s="141" t="s">
        <v>3680</v>
      </c>
      <c r="U332" s="141" t="s">
        <v>3680</v>
      </c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 t="s">
        <v>355</v>
      </c>
      <c r="AL332" s="141" t="s">
        <v>365</v>
      </c>
      <c r="AM332" s="141" t="s">
        <v>355</v>
      </c>
      <c r="AN332" s="141" t="s">
        <v>1882</v>
      </c>
      <c r="AO332" s="141" t="s">
        <v>3680</v>
      </c>
      <c r="AP332" s="141" t="s">
        <v>3681</v>
      </c>
      <c r="AQ332" s="141" t="s">
        <v>780</v>
      </c>
      <c r="AR332" s="141" t="s">
        <v>392</v>
      </c>
      <c r="AS332" s="141" t="s">
        <v>359</v>
      </c>
      <c r="AT332" s="141"/>
      <c r="AU332" s="141" t="s">
        <v>3607</v>
      </c>
      <c r="AV332" s="141" t="s">
        <v>1578</v>
      </c>
      <c r="AW332" s="141" t="s">
        <v>1283</v>
      </c>
      <c r="AX332" s="141" t="s">
        <v>656</v>
      </c>
      <c r="AY332" s="141" t="s">
        <v>3697</v>
      </c>
      <c r="AZ332" s="141" t="s">
        <v>1587</v>
      </c>
      <c r="BA332" s="141" t="s">
        <v>3698</v>
      </c>
      <c r="BB332" s="141" t="s">
        <v>786</v>
      </c>
      <c r="BC332" s="141" t="s">
        <v>3334</v>
      </c>
      <c r="BD332" s="141" t="s">
        <v>913</v>
      </c>
      <c r="BE332" s="141" t="s">
        <v>3699</v>
      </c>
      <c r="BF332" s="141" t="s">
        <v>383</v>
      </c>
      <c r="BG332" s="141" t="s">
        <v>3700</v>
      </c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73"/>
    </row>
    <row r="333" spans="2:105" x14ac:dyDescent="0.25">
      <c r="B333" s="172"/>
      <c r="C333" s="141"/>
      <c r="D333" s="141" t="s">
        <v>3701</v>
      </c>
      <c r="E333" s="141"/>
      <c r="F333" s="141" t="s">
        <v>467</v>
      </c>
      <c r="G333" s="141"/>
      <c r="H333" s="141" t="s">
        <v>354</v>
      </c>
      <c r="I333" s="141"/>
      <c r="J333" s="141" t="s">
        <v>355</v>
      </c>
      <c r="K333" s="141" t="s">
        <v>510</v>
      </c>
      <c r="L333" s="141"/>
      <c r="M333" s="141"/>
      <c r="N333" s="141" t="s">
        <v>355</v>
      </c>
      <c r="O333" s="141"/>
      <c r="P333" s="141"/>
      <c r="Q333" s="141"/>
      <c r="R333" s="141"/>
      <c r="S333" s="141" t="s">
        <v>1280</v>
      </c>
      <c r="T333" s="141" t="s">
        <v>3680</v>
      </c>
      <c r="U333" s="141" t="s">
        <v>3680</v>
      </c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 t="s">
        <v>355</v>
      </c>
      <c r="AL333" s="141" t="s">
        <v>365</v>
      </c>
      <c r="AM333" s="141" t="s">
        <v>355</v>
      </c>
      <c r="AN333" s="141" t="s">
        <v>1882</v>
      </c>
      <c r="AO333" s="141" t="s">
        <v>3680</v>
      </c>
      <c r="AP333" s="141" t="s">
        <v>3681</v>
      </c>
      <c r="AQ333" s="141" t="s">
        <v>780</v>
      </c>
      <c r="AR333" s="141" t="s">
        <v>392</v>
      </c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73"/>
    </row>
    <row r="334" spans="2:105" x14ac:dyDescent="0.25">
      <c r="B334" s="172"/>
      <c r="C334" s="141"/>
      <c r="D334" s="141" t="s">
        <v>3702</v>
      </c>
      <c r="E334" s="141"/>
      <c r="F334" s="141" t="s">
        <v>467</v>
      </c>
      <c r="G334" s="141"/>
      <c r="H334" s="141" t="s">
        <v>354</v>
      </c>
      <c r="I334" s="141"/>
      <c r="J334" s="141" t="s">
        <v>355</v>
      </c>
      <c r="K334" s="141" t="s">
        <v>2396</v>
      </c>
      <c r="L334" s="141"/>
      <c r="M334" s="141"/>
      <c r="N334" s="141" t="s">
        <v>355</v>
      </c>
      <c r="O334" s="141"/>
      <c r="P334" s="141"/>
      <c r="Q334" s="141"/>
      <c r="R334" s="141"/>
      <c r="S334" s="141" t="s">
        <v>1280</v>
      </c>
      <c r="T334" s="141" t="s">
        <v>3680</v>
      </c>
      <c r="U334" s="141" t="s">
        <v>3680</v>
      </c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 t="s">
        <v>355</v>
      </c>
      <c r="AL334" s="141" t="s">
        <v>365</v>
      </c>
      <c r="AM334" s="141" t="s">
        <v>355</v>
      </c>
      <c r="AN334" s="141" t="s">
        <v>1882</v>
      </c>
      <c r="AO334" s="141" t="s">
        <v>3680</v>
      </c>
      <c r="AP334" s="141" t="s">
        <v>3681</v>
      </c>
      <c r="AQ334" s="141" t="s">
        <v>780</v>
      </c>
      <c r="AR334" s="141" t="s">
        <v>392</v>
      </c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73"/>
    </row>
    <row r="335" spans="2:105" x14ac:dyDescent="0.25">
      <c r="B335" s="172"/>
      <c r="C335" s="141"/>
      <c r="D335" s="141" t="s">
        <v>3703</v>
      </c>
      <c r="E335" s="141"/>
      <c r="F335" s="141" t="s">
        <v>467</v>
      </c>
      <c r="G335" s="141"/>
      <c r="H335" s="141" t="s">
        <v>354</v>
      </c>
      <c r="I335" s="141"/>
      <c r="J335" s="141" t="s">
        <v>355</v>
      </c>
      <c r="K335" s="141"/>
      <c r="L335" s="141"/>
      <c r="M335" s="141"/>
      <c r="N335" s="141" t="s">
        <v>355</v>
      </c>
      <c r="O335" s="141"/>
      <c r="P335" s="141"/>
      <c r="Q335" s="141"/>
      <c r="R335" s="141"/>
      <c r="S335" s="141" t="s">
        <v>1427</v>
      </c>
      <c r="T335" s="141" t="s">
        <v>3704</v>
      </c>
      <c r="U335" s="141" t="s">
        <v>3704</v>
      </c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 t="s">
        <v>355</v>
      </c>
      <c r="AL335" s="141" t="s">
        <v>365</v>
      </c>
      <c r="AM335" s="141" t="s">
        <v>355</v>
      </c>
      <c r="AN335" s="141" t="s">
        <v>779</v>
      </c>
      <c r="AO335" s="141" t="s">
        <v>3704</v>
      </c>
      <c r="AP335" s="141" t="s">
        <v>3681</v>
      </c>
      <c r="AQ335" s="141" t="s">
        <v>780</v>
      </c>
      <c r="AR335" s="141" t="s">
        <v>392</v>
      </c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73"/>
    </row>
    <row r="336" spans="2:105" x14ac:dyDescent="0.25">
      <c r="B336" s="172"/>
      <c r="C336" s="141"/>
      <c r="D336" s="141" t="s">
        <v>3705</v>
      </c>
      <c r="E336" s="141"/>
      <c r="F336" s="141" t="s">
        <v>467</v>
      </c>
      <c r="G336" s="141"/>
      <c r="H336" s="141" t="s">
        <v>354</v>
      </c>
      <c r="I336" s="141"/>
      <c r="J336" s="141" t="s">
        <v>355</v>
      </c>
      <c r="K336" s="141"/>
      <c r="L336" s="141"/>
      <c r="M336" s="141"/>
      <c r="N336" s="141" t="s">
        <v>355</v>
      </c>
      <c r="O336" s="141"/>
      <c r="P336" s="141"/>
      <c r="Q336" s="141"/>
      <c r="R336" s="141"/>
      <c r="S336" s="141" t="s">
        <v>1427</v>
      </c>
      <c r="T336" s="141" t="s">
        <v>3704</v>
      </c>
      <c r="U336" s="141" t="s">
        <v>3704</v>
      </c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 t="s">
        <v>355</v>
      </c>
      <c r="AL336" s="141" t="s">
        <v>365</v>
      </c>
      <c r="AM336" s="141" t="s">
        <v>355</v>
      </c>
      <c r="AN336" s="141" t="s">
        <v>779</v>
      </c>
      <c r="AO336" s="141" t="s">
        <v>3704</v>
      </c>
      <c r="AP336" s="141" t="s">
        <v>3681</v>
      </c>
      <c r="AQ336" s="141" t="s">
        <v>780</v>
      </c>
      <c r="AR336" s="141" t="s">
        <v>392</v>
      </c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73"/>
    </row>
    <row r="337" spans="2:105" x14ac:dyDescent="0.25">
      <c r="B337" s="172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73"/>
    </row>
    <row r="338" spans="2:105" x14ac:dyDescent="0.25">
      <c r="B338" s="172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73"/>
    </row>
    <row r="339" spans="2:105" x14ac:dyDescent="0.25">
      <c r="B339" s="172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73"/>
    </row>
    <row r="340" spans="2:105" x14ac:dyDescent="0.25">
      <c r="B340" s="172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73"/>
    </row>
    <row r="341" spans="2:105" x14ac:dyDescent="0.25">
      <c r="B341" s="172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73"/>
    </row>
    <row r="342" spans="2:105" x14ac:dyDescent="0.25">
      <c r="B342" s="172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73"/>
    </row>
    <row r="343" spans="2:105" x14ac:dyDescent="0.25">
      <c r="B343" s="172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73"/>
    </row>
    <row r="344" spans="2:105" x14ac:dyDescent="0.25">
      <c r="B344" s="172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73"/>
    </row>
    <row r="345" spans="2:105" x14ac:dyDescent="0.25">
      <c r="B345" s="172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73"/>
    </row>
    <row r="346" spans="2:105" x14ac:dyDescent="0.25">
      <c r="B346" s="172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73"/>
    </row>
    <row r="347" spans="2:105" x14ac:dyDescent="0.25">
      <c r="B347" s="172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73"/>
    </row>
    <row r="348" spans="2:105" x14ac:dyDescent="0.25">
      <c r="B348" s="172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73"/>
    </row>
    <row r="349" spans="2:105" x14ac:dyDescent="0.25">
      <c r="B349" s="172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73"/>
    </row>
    <row r="350" spans="2:105" x14ac:dyDescent="0.25">
      <c r="B350" s="172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73"/>
    </row>
    <row r="351" spans="2:105" x14ac:dyDescent="0.25">
      <c r="B351" s="172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73"/>
    </row>
    <row r="352" spans="2:105" x14ac:dyDescent="0.25">
      <c r="B352" s="172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73"/>
    </row>
    <row r="353" spans="2:105" x14ac:dyDescent="0.25">
      <c r="B353" s="172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73"/>
    </row>
    <row r="354" spans="2:105" x14ac:dyDescent="0.25">
      <c r="B354" s="172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73"/>
    </row>
    <row r="355" spans="2:105" x14ac:dyDescent="0.25">
      <c r="B355" s="172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73"/>
    </row>
    <row r="356" spans="2:105" x14ac:dyDescent="0.25">
      <c r="B356" s="172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73"/>
    </row>
    <row r="357" spans="2:105" x14ac:dyDescent="0.25">
      <c r="B357" s="172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73"/>
    </row>
    <row r="358" spans="2:105" x14ac:dyDescent="0.25">
      <c r="B358" s="172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73"/>
    </row>
    <row r="359" spans="2:105" x14ac:dyDescent="0.25">
      <c r="B359" s="172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73"/>
    </row>
    <row r="360" spans="2:105" x14ac:dyDescent="0.25">
      <c r="B360" s="172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73"/>
    </row>
    <row r="361" spans="2:105" x14ac:dyDescent="0.25">
      <c r="B361" s="172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73"/>
    </row>
    <row r="362" spans="2:105" x14ac:dyDescent="0.25">
      <c r="B362" s="172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73"/>
    </row>
    <row r="363" spans="2:105" x14ac:dyDescent="0.25">
      <c r="B363" s="172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73"/>
    </row>
    <row r="364" spans="2:105" x14ac:dyDescent="0.25">
      <c r="B364" s="172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73"/>
    </row>
    <row r="365" spans="2:105" x14ac:dyDescent="0.25">
      <c r="B365" s="172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73"/>
    </row>
    <row r="366" spans="2:105" x14ac:dyDescent="0.25">
      <c r="B366" s="172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73"/>
    </row>
    <row r="367" spans="2:105" x14ac:dyDescent="0.25">
      <c r="B367" s="172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73"/>
    </row>
    <row r="368" spans="2:105" x14ac:dyDescent="0.25">
      <c r="B368" s="172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73"/>
    </row>
    <row r="369" spans="2:105" x14ac:dyDescent="0.25">
      <c r="B369" s="172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73"/>
    </row>
    <row r="370" spans="2:105" x14ac:dyDescent="0.25">
      <c r="B370" s="172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73"/>
    </row>
    <row r="371" spans="2:105" x14ac:dyDescent="0.25">
      <c r="B371" s="172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73"/>
    </row>
    <row r="372" spans="2:105" x14ac:dyDescent="0.25">
      <c r="B372" s="172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73"/>
    </row>
    <row r="373" spans="2:105" x14ac:dyDescent="0.25">
      <c r="B373" s="172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73"/>
    </row>
    <row r="374" spans="2:105" x14ac:dyDescent="0.25">
      <c r="B374" s="172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73"/>
    </row>
    <row r="375" spans="2:105" x14ac:dyDescent="0.25">
      <c r="B375" s="172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73"/>
    </row>
    <row r="376" spans="2:105" x14ac:dyDescent="0.25">
      <c r="B376" s="172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73"/>
    </row>
    <row r="377" spans="2:105" x14ac:dyDescent="0.25">
      <c r="B377" s="172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73"/>
    </row>
    <row r="378" spans="2:105" x14ac:dyDescent="0.25">
      <c r="B378" s="172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73"/>
    </row>
    <row r="379" spans="2:105" x14ac:dyDescent="0.25">
      <c r="B379" s="172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73"/>
    </row>
    <row r="380" spans="2:105" x14ac:dyDescent="0.25">
      <c r="B380" s="172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73"/>
    </row>
    <row r="381" spans="2:105" x14ac:dyDescent="0.25">
      <c r="B381" s="172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73"/>
    </row>
    <row r="382" spans="2:105" x14ac:dyDescent="0.25">
      <c r="B382" s="172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73"/>
    </row>
    <row r="383" spans="2:105" x14ac:dyDescent="0.25">
      <c r="B383" s="172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73"/>
    </row>
    <row r="384" spans="2:105" x14ac:dyDescent="0.25">
      <c r="B384" s="172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73"/>
    </row>
    <row r="385" spans="2:105" x14ac:dyDescent="0.25">
      <c r="B385" s="172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73"/>
    </row>
    <row r="386" spans="2:105" x14ac:dyDescent="0.25">
      <c r="B386" s="172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73"/>
    </row>
    <row r="387" spans="2:105" x14ac:dyDescent="0.25">
      <c r="B387" s="172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73"/>
    </row>
    <row r="388" spans="2:105" x14ac:dyDescent="0.25">
      <c r="B388" s="172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73"/>
    </row>
    <row r="389" spans="2:105" x14ac:dyDescent="0.25">
      <c r="B389" s="172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73"/>
    </row>
    <row r="390" spans="2:105" x14ac:dyDescent="0.25">
      <c r="B390" s="172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73"/>
    </row>
    <row r="391" spans="2:105" x14ac:dyDescent="0.25">
      <c r="B391" s="172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73"/>
    </row>
    <row r="392" spans="2:105" x14ac:dyDescent="0.25">
      <c r="B392" s="172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73"/>
    </row>
    <row r="393" spans="2:105" x14ac:dyDescent="0.25">
      <c r="B393" s="172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73"/>
    </row>
    <row r="394" spans="2:105" x14ac:dyDescent="0.25">
      <c r="B394" s="172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73"/>
    </row>
    <row r="395" spans="2:105" x14ac:dyDescent="0.25">
      <c r="B395" s="172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73"/>
    </row>
    <row r="396" spans="2:105" x14ac:dyDescent="0.25">
      <c r="B396" s="172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73"/>
    </row>
    <row r="397" spans="2:105" x14ac:dyDescent="0.25">
      <c r="B397" s="172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73"/>
    </row>
    <row r="398" spans="2:105" x14ac:dyDescent="0.25">
      <c r="B398" s="172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73"/>
    </row>
    <row r="399" spans="2:105" x14ac:dyDescent="0.25">
      <c r="B399" s="172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73"/>
    </row>
    <row r="400" spans="2:105" x14ac:dyDescent="0.25">
      <c r="B400" s="172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73"/>
    </row>
    <row r="401" spans="2:105" x14ac:dyDescent="0.25">
      <c r="B401" s="172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73"/>
    </row>
    <row r="402" spans="2:105" ht="15.75" thickBot="1" x14ac:dyDescent="0.3">
      <c r="B402" s="174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175"/>
      <c r="BD402" s="175"/>
      <c r="BE402" s="175"/>
      <c r="BF402" s="175"/>
      <c r="BG402" s="175"/>
      <c r="BH402" s="175"/>
      <c r="BI402" s="175"/>
      <c r="BJ402" s="175"/>
      <c r="BK402" s="175"/>
      <c r="BL402" s="175"/>
      <c r="BM402" s="175"/>
      <c r="BN402" s="175"/>
      <c r="BO402" s="175"/>
      <c r="BP402" s="175"/>
      <c r="BQ402" s="175"/>
      <c r="BR402" s="175"/>
      <c r="BS402" s="175"/>
      <c r="BT402" s="175"/>
      <c r="BU402" s="175"/>
      <c r="BV402" s="175"/>
      <c r="BW402" s="175"/>
      <c r="BX402" s="175"/>
      <c r="BY402" s="175"/>
      <c r="BZ402" s="175"/>
      <c r="CA402" s="175"/>
      <c r="CB402" s="175"/>
      <c r="CC402" s="175"/>
      <c r="CD402" s="175"/>
      <c r="CE402" s="175"/>
      <c r="CF402" s="175"/>
      <c r="CG402" s="175"/>
      <c r="CH402" s="175"/>
      <c r="CI402" s="175"/>
      <c r="CJ402" s="175"/>
      <c r="CK402" s="175"/>
      <c r="CL402" s="175"/>
      <c r="CM402" s="175"/>
      <c r="CN402" s="175"/>
      <c r="CO402" s="175"/>
      <c r="CP402" s="175"/>
      <c r="CQ402" s="175"/>
      <c r="CR402" s="175"/>
      <c r="CS402" s="175"/>
      <c r="CT402" s="175"/>
      <c r="CU402" s="175"/>
      <c r="CV402" s="175"/>
      <c r="CW402" s="175"/>
      <c r="CX402" s="175"/>
      <c r="CY402" s="175"/>
      <c r="CZ402" s="175"/>
      <c r="DA402" s="176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57</vt:i4>
      </vt:variant>
    </vt:vector>
  </HeadingPairs>
  <TitlesOfParts>
    <vt:vector size="68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2021-05-07T20:39:44Z</dcterms:modified>
</cp:coreProperties>
</file>